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h.hosoi\Documents\ツール\01_仙台市\20240708\"/>
    </mc:Choice>
  </mc:AlternateContent>
  <xr:revisionPtr revIDLastSave="0" documentId="13_ncr:1_{16CBAA73-E174-4854-9349-67C1B379FCD6}" xr6:coauthVersionLast="47" xr6:coauthVersionMax="47" xr10:uidLastSave="{00000000-0000-0000-0000-000000000000}"/>
  <workbookProtection workbookAlgorithmName="SHA-512" workbookHashValue="1+dmD6T9doROjD5AuEThEa3677m2/m6MFm8gYYmj9abtFwtf+SV+XQzhunG9qKRFaMshyQTeJeLC9pJKfiHNvg==" workbookSaltValue="HvhCq4CgKyS+G9CXNkBsgg==" workbookSpinCount="100000" lockStructure="1"/>
  <bookViews>
    <workbookView xWindow="-108" yWindow="-108" windowWidth="23256" windowHeight="12456" tabRatio="910" xr2:uid="{00000000-000D-0000-FFFF-FFFF00000000}"/>
  </bookViews>
  <sheets>
    <sheet name="はじめに" sheetId="2" r:id="rId1"/>
    <sheet name="計画書①（事業所概要・目標）" sheetId="7" r:id="rId2"/>
    <sheet name="計画書② (取組）" sheetId="11" r:id="rId3"/>
    <sheet name="計画書③（任意記載）" sheetId="33" r:id="rId4"/>
    <sheet name="事業所排出量内訳 (基準年度)" sheetId="57" r:id="rId5"/>
    <sheet name="計画書提出書" sheetId="1" r:id="rId6"/>
    <sheet name="計画書（公表用）" sheetId="18" r:id="rId7"/>
    <sheet name="報告書①（事業所概要・実績）" sheetId="23" r:id="rId8"/>
    <sheet name="報告書② 第1年度(取組）" sheetId="44" r:id="rId9"/>
    <sheet name="報告書② 第2年度(取組）" sheetId="45" r:id="rId10"/>
    <sheet name="報告書② 第3年度(取組）" sheetId="46" r:id="rId11"/>
    <sheet name="報告書③（任意記載）" sheetId="35" r:id="rId12"/>
    <sheet name="事業所排出量内訳（第1年度)" sheetId="58" r:id="rId13"/>
    <sheet name="事業所排出量内訳（第2年度)" sheetId="59" r:id="rId14"/>
    <sheet name="事業所排出量内訳（第3年度)" sheetId="60" r:id="rId15"/>
    <sheet name="報告書提出書" sheetId="21" r:id="rId16"/>
    <sheet name="報告書（公表用）" sheetId="22" r:id="rId17"/>
    <sheet name="委任状" sheetId="6" r:id="rId18"/>
    <sheet name="評価点まとめ" sheetId="32" r:id="rId19"/>
    <sheet name="係数" sheetId="56" state="veryHidden" r:id="rId20"/>
    <sheet name="産業分類" sheetId="19" state="veryHidden" r:id="rId21"/>
    <sheet name="対策リスト" sheetId="31" state="veryHidden" r:id="rId22"/>
    <sheet name="マクロテスト" sheetId="61" state="veryHidden" r:id="rId23"/>
    <sheet name="リスト1" sheetId="36" state="veryHidden" r:id="rId24"/>
  </sheets>
  <externalReferences>
    <externalReference r:id="rId25"/>
  </externalReferences>
  <definedNames>
    <definedName name="_xlnm.Print_Area" localSheetId="0">はじめに!$B$2:$N$30</definedName>
    <definedName name="_xlnm.Print_Area" localSheetId="19">係数!$B$1:$L$80,係数!$P$1:$Z$80</definedName>
    <definedName name="_xlnm.Print_Area" localSheetId="6">'計画書（公表用）'!$A$1:$Q$46</definedName>
    <definedName name="_xlnm.Print_Area" localSheetId="1">'計画書①（事業所概要・目標）'!$A$1:$P$28</definedName>
    <definedName name="_xlnm.Print_Area" localSheetId="2">'計画書② (取組）'!$A$1:$F$72</definedName>
    <definedName name="_xlnm.Print_Area" localSheetId="5">計画書提出書!$A$1:$Q$34</definedName>
    <definedName name="_xlnm.Print_Area" localSheetId="4">'事業所排出量内訳 (基準年度)'!$C$1:$AB$123</definedName>
    <definedName name="_xlnm.Print_Area" localSheetId="12">'事業所排出量内訳（第1年度)'!$C$1:$AB$123</definedName>
    <definedName name="_xlnm.Print_Area" localSheetId="13">'事業所排出量内訳（第2年度)'!$C$1:$AB$123</definedName>
    <definedName name="_xlnm.Print_Area" localSheetId="14">'事業所排出量内訳（第3年度)'!$C$1:$AB$123</definedName>
    <definedName name="_xlnm.Print_Area" localSheetId="16">'報告書（公表用）'!$A$1:$R$63</definedName>
    <definedName name="_xlnm.Print_Area" localSheetId="7">'報告書①（事業所概要・実績）'!$A$1:$P$40</definedName>
    <definedName name="_xlnm.Print_Area" localSheetId="8">'報告書② 第1年度(取組）'!$A$1:$J$79</definedName>
    <definedName name="_xlnm.Print_Area" localSheetId="9">'報告書② 第2年度(取組）'!$A$1:$J$79</definedName>
    <definedName name="_xlnm.Print_Area" localSheetId="10">'報告書② 第3年度(取組）'!$A$1:$H$79</definedName>
    <definedName name="_xlnm.Print_Area" localSheetId="11">'報告書③（任意記載）'!$A$1:$F$13</definedName>
    <definedName name="_xlnm.Print_Area" localSheetId="15">報告書提出書!$A$1:$Q$34</definedName>
    <definedName name="その他対策">対策リスト!$G$3:$G$15</definedName>
    <definedName name="基本対策">対策リスト!$A$3:$B$32</definedName>
    <definedName name="係数2022">係数!$C$3:$L$80</definedName>
    <definedName name="係数2023">係数!$Q$2:$Z$80</definedName>
    <definedName name="細分類">産業分類!$G$2:$H$1460</definedName>
    <definedName name="小分類">産業分類!$D$2:$E$531</definedName>
    <definedName name="選択対策">対策リスト!$D$3:$E$28</definedName>
    <definedName name="中分類">産業分類!$A$2:$B$100</definedName>
    <definedName name="転記データアドレス">リスト1!$B$2:$G$377</definedName>
    <definedName name="入力欄_はじめに">はじめに!$E$4:$E$5,はじめに!$G$5,はじめに!$I$5,はじめに!$E$6:$N$9,はじめに!$E$14:$N$14,はじめに!$F$15,はじめに!$H$15,はじめに!$E$16:$N$16,はじめに!$E$17,はじめに!$F$17:$H$17,はじめに!$E$19:$F$20,はじめに!$E$21:$N$21,はじめに!$F$22,はじめに!$H$22,はじめに!$E$23:$N$27,はじめに!$E$30,はじめに!$G$30,はじめに!$I$30,はじめに!$F$29</definedName>
    <definedName name="入力欄_基準年度_排出量内訳">'事業所排出量内訳 (基準年度)'!$I$6:$J$35,'事業所排出量内訳 (基準年度)'!$L$35:$N$35,'事業所排出量内訳 (基準年度)'!$N$34,'事業所排出量内訳 (基準年度)'!$U$34:$W$34,'事業所排出量内訳 (基準年度)'!$U$37:$W$37,'事業所排出量内訳 (基準年度)'!$I$39:$J$56,'事業所排出量内訳 (基準年度)'!$L$56:$N$56,'事業所排出量内訳 (基準年度)'!$U$56:$W$57,'事業所排出量内訳 (基準年度)'!$I$60:$J$69,'事業所排出量内訳 (基準年度)'!$I$72:$J$76,'事業所排出量内訳 (基準年度)'!$M$68:$M$69,'事業所排出量内訳 (基準年度)'!$N$62,'事業所排出量内訳 (基準年度)'!$N$64,'事業所排出量内訳 (基準年度)'!$N$66,'事業所排出量内訳 (基準年度)'!$N$68,'事業所排出量内訳 (基準年度)'!$W$62:$W$64,'事業所排出量内訳 (基準年度)'!$U$68:$W$68,'事業所排出量内訳 (基準年度)'!$V$72:$V$76,'事業所排出量内訳 (基準年度)'!$U$76,'事業所排出量内訳 (基準年度)'!$U$81:$Y$85,'事業所排出量内訳 (基準年度)'!$G$96:$H$102,'事業所排出量内訳 (基準年度)'!$C$109:$H$115,'事業所排出量内訳 (基準年度)'!$W$91:$W$93,'事業所排出量内訳 (基準年度)'!$X$93,'事業所排出量内訳 (基準年度)'!$Y$93,'事業所排出量内訳 (基準年度)'!$V$97:$Y$98,'事業所排出量内訳 (基準年度)'!$W$103:$Y$103,'事業所排出量内訳 (基準年度)'!$W$107:$W$110,'事業所排出量内訳 (基準年度)'!$G$121:$H$123</definedName>
    <definedName name="入力欄_計画書①">'計画書①（事業所概要・目標）'!$A$13:$P$13,'計画書①（事業所概要・目標）'!$A$16:$P$16,'計画書①（事業所概要・目標）'!$H$25:$I$25,'計画書①（事業所概要・目標）'!$M$25:$N$25,'計画書①（事業所概要・目標）'!$H$27:$I$27,'計画書①（事業所概要・目標）'!$M$27:$N$27,'計画書①（事業所概要・目標）'!$C$28:$P$28</definedName>
    <definedName name="入力欄_計画書②">'計画書② (取組）'!$E$5:$F$34,'計画書② (取組）'!$C$39:$C$59,'計画書② (取組）'!$E$39:$F$58,'計画書② (取組）'!$C$63:$F$72</definedName>
    <definedName name="入力欄_計画書③">'計画書③（任意記載）'!$B$4:$D$13,'計画書③（任意記載）'!$B$17:$D$26</definedName>
    <definedName name="入力欄_排出量内訳_基準年度">'[1]事業所排出量内訳（基準年度）'!$I$6:$J$35,'[1]事業所排出量内訳（基準年度）'!$L$35:$N$35,'[1]事業所排出量内訳（基準年度）'!$N$34,'[1]事業所排出量内訳（基準年度）'!$U$34,'[1]事業所排出量内訳（基準年度）'!$W$34,'[1]事業所排出量内訳（基準年度）'!$U$37:$W$37,'[1]事業所排出量内訳（基準年度）'!$I$39:$J$56,'[1]事業所排出量内訳（基準年度）'!$L$56,'[1]事業所排出量内訳（基準年度）'!$M$56,'[1]事業所排出量内訳（基準年度）'!$N$56,'[1]事業所排出量内訳（基準年度）'!$U$56,'[1]事業所排出量内訳（基準年度）'!$V$56,'[1]事業所排出量内訳（基準年度）'!$W$56,'[1]事業所排出量内訳（基準年度）'!$W$62:$W$64,'[1]事業所排出量内訳（基準年度）'!$I$60:$J$69,'[1]事業所排出量内訳（基準年度）'!$N$62,'[1]事業所排出量内訳（基準年度）'!$N$64,'[1]事業所排出量内訳（基準年度）'!$N$66,'[1]事業所排出量内訳（基準年度）'!$N$68,'[1]事業所排出量内訳（基準年度）'!$M$68:$M$69,'[1]事業所排出量内訳（基準年度）'!$U$68,'[1]事業所排出量内訳（基準年度）'!$V$68,'[1]事業所排出量内訳（基準年度）'!$W$68,'[1]事業所排出量内訳（基準年度）'!$I$72:$J$76,'[1]事業所排出量内訳（基準年度）'!$M$72:$M$76,'[1]事業所排出量内訳（基準年度）'!$V$72:$V$76,'[1]事業所排出量内訳（基準年度）'!$U$76,'[1]事業所排出量内訳（基準年度）'!$U$81:$Y$85,'[1]事業所排出量内訳（基準年度）'!$W$91:$W$93,'[1]事業所排出量内訳（基準年度）'!$X$93,'[1]事業所排出量内訳（基準年度）'!$Y$93,'[1]事業所排出量内訳（基準年度）'!$V$97:$Y$98,'[1]事業所排出量内訳（基準年度）'!$G$96:$H$102,'[1]事業所排出量内訳（基準年度）'!$C$109:$H$115,'[1]事業所排出量内訳（基準年度）'!$W$103:$Y$103,'[1]事業所排出量内訳（基準年度）'!$W$107:$W$110,'[1]事業所排出量内訳（基準年度）'!$G$121:$H$123</definedName>
    <definedName name="入力欄_報告書①">'報告書①（事業所概要・実績）'!$C$29:$P$29,'報告書①（事業所概要・実績）'!$C$33:$P$33,'報告書①（事業所概要・実績）'!$C$37:$P$37</definedName>
    <definedName name="入力欄_報告書②1">'報告書② 第1年度(取組）'!$F$6:$F$35,'報告書② 第1年度(取組）'!$F$45:$F$64,'報告書② 第1年度(取組）'!$F$70:$F$79,'報告書② 第1年度(取組）'!$C$91:$C$110,'報告書② 第1年度(取組）'!$C$121:$D$130,'報告書② 第1年度(取組）'!$D$38:$F$38</definedName>
    <definedName name="入力欄_報告書②2">'報告書② 第2年度(取組）'!$G$6:$G$35,'報告書② 第2年度(取組）'!$D$39:$F$39,'報告書② 第2年度(取組）'!$G$45:$G$64,'報告書② 第2年度(取組）'!$G$70:$G$79,'報告書② 第2年度(取組）'!$C$91:$C$110,'報告書② 第2年度(取組）'!$C$121:$D$130</definedName>
    <definedName name="入力欄_報告書②3">'報告書② 第3年度(取組）'!$H$6:$H$35,'報告書② 第3年度(取組）'!$D$39:$F$39,'報告書② 第3年度(取組）'!$H$45:$H$64,'報告書② 第3年度(取組）'!$H$70:$H$79,'報告書② 第3年度(取組）'!$C$91:$C$110,'報告書② 第3年度(取組）'!$C$121:$D$130</definedName>
    <definedName name="入力欄_報告書③">'報告書③（任意記載）'!$B$4:$D$13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57" l="1"/>
  <c r="E8" i="7"/>
  <c r="E7" i="7"/>
  <c r="P22" i="23"/>
  <c r="N66" i="58"/>
  <c r="N64" i="58"/>
  <c r="N62" i="58"/>
  <c r="N66" i="59"/>
  <c r="N64" i="59"/>
  <c r="N62" i="59"/>
  <c r="N66" i="60"/>
  <c r="N64" i="60"/>
  <c r="N62" i="60"/>
  <c r="N66" i="57"/>
  <c r="N64" i="57"/>
  <c r="W99" i="58"/>
  <c r="X99" i="58" s="1"/>
  <c r="G121" i="58"/>
  <c r="G122" i="58"/>
  <c r="G122" i="59"/>
  <c r="G121" i="59"/>
  <c r="G122" i="60"/>
  <c r="G121" i="60"/>
  <c r="G21" i="18" l="1"/>
  <c r="G18" i="18"/>
  <c r="G17" i="18"/>
  <c r="D39" i="46"/>
  <c r="G18" i="22"/>
  <c r="G17" i="22"/>
  <c r="T1" i="58" l="1"/>
  <c r="T1" i="60" l="1"/>
  <c r="G6" i="46"/>
  <c r="T1" i="59"/>
  <c r="I84" i="58"/>
  <c r="T1" i="57"/>
  <c r="M72" i="57" l="1"/>
  <c r="G35" i="46"/>
  <c r="G34" i="46"/>
  <c r="G33" i="46"/>
  <c r="G32" i="46"/>
  <c r="G31" i="46"/>
  <c r="G30" i="46"/>
  <c r="G29" i="46"/>
  <c r="G28" i="46"/>
  <c r="G27" i="46"/>
  <c r="G26" i="46"/>
  <c r="G25" i="46"/>
  <c r="G24" i="46"/>
  <c r="G23" i="46"/>
  <c r="G22" i="46"/>
  <c r="G21" i="46"/>
  <c r="G20" i="46"/>
  <c r="G19" i="46"/>
  <c r="G18" i="46"/>
  <c r="G17" i="46"/>
  <c r="G16" i="46"/>
  <c r="G15" i="46"/>
  <c r="G14" i="46"/>
  <c r="G13" i="46"/>
  <c r="G12" i="46"/>
  <c r="G11" i="46"/>
  <c r="G10" i="46"/>
  <c r="G9" i="46"/>
  <c r="G8" i="46"/>
  <c r="G7" i="46"/>
  <c r="M25" i="23" l="1"/>
  <c r="Q20" i="22" s="1"/>
  <c r="H25" i="23"/>
  <c r="L20" i="22" s="1"/>
  <c r="M1" i="58" l="1"/>
  <c r="M1" i="59"/>
  <c r="M1" i="60"/>
  <c r="K20" i="18" l="1"/>
  <c r="I17" i="18"/>
  <c r="M17" i="18"/>
  <c r="N17" i="18"/>
  <c r="I18" i="18"/>
  <c r="K18" i="18"/>
  <c r="M18" i="18"/>
  <c r="N18" i="18"/>
  <c r="P18" i="18"/>
  <c r="I19" i="18"/>
  <c r="M19" i="18"/>
  <c r="N19" i="18"/>
  <c r="I20" i="18"/>
  <c r="M20" i="18"/>
  <c r="N20" i="18"/>
  <c r="P20" i="18"/>
  <c r="M1" i="57" l="1"/>
  <c r="F259" i="36"/>
  <c r="Z98" i="57" l="1"/>
  <c r="Z97" i="57"/>
  <c r="J87" i="60"/>
  <c r="M88" i="60"/>
  <c r="M81" i="60"/>
  <c r="M88" i="59"/>
  <c r="M81" i="59"/>
  <c r="M88" i="58"/>
  <c r="M81" i="58"/>
  <c r="M88" i="57" l="1"/>
  <c r="G116" i="60" l="1"/>
  <c r="W111" i="60"/>
  <c r="Z103" i="60"/>
  <c r="G103" i="60"/>
  <c r="W99" i="60"/>
  <c r="AB98" i="60"/>
  <c r="Z98" i="60"/>
  <c r="AB97" i="60"/>
  <c r="Z97" i="60"/>
  <c r="AB93" i="60"/>
  <c r="Z93" i="60"/>
  <c r="AB92" i="60"/>
  <c r="Z92" i="60"/>
  <c r="AB91" i="60"/>
  <c r="Z91" i="60"/>
  <c r="J90" i="60"/>
  <c r="K87" i="60"/>
  <c r="M87" i="60" s="1"/>
  <c r="AA86" i="60"/>
  <c r="Z86" i="60"/>
  <c r="X86" i="60"/>
  <c r="W86" i="60"/>
  <c r="V86" i="60"/>
  <c r="AA85" i="60"/>
  <c r="Z85" i="60"/>
  <c r="N85" i="60"/>
  <c r="I85" i="60"/>
  <c r="K85" i="60" s="1"/>
  <c r="M85" i="60" s="1"/>
  <c r="AA84" i="60"/>
  <c r="Z84" i="60"/>
  <c r="AA83" i="60"/>
  <c r="Z83" i="60"/>
  <c r="N83" i="60"/>
  <c r="I83" i="60"/>
  <c r="K83" i="60" s="1"/>
  <c r="M83" i="60" s="1"/>
  <c r="AA82" i="60"/>
  <c r="Z82" i="60"/>
  <c r="N82" i="60"/>
  <c r="I82" i="60"/>
  <c r="K82" i="60" s="1"/>
  <c r="M82" i="60" s="1"/>
  <c r="AA81" i="60"/>
  <c r="Z81" i="60"/>
  <c r="N81" i="60"/>
  <c r="I81" i="60"/>
  <c r="J78" i="60"/>
  <c r="I78" i="60"/>
  <c r="J77" i="60"/>
  <c r="I77" i="60"/>
  <c r="K76" i="60"/>
  <c r="M76" i="60" s="1"/>
  <c r="E76" i="60"/>
  <c r="K75" i="60"/>
  <c r="M75" i="60" s="1"/>
  <c r="K74" i="60"/>
  <c r="M74" i="60" s="1"/>
  <c r="K73" i="60"/>
  <c r="M73" i="60" s="1"/>
  <c r="K72" i="60"/>
  <c r="M72" i="60" s="1"/>
  <c r="V69" i="60"/>
  <c r="K69" i="60"/>
  <c r="K68" i="60"/>
  <c r="E68" i="60"/>
  <c r="K67" i="60"/>
  <c r="M67" i="60" s="1"/>
  <c r="K66" i="60"/>
  <c r="M66" i="60" s="1"/>
  <c r="K65" i="60"/>
  <c r="M65" i="60" s="1"/>
  <c r="M64" i="60"/>
  <c r="K64" i="60"/>
  <c r="K63" i="60"/>
  <c r="M63" i="60" s="1"/>
  <c r="K62" i="60"/>
  <c r="M62" i="60" s="1"/>
  <c r="K61" i="60"/>
  <c r="K60" i="60"/>
  <c r="K56" i="60"/>
  <c r="D56" i="60"/>
  <c r="K55" i="60"/>
  <c r="M55" i="60" s="1"/>
  <c r="K54" i="60"/>
  <c r="K53" i="60"/>
  <c r="M52" i="60"/>
  <c r="K52" i="60"/>
  <c r="N51" i="60"/>
  <c r="K51" i="60"/>
  <c r="M51" i="60" s="1"/>
  <c r="K50" i="60"/>
  <c r="N50" i="60" s="1"/>
  <c r="M49" i="60"/>
  <c r="K49" i="60"/>
  <c r="N49" i="60" s="1"/>
  <c r="K48" i="60"/>
  <c r="N48" i="60" s="1"/>
  <c r="K47" i="60"/>
  <c r="M47" i="60" s="1"/>
  <c r="K46" i="60"/>
  <c r="N46" i="60" s="1"/>
  <c r="K45" i="60"/>
  <c r="M44" i="60"/>
  <c r="K44" i="60"/>
  <c r="K43" i="60"/>
  <c r="M43" i="60" s="1"/>
  <c r="K42" i="60"/>
  <c r="M41" i="60"/>
  <c r="K41" i="60"/>
  <c r="K40" i="60"/>
  <c r="K39" i="60"/>
  <c r="M39" i="60" s="1"/>
  <c r="K35" i="60"/>
  <c r="D35" i="60"/>
  <c r="K34" i="60"/>
  <c r="M34" i="60" s="1"/>
  <c r="K33" i="60"/>
  <c r="N33" i="60" s="1"/>
  <c r="K32" i="60"/>
  <c r="N32" i="60" s="1"/>
  <c r="W31" i="60"/>
  <c r="K31" i="60"/>
  <c r="N31" i="60" s="1"/>
  <c r="K30" i="60"/>
  <c r="N30" i="60" s="1"/>
  <c r="K29" i="60"/>
  <c r="N29" i="60" s="1"/>
  <c r="M28" i="60"/>
  <c r="K28" i="60"/>
  <c r="N28" i="60" s="1"/>
  <c r="M27" i="60"/>
  <c r="K27" i="60"/>
  <c r="N27" i="60" s="1"/>
  <c r="V26" i="60"/>
  <c r="K26" i="60"/>
  <c r="N26" i="60" s="1"/>
  <c r="M25" i="60"/>
  <c r="K25" i="60"/>
  <c r="N25" i="60" s="1"/>
  <c r="M24" i="60"/>
  <c r="K24" i="60"/>
  <c r="N24" i="60" s="1"/>
  <c r="V23" i="60"/>
  <c r="K23" i="60"/>
  <c r="N23" i="60" s="1"/>
  <c r="M22" i="60"/>
  <c r="K22" i="60"/>
  <c r="N22" i="60" s="1"/>
  <c r="M21" i="60"/>
  <c r="K21" i="60"/>
  <c r="N21" i="60" s="1"/>
  <c r="K20" i="60"/>
  <c r="N20" i="60" s="1"/>
  <c r="K19" i="60"/>
  <c r="N19" i="60" s="1"/>
  <c r="K18" i="60"/>
  <c r="M18" i="60" s="1"/>
  <c r="N17" i="60"/>
  <c r="M17" i="60"/>
  <c r="K17" i="60"/>
  <c r="K16" i="60"/>
  <c r="N16" i="60" s="1"/>
  <c r="K15" i="60"/>
  <c r="N15" i="60" s="1"/>
  <c r="M14" i="60"/>
  <c r="K14" i="60"/>
  <c r="N14" i="60" s="1"/>
  <c r="K13" i="60"/>
  <c r="N13" i="60" s="1"/>
  <c r="K12" i="60"/>
  <c r="N12" i="60" s="1"/>
  <c r="K11" i="60"/>
  <c r="N11" i="60" s="1"/>
  <c r="N10" i="60"/>
  <c r="M10" i="60"/>
  <c r="K10" i="60"/>
  <c r="M9" i="60"/>
  <c r="K9" i="60"/>
  <c r="N9" i="60" s="1"/>
  <c r="K8" i="60"/>
  <c r="N8" i="60" s="1"/>
  <c r="K7" i="60"/>
  <c r="N7" i="60" s="1"/>
  <c r="M6" i="60"/>
  <c r="K6" i="60"/>
  <c r="N6" i="60" s="1"/>
  <c r="G116" i="59"/>
  <c r="W111" i="59"/>
  <c r="Z103" i="59"/>
  <c r="G103" i="59"/>
  <c r="V23" i="59" s="1"/>
  <c r="W99" i="59"/>
  <c r="AB99" i="59" s="1"/>
  <c r="AB98" i="59"/>
  <c r="Z98" i="59"/>
  <c r="AB97" i="59"/>
  <c r="Z97" i="59"/>
  <c r="AB93" i="59"/>
  <c r="Z93" i="59"/>
  <c r="AB92" i="59"/>
  <c r="Z92" i="59"/>
  <c r="AB91" i="59"/>
  <c r="Z91" i="59"/>
  <c r="J87" i="59"/>
  <c r="J90" i="59" s="1"/>
  <c r="AA86" i="59"/>
  <c r="Z86" i="59"/>
  <c r="X86" i="59"/>
  <c r="W86" i="59"/>
  <c r="V86" i="59"/>
  <c r="AA85" i="59"/>
  <c r="Z85" i="59"/>
  <c r="N85" i="59"/>
  <c r="K85" i="59"/>
  <c r="M85" i="59" s="1"/>
  <c r="I85" i="59"/>
  <c r="AA84" i="59"/>
  <c r="Z84" i="59"/>
  <c r="AA83" i="59"/>
  <c r="Z83" i="59"/>
  <c r="N83" i="59"/>
  <c r="I83" i="59"/>
  <c r="K83" i="59" s="1"/>
  <c r="M83" i="59" s="1"/>
  <c r="AA82" i="59"/>
  <c r="Z82" i="59"/>
  <c r="N82" i="59"/>
  <c r="I82" i="59"/>
  <c r="K82" i="59" s="1"/>
  <c r="M82" i="59" s="1"/>
  <c r="AA81" i="59"/>
  <c r="Z81" i="59"/>
  <c r="N81" i="59"/>
  <c r="I81" i="59"/>
  <c r="J78" i="59"/>
  <c r="I78" i="59"/>
  <c r="J77" i="59"/>
  <c r="I77" i="59"/>
  <c r="K76" i="59"/>
  <c r="M76" i="59" s="1"/>
  <c r="E76" i="59"/>
  <c r="K75" i="59"/>
  <c r="M75" i="59" s="1"/>
  <c r="K74" i="59"/>
  <c r="M74" i="59" s="1"/>
  <c r="K73" i="59"/>
  <c r="M73" i="59" s="1"/>
  <c r="K72" i="59"/>
  <c r="M72" i="59" s="1"/>
  <c r="V69" i="59"/>
  <c r="K69" i="59"/>
  <c r="K68" i="59"/>
  <c r="E68" i="59"/>
  <c r="K67" i="59"/>
  <c r="M67" i="59" s="1"/>
  <c r="M66" i="59"/>
  <c r="K66" i="59"/>
  <c r="K65" i="59"/>
  <c r="M65" i="59" s="1"/>
  <c r="M64" i="59"/>
  <c r="K64" i="59"/>
  <c r="K63" i="59"/>
  <c r="M63" i="59" s="1"/>
  <c r="K62" i="59"/>
  <c r="M62" i="59" s="1"/>
  <c r="K61" i="59"/>
  <c r="K60" i="59"/>
  <c r="K56" i="59"/>
  <c r="D56" i="59"/>
  <c r="K55" i="59"/>
  <c r="M55" i="59" s="1"/>
  <c r="K54" i="59"/>
  <c r="K53" i="59"/>
  <c r="M52" i="59"/>
  <c r="K52" i="59"/>
  <c r="K51" i="59"/>
  <c r="M51" i="59" s="1"/>
  <c r="N50" i="59"/>
  <c r="K50" i="59"/>
  <c r="M50" i="59" s="1"/>
  <c r="K49" i="59"/>
  <c r="N49" i="59" s="1"/>
  <c r="K48" i="59"/>
  <c r="N48" i="59" s="1"/>
  <c r="K47" i="59"/>
  <c r="M47" i="59" s="1"/>
  <c r="K46" i="59"/>
  <c r="N46" i="59" s="1"/>
  <c r="K45" i="59"/>
  <c r="M44" i="59"/>
  <c r="K44" i="59"/>
  <c r="K43" i="59"/>
  <c r="M43" i="59" s="1"/>
  <c r="K42" i="59"/>
  <c r="M42" i="59" s="1"/>
  <c r="K41" i="59"/>
  <c r="K40" i="59"/>
  <c r="K39" i="59"/>
  <c r="M39" i="59" s="1"/>
  <c r="K35" i="59"/>
  <c r="D35" i="59"/>
  <c r="K34" i="59"/>
  <c r="M34" i="59" s="1"/>
  <c r="K33" i="59"/>
  <c r="N33" i="59" s="1"/>
  <c r="K32" i="59"/>
  <c r="N32" i="59" s="1"/>
  <c r="W31" i="59"/>
  <c r="N31" i="59"/>
  <c r="K31" i="59"/>
  <c r="M31" i="59" s="1"/>
  <c r="K30" i="59"/>
  <c r="N30" i="59" s="1"/>
  <c r="K29" i="59"/>
  <c r="N29" i="59" s="1"/>
  <c r="K28" i="59"/>
  <c r="M28" i="59" s="1"/>
  <c r="K27" i="59"/>
  <c r="N27" i="59" s="1"/>
  <c r="V26" i="59"/>
  <c r="K26" i="59"/>
  <c r="N26" i="59" s="1"/>
  <c r="K25" i="59"/>
  <c r="M25" i="59" s="1"/>
  <c r="K24" i="59"/>
  <c r="N24" i="59" s="1"/>
  <c r="K23" i="59"/>
  <c r="N23" i="59" s="1"/>
  <c r="K22" i="59"/>
  <c r="M22" i="59" s="1"/>
  <c r="K21" i="59"/>
  <c r="N21" i="59" s="1"/>
  <c r="K20" i="59"/>
  <c r="N20" i="59" s="1"/>
  <c r="K19" i="59"/>
  <c r="N19" i="59" s="1"/>
  <c r="M18" i="59"/>
  <c r="K18" i="59"/>
  <c r="N18" i="59" s="1"/>
  <c r="K17" i="59"/>
  <c r="M17" i="59" s="1"/>
  <c r="N16" i="59"/>
  <c r="M16" i="59"/>
  <c r="K16" i="59"/>
  <c r="N15" i="59"/>
  <c r="K15" i="59"/>
  <c r="M15" i="59" s="1"/>
  <c r="K14" i="59"/>
  <c r="N14" i="59" s="1"/>
  <c r="M13" i="59"/>
  <c r="K13" i="59"/>
  <c r="N13" i="59" s="1"/>
  <c r="K12" i="59"/>
  <c r="N12" i="59" s="1"/>
  <c r="M11" i="59"/>
  <c r="K11" i="59"/>
  <c r="N11" i="59" s="1"/>
  <c r="K10" i="59"/>
  <c r="M10" i="59" s="1"/>
  <c r="N9" i="59"/>
  <c r="K9" i="59"/>
  <c r="M9" i="59" s="1"/>
  <c r="K8" i="59"/>
  <c r="N8" i="59" s="1"/>
  <c r="K7" i="59"/>
  <c r="N7" i="59" s="1"/>
  <c r="K6" i="59"/>
  <c r="M6" i="59" s="1"/>
  <c r="G116" i="58"/>
  <c r="W111" i="58"/>
  <c r="Z103" i="58"/>
  <c r="G103" i="58"/>
  <c r="AB98" i="58"/>
  <c r="Z98" i="58"/>
  <c r="AB97" i="58"/>
  <c r="Z97" i="58"/>
  <c r="AB93" i="58"/>
  <c r="Z93" i="58"/>
  <c r="AB92" i="58"/>
  <c r="Z92" i="58"/>
  <c r="AB91" i="58"/>
  <c r="Z91" i="58"/>
  <c r="J90" i="58"/>
  <c r="J87" i="58"/>
  <c r="N87" i="58" s="1"/>
  <c r="AA86" i="58"/>
  <c r="Z86" i="58"/>
  <c r="X86" i="58"/>
  <c r="W86" i="58"/>
  <c r="V86" i="58"/>
  <c r="AA85" i="58"/>
  <c r="Z85" i="58"/>
  <c r="AA84" i="58"/>
  <c r="Z84" i="58"/>
  <c r="AA83" i="58"/>
  <c r="Z83" i="58"/>
  <c r="N83" i="58"/>
  <c r="I83" i="58"/>
  <c r="K83" i="58" s="1"/>
  <c r="M83" i="58" s="1"/>
  <c r="AA82" i="58"/>
  <c r="Z82" i="58"/>
  <c r="N82" i="58"/>
  <c r="I82" i="58"/>
  <c r="K82" i="58" s="1"/>
  <c r="M82" i="58" s="1"/>
  <c r="AA81" i="58"/>
  <c r="Z81" i="58"/>
  <c r="N81" i="58"/>
  <c r="K81" i="58"/>
  <c r="I81" i="58"/>
  <c r="J78" i="58"/>
  <c r="I78" i="58"/>
  <c r="J77" i="58"/>
  <c r="I77" i="58"/>
  <c r="K76" i="58"/>
  <c r="M76" i="58" s="1"/>
  <c r="E76" i="58"/>
  <c r="K75" i="58"/>
  <c r="M75" i="58" s="1"/>
  <c r="K74" i="58"/>
  <c r="M74" i="58" s="1"/>
  <c r="K73" i="58"/>
  <c r="M73" i="58" s="1"/>
  <c r="K72" i="58"/>
  <c r="M72" i="58" s="1"/>
  <c r="V69" i="58"/>
  <c r="K69" i="58"/>
  <c r="K68" i="58"/>
  <c r="E68" i="58"/>
  <c r="K67" i="58"/>
  <c r="M67" i="58" s="1"/>
  <c r="K66" i="58"/>
  <c r="M66" i="58" s="1"/>
  <c r="K65" i="58"/>
  <c r="M65" i="58" s="1"/>
  <c r="K64" i="58"/>
  <c r="M64" i="58" s="1"/>
  <c r="K63" i="58"/>
  <c r="M63" i="58" s="1"/>
  <c r="K62" i="58"/>
  <c r="M62" i="58" s="1"/>
  <c r="K61" i="58"/>
  <c r="N60" i="58"/>
  <c r="N78" i="58" s="1"/>
  <c r="M60" i="58"/>
  <c r="K60" i="58"/>
  <c r="K56" i="58"/>
  <c r="D56" i="58"/>
  <c r="K55" i="58"/>
  <c r="M55" i="58" s="1"/>
  <c r="K54" i="58"/>
  <c r="K53" i="58"/>
  <c r="K52" i="58"/>
  <c r="M52" i="58" s="1"/>
  <c r="K51" i="58"/>
  <c r="N51" i="58" s="1"/>
  <c r="K50" i="58"/>
  <c r="N50" i="58" s="1"/>
  <c r="K49" i="58"/>
  <c r="M49" i="58" s="1"/>
  <c r="K48" i="58"/>
  <c r="M48" i="58" s="1"/>
  <c r="K47" i="58"/>
  <c r="M47" i="58" s="1"/>
  <c r="K46" i="58"/>
  <c r="M46" i="58" s="1"/>
  <c r="K45" i="58"/>
  <c r="K44" i="58"/>
  <c r="K43" i="58"/>
  <c r="K42" i="58"/>
  <c r="M41" i="58"/>
  <c r="K41" i="58"/>
  <c r="K40" i="58"/>
  <c r="M40" i="58" s="1"/>
  <c r="K39" i="58"/>
  <c r="M39" i="58" s="1"/>
  <c r="K35" i="58"/>
  <c r="D35" i="58"/>
  <c r="K34" i="58"/>
  <c r="M34" i="58" s="1"/>
  <c r="K33" i="58"/>
  <c r="N33" i="58" s="1"/>
  <c r="K32" i="58"/>
  <c r="N32" i="58" s="1"/>
  <c r="W31" i="58"/>
  <c r="K31" i="58"/>
  <c r="N31" i="58" s="1"/>
  <c r="N30" i="58"/>
  <c r="M30" i="58"/>
  <c r="K30" i="58"/>
  <c r="K29" i="58"/>
  <c r="M29" i="58" s="1"/>
  <c r="K28" i="58"/>
  <c r="N28" i="58" s="1"/>
  <c r="K27" i="58"/>
  <c r="N27" i="58" s="1"/>
  <c r="V26" i="58"/>
  <c r="K26" i="58"/>
  <c r="M26" i="58" s="1"/>
  <c r="K25" i="58"/>
  <c r="N25" i="58" s="1"/>
  <c r="M24" i="58"/>
  <c r="K24" i="58"/>
  <c r="N24" i="58" s="1"/>
  <c r="V23" i="58"/>
  <c r="K23" i="58"/>
  <c r="M23" i="58" s="1"/>
  <c r="K22" i="58"/>
  <c r="M22" i="58" s="1"/>
  <c r="N21" i="58"/>
  <c r="M21" i="58"/>
  <c r="K21" i="58"/>
  <c r="K20" i="58"/>
  <c r="M20" i="58" s="1"/>
  <c r="K19" i="58"/>
  <c r="N19" i="58" s="1"/>
  <c r="K18" i="58"/>
  <c r="N18" i="58" s="1"/>
  <c r="N17" i="58"/>
  <c r="M17" i="58"/>
  <c r="K17" i="58"/>
  <c r="K16" i="58"/>
  <c r="M16" i="58" s="1"/>
  <c r="K15" i="58"/>
  <c r="N15" i="58" s="1"/>
  <c r="K14" i="58"/>
  <c r="M14" i="58" s="1"/>
  <c r="N13" i="58"/>
  <c r="K13" i="58"/>
  <c r="M13" i="58" s="1"/>
  <c r="N12" i="58"/>
  <c r="K12" i="58"/>
  <c r="M12" i="58" s="1"/>
  <c r="N11" i="58"/>
  <c r="M11" i="58"/>
  <c r="K11" i="58"/>
  <c r="K10" i="58"/>
  <c r="M10" i="58" s="1"/>
  <c r="K9" i="58"/>
  <c r="N9" i="58" s="1"/>
  <c r="N8" i="58"/>
  <c r="K8" i="58"/>
  <c r="M8" i="58" s="1"/>
  <c r="K7" i="58"/>
  <c r="M7" i="58" s="1"/>
  <c r="K6" i="58"/>
  <c r="N6" i="58" s="1"/>
  <c r="X86" i="57"/>
  <c r="AB93" i="57"/>
  <c r="AB91" i="57"/>
  <c r="K69" i="57"/>
  <c r="K68" i="57"/>
  <c r="K67" i="57"/>
  <c r="K66" i="57"/>
  <c r="K65" i="57"/>
  <c r="K64" i="57"/>
  <c r="K63" i="57"/>
  <c r="M63" i="57" s="1"/>
  <c r="K62" i="57"/>
  <c r="K61" i="57"/>
  <c r="K60" i="57"/>
  <c r="K56" i="57"/>
  <c r="P24" i="7"/>
  <c r="G103" i="57"/>
  <c r="Z91" i="57"/>
  <c r="Z92" i="57"/>
  <c r="Z93" i="57"/>
  <c r="Z99" i="58" l="1"/>
  <c r="I85" i="58"/>
  <c r="N85" i="58" s="1"/>
  <c r="N90" i="58" s="1"/>
  <c r="K78" i="60"/>
  <c r="N22" i="58"/>
  <c r="M18" i="58"/>
  <c r="M44" i="58"/>
  <c r="K77" i="58"/>
  <c r="M15" i="60"/>
  <c r="M60" i="60"/>
  <c r="M78" i="60" s="1"/>
  <c r="V12" i="60" s="1"/>
  <c r="Z12" i="60" s="1"/>
  <c r="N14" i="58"/>
  <c r="M27" i="58"/>
  <c r="N49" i="58"/>
  <c r="N6" i="59"/>
  <c r="N10" i="59"/>
  <c r="M14" i="59"/>
  <c r="N17" i="59"/>
  <c r="N47" i="59"/>
  <c r="N51" i="59"/>
  <c r="K87" i="59"/>
  <c r="M87" i="59" s="1"/>
  <c r="M90" i="59" s="1"/>
  <c r="M8" i="60"/>
  <c r="N18" i="60"/>
  <c r="N36" i="60" s="1"/>
  <c r="M23" i="60"/>
  <c r="M26" i="60"/>
  <c r="M42" i="60"/>
  <c r="M50" i="60"/>
  <c r="N60" i="60"/>
  <c r="N78" i="60" s="1"/>
  <c r="AB99" i="60"/>
  <c r="X99" i="60"/>
  <c r="M21" i="59"/>
  <c r="M11" i="60"/>
  <c r="N22" i="59"/>
  <c r="N25" i="59"/>
  <c r="N28" i="59"/>
  <c r="N87" i="59"/>
  <c r="N90" i="59" s="1"/>
  <c r="M12" i="60"/>
  <c r="M16" i="60"/>
  <c r="M30" i="60"/>
  <c r="K77" i="60"/>
  <c r="Z99" i="60"/>
  <c r="K78" i="58"/>
  <c r="K78" i="59"/>
  <c r="M27" i="59"/>
  <c r="K87" i="58"/>
  <c r="M87" i="58" s="1"/>
  <c r="M8" i="59"/>
  <c r="M23" i="59"/>
  <c r="M26" i="59"/>
  <c r="M41" i="59"/>
  <c r="M49" i="59"/>
  <c r="M60" i="59"/>
  <c r="M78" i="59" s="1"/>
  <c r="V12" i="59" s="1"/>
  <c r="Z12" i="59" s="1"/>
  <c r="M13" i="60"/>
  <c r="M31" i="60"/>
  <c r="N47" i="60"/>
  <c r="M24" i="59"/>
  <c r="N47" i="58"/>
  <c r="M12" i="59"/>
  <c r="M30" i="59"/>
  <c r="N60" i="59"/>
  <c r="N78" i="59" s="1"/>
  <c r="M90" i="60"/>
  <c r="K77" i="59"/>
  <c r="M84" i="58"/>
  <c r="M86" i="59"/>
  <c r="M84" i="59"/>
  <c r="M86" i="60"/>
  <c r="M84" i="60"/>
  <c r="R83" i="60"/>
  <c r="S53" i="60"/>
  <c r="R50" i="60"/>
  <c r="S45" i="60"/>
  <c r="R42" i="60"/>
  <c r="R34" i="60"/>
  <c r="S32" i="60"/>
  <c r="R31" i="60"/>
  <c r="R28" i="60"/>
  <c r="R25" i="60"/>
  <c r="R22" i="60"/>
  <c r="S19" i="60"/>
  <c r="R15" i="60"/>
  <c r="R9" i="60"/>
  <c r="R6" i="60"/>
  <c r="I84" i="60"/>
  <c r="K84" i="60" s="1"/>
  <c r="S64" i="60"/>
  <c r="R30" i="60"/>
  <c r="R14" i="60"/>
  <c r="S28" i="60"/>
  <c r="AA98" i="60"/>
  <c r="I86" i="60"/>
  <c r="K86" i="60" s="1"/>
  <c r="S67" i="60"/>
  <c r="S65" i="60"/>
  <c r="S63" i="60"/>
  <c r="S61" i="60"/>
  <c r="R53" i="60"/>
  <c r="S48" i="60"/>
  <c r="R45" i="60"/>
  <c r="S40" i="60"/>
  <c r="R32" i="60"/>
  <c r="S29" i="60"/>
  <c r="R19" i="60"/>
  <c r="S7" i="60"/>
  <c r="S66" i="60"/>
  <c r="S60" i="60"/>
  <c r="S52" i="60"/>
  <c r="R49" i="60"/>
  <c r="S44" i="60"/>
  <c r="R41" i="60"/>
  <c r="R21" i="60"/>
  <c r="R67" i="60"/>
  <c r="R65" i="60"/>
  <c r="R63" i="60"/>
  <c r="R61" i="60"/>
  <c r="S51" i="60"/>
  <c r="R48" i="60"/>
  <c r="S43" i="60"/>
  <c r="R40" i="60"/>
  <c r="R29" i="60"/>
  <c r="S26" i="60"/>
  <c r="S23" i="60"/>
  <c r="S16" i="60"/>
  <c r="S10" i="60"/>
  <c r="R7" i="60"/>
  <c r="S62" i="60"/>
  <c r="R27" i="60"/>
  <c r="S17" i="60"/>
  <c r="R12" i="60"/>
  <c r="R84" i="60"/>
  <c r="S54" i="60"/>
  <c r="R51" i="60"/>
  <c r="S46" i="60"/>
  <c r="R43" i="60"/>
  <c r="S33" i="60"/>
  <c r="R26" i="60"/>
  <c r="R23" i="60"/>
  <c r="S20" i="60"/>
  <c r="R16" i="60"/>
  <c r="R10" i="60"/>
  <c r="R11" i="60"/>
  <c r="AA97" i="60"/>
  <c r="I88" i="60"/>
  <c r="K88" i="60" s="1"/>
  <c r="R85" i="60"/>
  <c r="R54" i="60"/>
  <c r="S49" i="60"/>
  <c r="R46" i="60"/>
  <c r="S41" i="60"/>
  <c r="R33" i="60"/>
  <c r="S30" i="60"/>
  <c r="S27" i="60"/>
  <c r="S24" i="60"/>
  <c r="S21" i="60"/>
  <c r="R20" i="60"/>
  <c r="S14" i="60"/>
  <c r="S13" i="60"/>
  <c r="S12" i="60"/>
  <c r="S11" i="60"/>
  <c r="S8" i="60"/>
  <c r="R24" i="60"/>
  <c r="S18" i="60"/>
  <c r="R13" i="60"/>
  <c r="R8" i="60"/>
  <c r="S22" i="60"/>
  <c r="R66" i="60"/>
  <c r="R64" i="60"/>
  <c r="R62" i="60"/>
  <c r="R60" i="60"/>
  <c r="S55" i="60"/>
  <c r="R52" i="60"/>
  <c r="S47" i="60"/>
  <c r="R44" i="60"/>
  <c r="S39" i="60"/>
  <c r="R18" i="60"/>
  <c r="R17" i="60"/>
  <c r="R86" i="60"/>
  <c r="R82" i="60"/>
  <c r="R55" i="60"/>
  <c r="S50" i="60"/>
  <c r="R47" i="60"/>
  <c r="S42" i="60"/>
  <c r="R39" i="60"/>
  <c r="S34" i="60"/>
  <c r="S31" i="60"/>
  <c r="S25" i="60"/>
  <c r="S15" i="60"/>
  <c r="S9" i="60"/>
  <c r="S6" i="60"/>
  <c r="M20" i="60"/>
  <c r="M33" i="60"/>
  <c r="M46" i="60"/>
  <c r="M54" i="60"/>
  <c r="N87" i="60"/>
  <c r="N90" i="60" s="1"/>
  <c r="M7" i="60"/>
  <c r="M29" i="60"/>
  <c r="M40" i="60"/>
  <c r="M48" i="60"/>
  <c r="M19" i="60"/>
  <c r="M32" i="60"/>
  <c r="M45" i="60"/>
  <c r="M53" i="60"/>
  <c r="M61" i="60"/>
  <c r="M77" i="60" s="1"/>
  <c r="K81" i="60"/>
  <c r="R83" i="59"/>
  <c r="S53" i="59"/>
  <c r="R50" i="59"/>
  <c r="S45" i="59"/>
  <c r="R42" i="59"/>
  <c r="R34" i="59"/>
  <c r="S32" i="59"/>
  <c r="R31" i="59"/>
  <c r="R28" i="59"/>
  <c r="R25" i="59"/>
  <c r="R22" i="59"/>
  <c r="S19" i="59"/>
  <c r="R15" i="59"/>
  <c r="R9" i="59"/>
  <c r="R6" i="59"/>
  <c r="R27" i="59"/>
  <c r="R24" i="59"/>
  <c r="S17" i="59"/>
  <c r="R14" i="59"/>
  <c r="R12" i="59"/>
  <c r="R8" i="59"/>
  <c r="AA98" i="59"/>
  <c r="I86" i="59"/>
  <c r="K86" i="59" s="1"/>
  <c r="S67" i="59"/>
  <c r="S65" i="59"/>
  <c r="S63" i="59"/>
  <c r="S61" i="59"/>
  <c r="R53" i="59"/>
  <c r="S48" i="59"/>
  <c r="R45" i="59"/>
  <c r="S40" i="59"/>
  <c r="R32" i="59"/>
  <c r="S29" i="59"/>
  <c r="R19" i="59"/>
  <c r="S7" i="59"/>
  <c r="S44" i="59"/>
  <c r="S18" i="59"/>
  <c r="R13" i="59"/>
  <c r="R11" i="59"/>
  <c r="S34" i="59"/>
  <c r="R67" i="59"/>
  <c r="R65" i="59"/>
  <c r="R63" i="59"/>
  <c r="R61" i="59"/>
  <c r="S51" i="59"/>
  <c r="R48" i="59"/>
  <c r="S43" i="59"/>
  <c r="R40" i="59"/>
  <c r="R29" i="59"/>
  <c r="S26" i="59"/>
  <c r="S23" i="59"/>
  <c r="S16" i="59"/>
  <c r="S10" i="59"/>
  <c r="R7" i="59"/>
  <c r="I84" i="59"/>
  <c r="K84" i="59" s="1"/>
  <c r="S66" i="59"/>
  <c r="S62" i="59"/>
  <c r="R39" i="59"/>
  <c r="S31" i="59"/>
  <c r="S28" i="59"/>
  <c r="S25" i="59"/>
  <c r="S22" i="59"/>
  <c r="S15" i="59"/>
  <c r="R84" i="59"/>
  <c r="S54" i="59"/>
  <c r="R51" i="59"/>
  <c r="S46" i="59"/>
  <c r="R43" i="59"/>
  <c r="S33" i="59"/>
  <c r="R26" i="59"/>
  <c r="R23" i="59"/>
  <c r="S20" i="59"/>
  <c r="R16" i="59"/>
  <c r="R10" i="59"/>
  <c r="S60" i="59"/>
  <c r="S52" i="59"/>
  <c r="R49" i="59"/>
  <c r="R30" i="59"/>
  <c r="R47" i="59"/>
  <c r="S6" i="59"/>
  <c r="AA97" i="59"/>
  <c r="I88" i="59"/>
  <c r="K88" i="59" s="1"/>
  <c r="R85" i="59"/>
  <c r="R54" i="59"/>
  <c r="S49" i="59"/>
  <c r="R46" i="59"/>
  <c r="S41" i="59"/>
  <c r="R33" i="59"/>
  <c r="S30" i="59"/>
  <c r="S27" i="59"/>
  <c r="S24" i="59"/>
  <c r="S21" i="59"/>
  <c r="R20" i="59"/>
  <c r="S14" i="59"/>
  <c r="S13" i="59"/>
  <c r="S12" i="59"/>
  <c r="S11" i="59"/>
  <c r="S8" i="59"/>
  <c r="S64" i="59"/>
  <c r="R41" i="59"/>
  <c r="R21" i="59"/>
  <c r="R66" i="59"/>
  <c r="R64" i="59"/>
  <c r="R62" i="59"/>
  <c r="R60" i="59"/>
  <c r="S55" i="59"/>
  <c r="R52" i="59"/>
  <c r="S47" i="59"/>
  <c r="R44" i="59"/>
  <c r="S39" i="59"/>
  <c r="R18" i="59"/>
  <c r="R17" i="59"/>
  <c r="R86" i="59"/>
  <c r="R82" i="59"/>
  <c r="R55" i="59"/>
  <c r="S50" i="59"/>
  <c r="S42" i="59"/>
  <c r="S9" i="59"/>
  <c r="M20" i="59"/>
  <c r="M33" i="59"/>
  <c r="M46" i="59"/>
  <c r="M54" i="59"/>
  <c r="X99" i="59"/>
  <c r="Z99" i="59"/>
  <c r="M7" i="59"/>
  <c r="M29" i="59"/>
  <c r="M40" i="59"/>
  <c r="M48" i="59"/>
  <c r="M19" i="59"/>
  <c r="M32" i="59"/>
  <c r="M45" i="59"/>
  <c r="M53" i="59"/>
  <c r="M61" i="59"/>
  <c r="M77" i="59" s="1"/>
  <c r="K81" i="59"/>
  <c r="R83" i="58"/>
  <c r="S53" i="58"/>
  <c r="R50" i="58"/>
  <c r="S45" i="58"/>
  <c r="R42" i="58"/>
  <c r="R34" i="58"/>
  <c r="S32" i="58"/>
  <c r="R31" i="58"/>
  <c r="R28" i="58"/>
  <c r="R25" i="58"/>
  <c r="R22" i="58"/>
  <c r="S19" i="58"/>
  <c r="R15" i="58"/>
  <c r="R9" i="58"/>
  <c r="R6" i="58"/>
  <c r="R33" i="58"/>
  <c r="S24" i="58"/>
  <c r="S21" i="58"/>
  <c r="S12" i="58"/>
  <c r="K84" i="58"/>
  <c r="S44" i="58"/>
  <c r="R41" i="58"/>
  <c r="R21" i="58"/>
  <c r="R11" i="58"/>
  <c r="R82" i="58"/>
  <c r="R47" i="58"/>
  <c r="S42" i="58"/>
  <c r="S34" i="58"/>
  <c r="S31" i="58"/>
  <c r="S25" i="58"/>
  <c r="S15" i="58"/>
  <c r="AA98" i="58"/>
  <c r="I86" i="58"/>
  <c r="K86" i="58" s="1"/>
  <c r="S67" i="58"/>
  <c r="S65" i="58"/>
  <c r="S63" i="58"/>
  <c r="S61" i="58"/>
  <c r="R53" i="58"/>
  <c r="S48" i="58"/>
  <c r="R45" i="58"/>
  <c r="S40" i="58"/>
  <c r="R32" i="58"/>
  <c r="S29" i="58"/>
  <c r="R19" i="58"/>
  <c r="S7" i="58"/>
  <c r="S8" i="58"/>
  <c r="S64" i="58"/>
  <c r="R27" i="58"/>
  <c r="R24" i="58"/>
  <c r="S18" i="58"/>
  <c r="R14" i="58"/>
  <c r="S55" i="58"/>
  <c r="R39" i="58"/>
  <c r="S9" i="58"/>
  <c r="R67" i="58"/>
  <c r="R65" i="58"/>
  <c r="R63" i="58"/>
  <c r="R61" i="58"/>
  <c r="S51" i="58"/>
  <c r="R48" i="58"/>
  <c r="S43" i="58"/>
  <c r="R40" i="58"/>
  <c r="R29" i="58"/>
  <c r="S26" i="58"/>
  <c r="S23" i="58"/>
  <c r="S16" i="58"/>
  <c r="S10" i="58"/>
  <c r="R7" i="58"/>
  <c r="AA97" i="58"/>
  <c r="I88" i="58"/>
  <c r="K88" i="58" s="1"/>
  <c r="R46" i="58"/>
  <c r="S41" i="58"/>
  <c r="R20" i="58"/>
  <c r="S14" i="58"/>
  <c r="S13" i="58"/>
  <c r="S66" i="58"/>
  <c r="S62" i="58"/>
  <c r="S52" i="58"/>
  <c r="R49" i="58"/>
  <c r="R30" i="58"/>
  <c r="S17" i="58"/>
  <c r="R13" i="58"/>
  <c r="R8" i="58"/>
  <c r="R44" i="58"/>
  <c r="R18" i="58"/>
  <c r="R17" i="58"/>
  <c r="S50" i="58"/>
  <c r="S28" i="58"/>
  <c r="S22" i="58"/>
  <c r="R84" i="58"/>
  <c r="S54" i="58"/>
  <c r="R51" i="58"/>
  <c r="S46" i="58"/>
  <c r="R43" i="58"/>
  <c r="S33" i="58"/>
  <c r="R26" i="58"/>
  <c r="R23" i="58"/>
  <c r="S20" i="58"/>
  <c r="R16" i="58"/>
  <c r="R10" i="58"/>
  <c r="R85" i="58"/>
  <c r="R54" i="58"/>
  <c r="S49" i="58"/>
  <c r="S30" i="58"/>
  <c r="S27" i="58"/>
  <c r="S11" i="58"/>
  <c r="S60" i="58"/>
  <c r="R12" i="58"/>
  <c r="S47" i="58"/>
  <c r="S39" i="58"/>
  <c r="R86" i="58"/>
  <c r="R55" i="58"/>
  <c r="S6" i="58"/>
  <c r="R66" i="58"/>
  <c r="R64" i="58"/>
  <c r="R62" i="58"/>
  <c r="R60" i="58"/>
  <c r="R52" i="58"/>
  <c r="M33" i="58"/>
  <c r="N20" i="58"/>
  <c r="M51" i="58"/>
  <c r="N16" i="58"/>
  <c r="N23" i="58"/>
  <c r="AB99" i="58"/>
  <c r="N7" i="58"/>
  <c r="M19" i="58"/>
  <c r="N29" i="58"/>
  <c r="M32" i="58"/>
  <c r="M45" i="58"/>
  <c r="N48" i="58"/>
  <c r="M53" i="58"/>
  <c r="M61" i="58"/>
  <c r="M77" i="58" s="1"/>
  <c r="M54" i="58"/>
  <c r="M43" i="58"/>
  <c r="N46" i="58"/>
  <c r="N10" i="58"/>
  <c r="N26" i="58"/>
  <c r="M6" i="58"/>
  <c r="M9" i="58"/>
  <c r="M15" i="58"/>
  <c r="M25" i="58"/>
  <c r="M28" i="58"/>
  <c r="M31" i="58"/>
  <c r="M42" i="58"/>
  <c r="M50" i="58"/>
  <c r="AB98" i="57"/>
  <c r="AB92" i="57"/>
  <c r="AA85" i="57"/>
  <c r="Z85" i="57"/>
  <c r="AA84" i="57"/>
  <c r="Z84" i="57"/>
  <c r="AA83" i="57"/>
  <c r="Z83" i="57"/>
  <c r="AA82" i="57"/>
  <c r="Z82" i="57"/>
  <c r="AA81" i="57"/>
  <c r="Z81" i="57"/>
  <c r="W99" i="57"/>
  <c r="X99" i="57" s="1"/>
  <c r="N36" i="59" l="1"/>
  <c r="M86" i="58"/>
  <c r="M89" i="58" s="1"/>
  <c r="K85" i="58"/>
  <c r="K90" i="58" s="1"/>
  <c r="V17" i="58" s="1"/>
  <c r="X12" i="59"/>
  <c r="X12" i="60"/>
  <c r="M78" i="58"/>
  <c r="V12" i="58" s="1"/>
  <c r="Z12" i="58" s="1"/>
  <c r="X12" i="58"/>
  <c r="N57" i="60"/>
  <c r="V6" i="60" s="1"/>
  <c r="V28" i="60" s="1"/>
  <c r="V31" i="60" s="1"/>
  <c r="N57" i="59"/>
  <c r="V6" i="59" s="1"/>
  <c r="V28" i="59" s="1"/>
  <c r="V31" i="59" s="1"/>
  <c r="I90" i="59"/>
  <c r="I90" i="60"/>
  <c r="M89" i="60"/>
  <c r="M89" i="59"/>
  <c r="M36" i="60"/>
  <c r="V10" i="60" s="1"/>
  <c r="M57" i="59"/>
  <c r="X11" i="59" s="1"/>
  <c r="K89" i="59"/>
  <c r="X17" i="59" s="1"/>
  <c r="V20" i="59" s="1"/>
  <c r="K89" i="58"/>
  <c r="X17" i="58" s="1"/>
  <c r="M57" i="60"/>
  <c r="X11" i="60" s="1"/>
  <c r="X13" i="60" s="1"/>
  <c r="I89" i="59"/>
  <c r="K89" i="60"/>
  <c r="X17" i="60" s="1"/>
  <c r="V20" i="60" s="1"/>
  <c r="I89" i="58"/>
  <c r="M36" i="59"/>
  <c r="V10" i="59" s="1"/>
  <c r="K90" i="60"/>
  <c r="V17" i="60" s="1"/>
  <c r="Z17" i="60" s="1"/>
  <c r="I89" i="60"/>
  <c r="M57" i="58"/>
  <c r="V11" i="58" s="1"/>
  <c r="Z11" i="58" s="1"/>
  <c r="K90" i="59"/>
  <c r="V17" i="59" s="1"/>
  <c r="Z17" i="59" s="1"/>
  <c r="N36" i="58"/>
  <c r="N57" i="58"/>
  <c r="I90" i="58"/>
  <c r="M36" i="58"/>
  <c r="AA86" i="57"/>
  <c r="Z86" i="57"/>
  <c r="N82" i="57" s="1"/>
  <c r="I85" i="57"/>
  <c r="Z99" i="57"/>
  <c r="E3" i="2"/>
  <c r="X13" i="59" l="1"/>
  <c r="M85" i="58"/>
  <c r="M90" i="58" s="1"/>
  <c r="V4" i="58" s="1"/>
  <c r="V20" i="58"/>
  <c r="Z17" i="58"/>
  <c r="V11" i="59"/>
  <c r="Z11" i="59" s="1"/>
  <c r="V4" i="60"/>
  <c r="R4" i="60" s="1"/>
  <c r="V11" i="60"/>
  <c r="Z11" i="60" s="1"/>
  <c r="V6" i="58"/>
  <c r="V28" i="58" s="1"/>
  <c r="V31" i="58" s="1"/>
  <c r="V4" i="59"/>
  <c r="V5" i="59" s="1"/>
  <c r="X11" i="58"/>
  <c r="X13" i="58" s="1"/>
  <c r="V10" i="58"/>
  <c r="V13" i="58" s="1"/>
  <c r="D56" i="57"/>
  <c r="H36" i="23" l="1"/>
  <c r="L31" i="22" s="1"/>
  <c r="M36" i="23"/>
  <c r="Q31" i="22" s="1"/>
  <c r="Z13" i="58"/>
  <c r="X20" i="58" s="1"/>
  <c r="V13" i="59"/>
  <c r="Z13" i="59" s="1"/>
  <c r="X20" i="59" s="1"/>
  <c r="V5" i="60"/>
  <c r="V13" i="60"/>
  <c r="Z13" i="60" s="1"/>
  <c r="X20" i="60" s="1"/>
  <c r="R4" i="59"/>
  <c r="M34" i="23"/>
  <c r="H34" i="23"/>
  <c r="V5" i="58"/>
  <c r="R4" i="58"/>
  <c r="G116" i="57"/>
  <c r="V26" i="57" s="1"/>
  <c r="W111" i="57"/>
  <c r="Z103" i="57"/>
  <c r="V23" i="57"/>
  <c r="J87" i="57"/>
  <c r="W86" i="57"/>
  <c r="I83" i="57" s="1"/>
  <c r="K83" i="57" s="1"/>
  <c r="V86" i="57"/>
  <c r="N83" i="57"/>
  <c r="N81" i="57" s="1"/>
  <c r="J78" i="57"/>
  <c r="I78" i="57"/>
  <c r="J77" i="57"/>
  <c r="I77" i="57"/>
  <c r="K76" i="57"/>
  <c r="E76" i="57"/>
  <c r="K75" i="57"/>
  <c r="K74" i="57"/>
  <c r="K73" i="57"/>
  <c r="K72" i="57"/>
  <c r="V69" i="57"/>
  <c r="E68" i="57"/>
  <c r="M67" i="57"/>
  <c r="M65" i="57"/>
  <c r="K55" i="57"/>
  <c r="K54" i="57"/>
  <c r="K53" i="57"/>
  <c r="K52" i="57"/>
  <c r="K51" i="57"/>
  <c r="N51" i="57" s="1"/>
  <c r="K50" i="57"/>
  <c r="N50" i="57" s="1"/>
  <c r="K49" i="57"/>
  <c r="K48" i="57"/>
  <c r="N48" i="57" s="1"/>
  <c r="K47" i="57"/>
  <c r="K46" i="57"/>
  <c r="K45" i="57"/>
  <c r="K44" i="57"/>
  <c r="K43" i="57"/>
  <c r="K42" i="57"/>
  <c r="K41" i="57"/>
  <c r="K40" i="57"/>
  <c r="K39" i="57"/>
  <c r="W31" i="57"/>
  <c r="K35" i="57"/>
  <c r="D35" i="57"/>
  <c r="K34" i="57"/>
  <c r="K33" i="57"/>
  <c r="K32" i="57"/>
  <c r="K31" i="57"/>
  <c r="N31" i="57" s="1"/>
  <c r="K30" i="57"/>
  <c r="K29" i="57"/>
  <c r="K28" i="57"/>
  <c r="N28" i="57" s="1"/>
  <c r="K27" i="57"/>
  <c r="K26" i="57"/>
  <c r="K25" i="57"/>
  <c r="N25" i="57" s="1"/>
  <c r="K24" i="57"/>
  <c r="K23" i="57"/>
  <c r="K22" i="57"/>
  <c r="K21" i="57"/>
  <c r="N21" i="57" s="1"/>
  <c r="K20" i="57"/>
  <c r="N20" i="57" s="1"/>
  <c r="K19" i="57"/>
  <c r="N19" i="57" s="1"/>
  <c r="K18" i="57"/>
  <c r="N18" i="57" s="1"/>
  <c r="K17" i="57"/>
  <c r="K16" i="57"/>
  <c r="K15" i="57"/>
  <c r="K14" i="57"/>
  <c r="N14" i="57" s="1"/>
  <c r="K13" i="57"/>
  <c r="N13" i="57" s="1"/>
  <c r="K12" i="57"/>
  <c r="N12" i="57" s="1"/>
  <c r="K11" i="57"/>
  <c r="N11" i="57" s="1"/>
  <c r="K10" i="57"/>
  <c r="K9" i="57"/>
  <c r="K8" i="57"/>
  <c r="N8" i="57" s="1"/>
  <c r="K7" i="57"/>
  <c r="N7" i="57" s="1"/>
  <c r="K6" i="57"/>
  <c r="M28" i="23" l="1"/>
  <c r="Q23" i="22" s="1"/>
  <c r="H28" i="23"/>
  <c r="L23" i="22" s="1"/>
  <c r="M32" i="23"/>
  <c r="Q27" i="22" s="1"/>
  <c r="H32" i="23"/>
  <c r="R87" i="57"/>
  <c r="K87" i="57"/>
  <c r="M87" i="57" s="1"/>
  <c r="J90" i="57"/>
  <c r="M76" i="57"/>
  <c r="M75" i="57"/>
  <c r="M74" i="57"/>
  <c r="M73" i="57"/>
  <c r="H30" i="23"/>
  <c r="I86" i="57"/>
  <c r="K86" i="57" s="1"/>
  <c r="I88" i="57"/>
  <c r="K88" i="57" s="1"/>
  <c r="M86" i="57"/>
  <c r="L27" i="22"/>
  <c r="M30" i="23"/>
  <c r="H26" i="23"/>
  <c r="M26" i="23"/>
  <c r="I82" i="57"/>
  <c r="K82" i="57" s="1"/>
  <c r="M13" i="57"/>
  <c r="M8" i="57"/>
  <c r="M45" i="57"/>
  <c r="M11" i="57"/>
  <c r="M17" i="57"/>
  <c r="N17" i="57"/>
  <c r="M24" i="57"/>
  <c r="N24" i="57"/>
  <c r="M29" i="57"/>
  <c r="N29" i="57"/>
  <c r="M40" i="57"/>
  <c r="M41" i="57"/>
  <c r="M12" i="57"/>
  <c r="M53" i="57"/>
  <c r="M7" i="57"/>
  <c r="M18" i="57"/>
  <c r="M25" i="57"/>
  <c r="M26" i="57"/>
  <c r="N26" i="57"/>
  <c r="M31" i="57"/>
  <c r="M42" i="57"/>
  <c r="M48" i="57"/>
  <c r="M16" i="57"/>
  <c r="N16" i="57"/>
  <c r="K78" i="57"/>
  <c r="M27" i="57"/>
  <c r="N27" i="57"/>
  <c r="M32" i="57"/>
  <c r="N32" i="57"/>
  <c r="M49" i="57"/>
  <c r="N49" i="57"/>
  <c r="M9" i="57"/>
  <c r="N9" i="57"/>
  <c r="M33" i="57"/>
  <c r="N33" i="57"/>
  <c r="M23" i="57"/>
  <c r="N23" i="57"/>
  <c r="M30" i="57"/>
  <c r="N30" i="57"/>
  <c r="M10" i="57"/>
  <c r="N10" i="57"/>
  <c r="N15" i="57"/>
  <c r="M28" i="57"/>
  <c r="M50" i="57"/>
  <c r="K77" i="57"/>
  <c r="N87" i="57"/>
  <c r="M54" i="57"/>
  <c r="I84" i="57"/>
  <c r="K84" i="57" s="1"/>
  <c r="S60" i="57"/>
  <c r="N60" i="57" s="1"/>
  <c r="S52" i="57"/>
  <c r="R30" i="57"/>
  <c r="R33" i="57"/>
  <c r="R17" i="57"/>
  <c r="S21" i="57"/>
  <c r="R49" i="57"/>
  <c r="R24" i="57"/>
  <c r="R27" i="57"/>
  <c r="R82" i="57"/>
  <c r="S44" i="57"/>
  <c r="R41" i="57"/>
  <c r="S24" i="57"/>
  <c r="S27" i="57"/>
  <c r="R63" i="57"/>
  <c r="R65" i="57"/>
  <c r="R67" i="57"/>
  <c r="S8" i="57"/>
  <c r="S11" i="57"/>
  <c r="S12" i="57"/>
  <c r="S13" i="57"/>
  <c r="S14" i="57"/>
  <c r="R15" i="57"/>
  <c r="R19" i="57"/>
  <c r="R20" i="57"/>
  <c r="M21" i="57"/>
  <c r="R43" i="57"/>
  <c r="M44" i="57"/>
  <c r="S46" i="57"/>
  <c r="R51" i="57"/>
  <c r="M52" i="57"/>
  <c r="S54" i="57"/>
  <c r="S61" i="57"/>
  <c r="S63" i="57"/>
  <c r="S65" i="57"/>
  <c r="S67" i="57"/>
  <c r="R12" i="57"/>
  <c r="S41" i="57"/>
  <c r="R46" i="57"/>
  <c r="M46" i="57" s="1"/>
  <c r="S49" i="57"/>
  <c r="R54" i="57"/>
  <c r="R61" i="57"/>
  <c r="M61" i="57" s="1"/>
  <c r="R10" i="57"/>
  <c r="S15" i="57"/>
  <c r="R16" i="57"/>
  <c r="S19" i="57"/>
  <c r="S20" i="57"/>
  <c r="R23" i="57"/>
  <c r="R26" i="57"/>
  <c r="R29" i="57"/>
  <c r="R32" i="57"/>
  <c r="R40" i="57"/>
  <c r="S43" i="57"/>
  <c r="R48" i="57"/>
  <c r="S51" i="57"/>
  <c r="R86" i="57"/>
  <c r="AA97" i="57"/>
  <c r="AB97" i="57" s="1"/>
  <c r="AB99" i="57" s="1"/>
  <c r="S26" i="57"/>
  <c r="S29" i="57"/>
  <c r="S32" i="57"/>
  <c r="S48" i="57"/>
  <c r="R60" i="57"/>
  <c r="M60" i="57" s="1"/>
  <c r="R62" i="57"/>
  <c r="M62" i="57" s="1"/>
  <c r="R66" i="57"/>
  <c r="M66" i="57" s="1"/>
  <c r="R85" i="57"/>
  <c r="S7" i="57"/>
  <c r="M14" i="57"/>
  <c r="R18" i="57"/>
  <c r="M19" i="57"/>
  <c r="M20" i="57"/>
  <c r="S22" i="57"/>
  <c r="R25" i="57"/>
  <c r="R28" i="57"/>
  <c r="R31" i="57"/>
  <c r="R34" i="57"/>
  <c r="M34" i="57" s="1"/>
  <c r="R42" i="57"/>
  <c r="M43" i="57"/>
  <c r="S45" i="57"/>
  <c r="R50" i="57"/>
  <c r="M51" i="57"/>
  <c r="S53" i="57"/>
  <c r="S62" i="57"/>
  <c r="N62" i="57" s="1"/>
  <c r="S64" i="57"/>
  <c r="S66" i="57"/>
  <c r="R8" i="57"/>
  <c r="R11" i="57"/>
  <c r="R14" i="57"/>
  <c r="S17" i="57"/>
  <c r="S33" i="57"/>
  <c r="R7" i="57"/>
  <c r="S10" i="57"/>
  <c r="S16" i="57"/>
  <c r="S23" i="57"/>
  <c r="R45" i="57"/>
  <c r="R53" i="57"/>
  <c r="R6" i="57"/>
  <c r="M6" i="57" s="1"/>
  <c r="R9" i="57"/>
  <c r="S18" i="57"/>
  <c r="S25" i="57"/>
  <c r="S28" i="57"/>
  <c r="S31" i="57"/>
  <c r="S34" i="57"/>
  <c r="R39" i="57"/>
  <c r="M39" i="57" s="1"/>
  <c r="S42" i="57"/>
  <c r="R47" i="57"/>
  <c r="M47" i="57" s="1"/>
  <c r="N47" i="57" s="1"/>
  <c r="S50" i="57"/>
  <c r="R55" i="57"/>
  <c r="M55" i="57" s="1"/>
  <c r="R84" i="57"/>
  <c r="AA98" i="57"/>
  <c r="R13" i="57"/>
  <c r="S30" i="57"/>
  <c r="R22" i="57"/>
  <c r="M22" i="57" s="1"/>
  <c r="S40" i="57"/>
  <c r="R64" i="57"/>
  <c r="M64" i="57" s="1"/>
  <c r="S6" i="57"/>
  <c r="S9" i="57"/>
  <c r="R21" i="57"/>
  <c r="S39" i="57"/>
  <c r="R44" i="57"/>
  <c r="S47" i="57"/>
  <c r="R52" i="57"/>
  <c r="S55" i="57"/>
  <c r="R83" i="57"/>
  <c r="M83" i="57" s="1"/>
  <c r="D39" i="11"/>
  <c r="N78" i="57" l="1"/>
  <c r="M82" i="57"/>
  <c r="M81" i="57" s="1"/>
  <c r="I81" i="57"/>
  <c r="N22" i="57"/>
  <c r="N6" i="57"/>
  <c r="N46" i="57"/>
  <c r="K85" i="57"/>
  <c r="M85" i="57" s="1"/>
  <c r="N85" i="57"/>
  <c r="N90" i="57" s="1"/>
  <c r="M36" i="57"/>
  <c r="M57" i="57"/>
  <c r="X11" i="57" s="1"/>
  <c r="K89" i="57"/>
  <c r="X17" i="57" s="1"/>
  <c r="I89" i="57"/>
  <c r="M77" i="57"/>
  <c r="X12" i="57" s="1"/>
  <c r="M78" i="57"/>
  <c r="V12" i="57" s="1"/>
  <c r="Q52" i="22"/>
  <c r="Q51" i="22"/>
  <c r="Q50" i="22"/>
  <c r="Q49" i="22"/>
  <c r="Q48" i="22"/>
  <c r="I46" i="18"/>
  <c r="P46" i="18" s="1"/>
  <c r="E46" i="18"/>
  <c r="I45" i="18"/>
  <c r="P45" i="18" s="1"/>
  <c r="E45" i="18"/>
  <c r="I44" i="18"/>
  <c r="P44" i="18" s="1"/>
  <c r="E44" i="18"/>
  <c r="I43" i="18"/>
  <c r="P43" i="18" s="1"/>
  <c r="E43" i="18"/>
  <c r="I42" i="18"/>
  <c r="P42" i="18" s="1"/>
  <c r="E42" i="18"/>
  <c r="E35" i="18"/>
  <c r="P35" i="18" s="1"/>
  <c r="E34" i="18"/>
  <c r="P34" i="18" s="1"/>
  <c r="E33" i="18"/>
  <c r="P33" i="18" s="1"/>
  <c r="E32" i="18"/>
  <c r="P32" i="18" s="1"/>
  <c r="E31" i="18"/>
  <c r="P31" i="18" s="1"/>
  <c r="M90" i="57" l="1"/>
  <c r="V4" i="57" s="1"/>
  <c r="M84" i="57"/>
  <c r="M89" i="57" s="1"/>
  <c r="X13" i="57"/>
  <c r="V10" i="57"/>
  <c r="K81" i="57"/>
  <c r="K90" i="57" s="1"/>
  <c r="V17" i="57" s="1"/>
  <c r="Z17" i="57" s="1"/>
  <c r="I90" i="57"/>
  <c r="Z12" i="57"/>
  <c r="N36" i="57"/>
  <c r="N57" i="57"/>
  <c r="V11" i="57"/>
  <c r="Q63" i="22"/>
  <c r="Q62" i="22"/>
  <c r="Q61" i="22"/>
  <c r="Q60" i="22"/>
  <c r="Q59" i="22"/>
  <c r="J15" i="31"/>
  <c r="J16" i="31"/>
  <c r="J17" i="31"/>
  <c r="J18" i="31"/>
  <c r="J19" i="31"/>
  <c r="J20" i="31"/>
  <c r="J21" i="31"/>
  <c r="J22" i="31"/>
  <c r="J23" i="31"/>
  <c r="J24" i="31"/>
  <c r="J25" i="31"/>
  <c r="J26" i="31"/>
  <c r="J27" i="31"/>
  <c r="J28" i="31"/>
  <c r="J3" i="31"/>
  <c r="V20" i="57" l="1"/>
  <c r="V13" i="57"/>
  <c r="Z13" i="57" s="1"/>
  <c r="X20" i="57" s="1"/>
  <c r="V6" i="57"/>
  <c r="V28" i="57" s="1"/>
  <c r="Z11" i="57"/>
  <c r="V5" i="57"/>
  <c r="V31" i="57" l="1"/>
  <c r="R4" i="57"/>
  <c r="H24" i="7" l="1"/>
  <c r="K17" i="18" s="1"/>
  <c r="M24" i="7"/>
  <c r="H26" i="7"/>
  <c r="K19" i="18" s="1"/>
  <c r="C22" i="23"/>
  <c r="C23" i="23"/>
  <c r="BN18" i="31"/>
  <c r="BN17" i="31"/>
  <c r="H15" i="31"/>
  <c r="H14" i="31"/>
  <c r="H13" i="31"/>
  <c r="H12" i="31"/>
  <c r="H11" i="31"/>
  <c r="H10" i="31"/>
  <c r="H9" i="31"/>
  <c r="H8" i="31"/>
  <c r="H7" i="31"/>
  <c r="H6" i="31"/>
  <c r="H5" i="31"/>
  <c r="H4" i="31"/>
  <c r="H3" i="31"/>
  <c r="C34" i="23"/>
  <c r="C26" i="23"/>
  <c r="C30" i="23"/>
  <c r="M26" i="7" l="1"/>
  <c r="P19" i="18" s="1"/>
  <c r="P17" i="18"/>
  <c r="H22" i="23"/>
  <c r="H31" i="23" s="1"/>
  <c r="A26" i="7"/>
  <c r="A24" i="7"/>
  <c r="J4" i="31" l="1"/>
  <c r="J5" i="31"/>
  <c r="J6" i="31"/>
  <c r="J7" i="31"/>
  <c r="J8" i="31"/>
  <c r="J9" i="31"/>
  <c r="J10" i="31"/>
  <c r="J11" i="31"/>
  <c r="J12" i="31"/>
  <c r="J13" i="31"/>
  <c r="J14" i="31"/>
  <c r="F35" i="45" l="1"/>
  <c r="F34" i="45"/>
  <c r="L37" i="22" l="1"/>
  <c r="L36" i="22"/>
  <c r="CD3" i="31" l="1"/>
  <c r="CD4" i="31"/>
  <c r="CD5" i="31"/>
  <c r="CD6" i="31"/>
  <c r="CD7" i="31"/>
  <c r="CD8" i="31"/>
  <c r="CD9" i="31"/>
  <c r="CD10" i="31"/>
  <c r="CD11" i="31"/>
  <c r="CD2" i="31"/>
  <c r="A16" i="23" l="1"/>
  <c r="A13" i="23" l="1"/>
  <c r="U3" i="36" l="1"/>
  <c r="U4" i="36"/>
  <c r="U5" i="36"/>
  <c r="U6" i="36"/>
  <c r="U7" i="36"/>
  <c r="U8" i="36"/>
  <c r="U9" i="36"/>
  <c r="U14" i="36"/>
  <c r="U15" i="36"/>
  <c r="U16" i="36"/>
  <c r="U17" i="36"/>
  <c r="U18" i="36"/>
  <c r="U19" i="36"/>
  <c r="U20" i="36"/>
  <c r="U21" i="36"/>
  <c r="U22" i="36"/>
  <c r="U23" i="36"/>
  <c r="U2" i="36"/>
  <c r="BA12" i="31" l="1"/>
  <c r="BB12" i="31" s="1"/>
  <c r="BD12" i="31"/>
  <c r="BA2" i="31"/>
  <c r="BE2" i="31" s="1"/>
  <c r="BA33" i="31"/>
  <c r="BB33" i="31" s="1"/>
  <c r="BA34" i="31"/>
  <c r="BE34" i="31" s="1"/>
  <c r="BA35" i="31"/>
  <c r="BE35" i="31" s="1"/>
  <c r="BA36" i="31"/>
  <c r="BB36" i="31" s="1"/>
  <c r="BA37" i="31"/>
  <c r="BB37" i="31" s="1"/>
  <c r="BA38" i="31"/>
  <c r="BE38" i="31" s="1"/>
  <c r="BA39" i="31"/>
  <c r="BE39" i="31" s="1"/>
  <c r="BA40" i="31"/>
  <c r="BB40" i="31" s="1"/>
  <c r="BA41" i="31"/>
  <c r="BB41" i="31" s="1"/>
  <c r="BA32" i="31"/>
  <c r="BB32" i="31" s="1"/>
  <c r="BA23" i="31"/>
  <c r="BE23" i="31" s="1"/>
  <c r="BA24" i="31"/>
  <c r="BB24" i="31" s="1"/>
  <c r="BA25" i="31"/>
  <c r="BB25" i="31" s="1"/>
  <c r="BA26" i="31"/>
  <c r="BB26" i="31" s="1"/>
  <c r="BA27" i="31"/>
  <c r="BE27" i="31" s="1"/>
  <c r="BA28" i="31"/>
  <c r="BB28" i="31" s="1"/>
  <c r="BA29" i="31"/>
  <c r="BB29" i="31" s="1"/>
  <c r="BA30" i="31"/>
  <c r="BB30" i="31" s="1"/>
  <c r="BA31" i="31"/>
  <c r="BE31" i="31" s="1"/>
  <c r="BA22" i="31"/>
  <c r="BB22" i="31" s="1"/>
  <c r="BA3" i="31"/>
  <c r="BE3" i="31" s="1"/>
  <c r="BA4" i="31"/>
  <c r="BB4" i="31" s="1"/>
  <c r="BA5" i="31"/>
  <c r="BB5" i="31" s="1"/>
  <c r="BA6" i="31"/>
  <c r="BB6" i="31" s="1"/>
  <c r="BA7" i="31"/>
  <c r="BE7" i="31" s="1"/>
  <c r="BA8" i="31"/>
  <c r="BB8" i="31" s="1"/>
  <c r="BA9" i="31"/>
  <c r="BB9" i="31" s="1"/>
  <c r="BA10" i="31"/>
  <c r="BB10" i="31" s="1"/>
  <c r="BA11" i="31"/>
  <c r="BE11" i="31" s="1"/>
  <c r="BA13" i="31"/>
  <c r="BB13" i="31" s="1"/>
  <c r="BA14" i="31"/>
  <c r="BB14" i="31" s="1"/>
  <c r="BA15" i="31"/>
  <c r="BE15" i="31" s="1"/>
  <c r="BA16" i="31"/>
  <c r="BB16" i="31" s="1"/>
  <c r="BA17" i="31"/>
  <c r="BB17" i="31" s="1"/>
  <c r="BA18" i="31"/>
  <c r="BB18" i="31" s="1"/>
  <c r="BA19" i="31"/>
  <c r="BE19" i="31" s="1"/>
  <c r="BA20" i="31"/>
  <c r="BB20" i="31" s="1"/>
  <c r="BA21" i="31"/>
  <c r="BB21" i="31" s="1"/>
  <c r="BD2" i="31"/>
  <c r="BB39" i="31" l="1"/>
  <c r="BB38" i="31"/>
  <c r="BB35" i="31"/>
  <c r="BB34" i="31"/>
  <c r="BB31" i="31"/>
  <c r="BB23" i="31"/>
  <c r="BE30" i="31"/>
  <c r="BE26" i="31"/>
  <c r="BB27" i="31"/>
  <c r="BE21" i="31"/>
  <c r="BE20" i="31"/>
  <c r="BE18" i="31"/>
  <c r="BE17" i="31"/>
  <c r="BE16" i="31"/>
  <c r="BE14" i="31"/>
  <c r="BE13" i="31"/>
  <c r="BB11" i="31"/>
  <c r="BB7" i="31"/>
  <c r="BB3" i="31"/>
  <c r="BE22" i="31"/>
  <c r="BE32" i="31"/>
  <c r="BB19" i="31"/>
  <c r="BB15" i="31"/>
  <c r="BE10" i="31"/>
  <c r="BE6" i="31"/>
  <c r="BB2" i="31"/>
  <c r="BE41" i="31"/>
  <c r="BE37" i="31"/>
  <c r="BE33" i="31"/>
  <c r="BE29" i="31"/>
  <c r="BE25" i="31"/>
  <c r="BE9" i="31"/>
  <c r="BE5" i="31"/>
  <c r="BE40" i="31"/>
  <c r="BE36" i="31"/>
  <c r="BE28" i="31"/>
  <c r="BE24" i="31"/>
  <c r="BE12" i="31"/>
  <c r="BE8" i="31"/>
  <c r="BE4" i="31"/>
  <c r="BC2" i="31" l="1"/>
  <c r="D38" i="46"/>
  <c r="D38" i="45"/>
  <c r="L38" i="22"/>
  <c r="Q54" i="22"/>
  <c r="Q43" i="22"/>
  <c r="Q47" i="22" l="1"/>
  <c r="Q46" i="22"/>
  <c r="Q45" i="22"/>
  <c r="Q44" i="22"/>
  <c r="Q58" i="22" l="1"/>
  <c r="Q57" i="22"/>
  <c r="Q56" i="22"/>
  <c r="Q55" i="22"/>
  <c r="F6" i="45" l="1"/>
  <c r="F6" i="46" s="1"/>
  <c r="O49" i="2" l="1"/>
  <c r="E6" i="44" l="1"/>
  <c r="F7" i="45" l="1"/>
  <c r="F7" i="46" s="1"/>
  <c r="F8" i="45"/>
  <c r="F8" i="46" s="1"/>
  <c r="F9" i="45"/>
  <c r="F9" i="46" s="1"/>
  <c r="F10" i="45"/>
  <c r="F10" i="46" s="1"/>
  <c r="F11" i="45"/>
  <c r="F11" i="46" s="1"/>
  <c r="F12" i="45"/>
  <c r="F12" i="46" s="1"/>
  <c r="F13" i="45"/>
  <c r="F13" i="46" s="1"/>
  <c r="F14" i="45"/>
  <c r="F14" i="46" s="1"/>
  <c r="F15" i="45"/>
  <c r="F15" i="46" s="1"/>
  <c r="F16" i="45"/>
  <c r="F16" i="46" s="1"/>
  <c r="F17" i="45"/>
  <c r="F17" i="46" s="1"/>
  <c r="F18" i="45"/>
  <c r="F18" i="46" s="1"/>
  <c r="F19" i="45"/>
  <c r="F19" i="46" s="1"/>
  <c r="F20" i="45"/>
  <c r="F20" i="46" s="1"/>
  <c r="F21" i="45"/>
  <c r="F21" i="46" s="1"/>
  <c r="F22" i="45"/>
  <c r="F22" i="46" s="1"/>
  <c r="F23" i="45"/>
  <c r="F23" i="46" s="1"/>
  <c r="F24" i="45"/>
  <c r="F24" i="46" s="1"/>
  <c r="F25" i="45"/>
  <c r="F25" i="46" s="1"/>
  <c r="F26" i="45"/>
  <c r="F26" i="46" s="1"/>
  <c r="F27" i="45"/>
  <c r="F27" i="46" s="1"/>
  <c r="F28" i="45"/>
  <c r="F28" i="46" s="1"/>
  <c r="F29" i="45"/>
  <c r="F30" i="45"/>
  <c r="F30" i="46" s="1"/>
  <c r="F31" i="45"/>
  <c r="F31" i="46" s="1"/>
  <c r="F32" i="45"/>
  <c r="F32" i="46" s="1"/>
  <c r="F33" i="45"/>
  <c r="F33" i="46" s="1"/>
  <c r="F34" i="46"/>
  <c r="F35" i="46"/>
  <c r="L71" i="46" l="1"/>
  <c r="L70" i="46"/>
  <c r="L73" i="46" s="1"/>
  <c r="L47" i="46"/>
  <c r="L46" i="46"/>
  <c r="L45" i="46"/>
  <c r="L49" i="46" s="1"/>
  <c r="L9" i="46"/>
  <c r="J2" i="46"/>
  <c r="BD33" i="31"/>
  <c r="BD34" i="31"/>
  <c r="BD35" i="31"/>
  <c r="BD36" i="31"/>
  <c r="BD37" i="31"/>
  <c r="BD38" i="31"/>
  <c r="BD39" i="31"/>
  <c r="BD40" i="31"/>
  <c r="BD41" i="31"/>
  <c r="BD32" i="31"/>
  <c r="BD23" i="31"/>
  <c r="BD24" i="31"/>
  <c r="BD25" i="31"/>
  <c r="BD26" i="31"/>
  <c r="BD27" i="31"/>
  <c r="BD28" i="31"/>
  <c r="BD29" i="31"/>
  <c r="BD30" i="31"/>
  <c r="BD31" i="31"/>
  <c r="BD22" i="31"/>
  <c r="BD13" i="31"/>
  <c r="BD14" i="31"/>
  <c r="BD15" i="31"/>
  <c r="BD16" i="31"/>
  <c r="BD17" i="31"/>
  <c r="BD18" i="31"/>
  <c r="BD19" i="31"/>
  <c r="BD20" i="31"/>
  <c r="BD21" i="31"/>
  <c r="BD3" i="31"/>
  <c r="BD4" i="31"/>
  <c r="BD5" i="31"/>
  <c r="BD6" i="31"/>
  <c r="BD7" i="31"/>
  <c r="BD8" i="31"/>
  <c r="BD9" i="31"/>
  <c r="BD10" i="31"/>
  <c r="BD11" i="31"/>
  <c r="P6" i="46" l="1"/>
  <c r="P8" i="46"/>
  <c r="BO2" i="31"/>
  <c r="L48" i="46"/>
  <c r="BO4" i="31"/>
  <c r="P7" i="46"/>
  <c r="R8" i="46"/>
  <c r="Q72" i="46"/>
  <c r="Q7" i="46"/>
  <c r="S8" i="46"/>
  <c r="Q47" i="46"/>
  <c r="R72" i="46"/>
  <c r="R7" i="46"/>
  <c r="R47" i="46"/>
  <c r="L72" i="46"/>
  <c r="S7" i="46"/>
  <c r="Q8" i="46"/>
  <c r="T8" i="46" s="1"/>
  <c r="S47" i="46"/>
  <c r="BO3" i="31"/>
  <c r="BO8" i="31"/>
  <c r="BO12" i="31"/>
  <c r="BO7" i="31"/>
  <c r="BO14" i="31"/>
  <c r="BO10" i="31"/>
  <c r="BO6" i="31"/>
  <c r="BO13" i="31"/>
  <c r="BO9" i="31"/>
  <c r="BO5" i="31"/>
  <c r="BO11" i="31"/>
  <c r="AA81" i="31"/>
  <c r="AB81" i="31" s="1"/>
  <c r="AC81" i="31" s="1"/>
  <c r="AA80" i="31"/>
  <c r="AB80" i="31" s="1"/>
  <c r="AC80" i="31" s="1"/>
  <c r="AA79" i="31"/>
  <c r="AB79" i="31" s="1"/>
  <c r="AC79" i="31" s="1"/>
  <c r="AA78" i="31"/>
  <c r="AB78" i="31" s="1"/>
  <c r="AC78" i="31" s="1"/>
  <c r="AA77" i="31"/>
  <c r="AA76" i="31"/>
  <c r="AB76" i="31" s="1"/>
  <c r="AC76" i="31" s="1"/>
  <c r="AA75" i="31"/>
  <c r="AA74" i="31"/>
  <c r="AB74" i="31" s="1"/>
  <c r="AC74" i="31" s="1"/>
  <c r="AA73" i="31"/>
  <c r="AB73" i="31" s="1"/>
  <c r="AC73" i="31" s="1"/>
  <c r="AA72" i="31"/>
  <c r="AB72" i="31" s="1"/>
  <c r="AC72" i="31" s="1"/>
  <c r="AA71" i="31"/>
  <c r="AB71" i="31" s="1"/>
  <c r="AC71" i="31" s="1"/>
  <c r="AA70" i="31"/>
  <c r="AB70" i="31" s="1"/>
  <c r="AC70" i="31" s="1"/>
  <c r="AA69" i="31"/>
  <c r="AB69" i="31" s="1"/>
  <c r="AC69" i="31" s="1"/>
  <c r="AA68" i="31"/>
  <c r="AB68" i="31" s="1"/>
  <c r="AC68" i="31" s="1"/>
  <c r="AA67" i="31"/>
  <c r="AB67" i="31" s="1"/>
  <c r="AC67" i="31" s="1"/>
  <c r="AA66" i="31"/>
  <c r="AB66" i="31" s="1"/>
  <c r="AC66" i="31" s="1"/>
  <c r="AA65" i="31"/>
  <c r="AB65" i="31" s="1"/>
  <c r="AC65" i="31" s="1"/>
  <c r="AA64" i="31"/>
  <c r="AB64" i="31" s="1"/>
  <c r="AC64" i="31" s="1"/>
  <c r="AA63" i="31"/>
  <c r="AB63" i="31" s="1"/>
  <c r="AA62" i="31"/>
  <c r="AB62" i="31" s="1"/>
  <c r="AA61" i="31"/>
  <c r="AB61" i="31" s="1"/>
  <c r="AC61" i="31" s="1"/>
  <c r="AA60" i="31"/>
  <c r="AB60" i="31" s="1"/>
  <c r="AC60" i="31" s="1"/>
  <c r="AA59" i="31"/>
  <c r="AB59" i="31" s="1"/>
  <c r="AC59" i="31" s="1"/>
  <c r="AA58" i="31"/>
  <c r="AB58" i="31" s="1"/>
  <c r="AC58" i="31" s="1"/>
  <c r="AA57" i="31"/>
  <c r="AB57" i="31" s="1"/>
  <c r="AC57" i="31" s="1"/>
  <c r="AA56" i="31"/>
  <c r="AB56" i="31" s="1"/>
  <c r="AC56" i="31" s="1"/>
  <c r="AA55" i="31"/>
  <c r="AB55" i="31" s="1"/>
  <c r="AC55" i="31" s="1"/>
  <c r="AA54" i="31"/>
  <c r="AB54" i="31" s="1"/>
  <c r="AC54" i="31" s="1"/>
  <c r="AA53" i="31"/>
  <c r="AB53" i="31" s="1"/>
  <c r="AC53" i="31" s="1"/>
  <c r="AA52" i="31"/>
  <c r="AB52" i="31" s="1"/>
  <c r="AC52" i="31" s="1"/>
  <c r="AA51" i="31"/>
  <c r="AB51" i="31" s="1"/>
  <c r="AC51" i="31" s="1"/>
  <c r="AA50" i="31"/>
  <c r="AB50" i="31" s="1"/>
  <c r="AC50" i="31" s="1"/>
  <c r="AA49" i="31"/>
  <c r="AB49" i="31" s="1"/>
  <c r="AC49" i="31" s="1"/>
  <c r="AA48" i="31"/>
  <c r="AB48" i="31" s="1"/>
  <c r="AC48" i="31" s="1"/>
  <c r="AA47" i="31"/>
  <c r="AB47" i="31" s="1"/>
  <c r="AC47" i="31" s="1"/>
  <c r="AA46" i="31"/>
  <c r="AB46" i="31" s="1"/>
  <c r="AC46" i="31" s="1"/>
  <c r="AA45" i="31"/>
  <c r="AB45" i="31" s="1"/>
  <c r="AC45" i="31" s="1"/>
  <c r="AA44" i="31"/>
  <c r="AB44" i="31" s="1"/>
  <c r="AC44" i="31" s="1"/>
  <c r="AA43" i="31"/>
  <c r="AB43" i="31" s="1"/>
  <c r="AA42" i="31"/>
  <c r="AB42" i="31" s="1"/>
  <c r="AA41" i="31"/>
  <c r="AB41" i="31" s="1"/>
  <c r="AC41" i="31" s="1"/>
  <c r="AA40" i="31"/>
  <c r="AB40" i="31" s="1"/>
  <c r="AC40" i="31" s="1"/>
  <c r="AA39" i="31"/>
  <c r="AB39" i="31" s="1"/>
  <c r="AC39" i="31" s="1"/>
  <c r="AA38" i="31"/>
  <c r="AB38" i="31" s="1"/>
  <c r="AC38" i="31" s="1"/>
  <c r="AA37" i="31"/>
  <c r="AB37" i="31" s="1"/>
  <c r="AC37" i="31" s="1"/>
  <c r="AA36" i="31"/>
  <c r="AB36" i="31" s="1"/>
  <c r="AC36" i="31" s="1"/>
  <c r="AA35" i="31"/>
  <c r="AB35" i="31" s="1"/>
  <c r="AC35" i="31" s="1"/>
  <c r="AA34" i="31"/>
  <c r="AB34" i="31" s="1"/>
  <c r="AC34" i="31" s="1"/>
  <c r="AA33" i="31"/>
  <c r="AB33" i="31" s="1"/>
  <c r="AC33" i="31" s="1"/>
  <c r="AA32" i="31"/>
  <c r="AB32" i="31" s="1"/>
  <c r="AC32" i="31" s="1"/>
  <c r="AA31" i="31"/>
  <c r="AB31" i="31" s="1"/>
  <c r="AC31" i="31" s="1"/>
  <c r="AA30" i="31"/>
  <c r="AB30" i="31" s="1"/>
  <c r="AC30" i="31" s="1"/>
  <c r="AA29" i="31"/>
  <c r="AB29" i="31" s="1"/>
  <c r="AC29" i="31" s="1"/>
  <c r="AA28" i="31"/>
  <c r="AB28" i="31" s="1"/>
  <c r="AC28" i="31" s="1"/>
  <c r="AA27" i="31"/>
  <c r="AB27" i="31" s="1"/>
  <c r="AC27" i="31" s="1"/>
  <c r="AA26" i="31"/>
  <c r="AB26" i="31" s="1"/>
  <c r="AC26" i="31" s="1"/>
  <c r="AA25" i="31"/>
  <c r="AB25" i="31" s="1"/>
  <c r="AC25" i="31" s="1"/>
  <c r="AA24" i="31"/>
  <c r="AB24" i="31" s="1"/>
  <c r="AC24" i="31" s="1"/>
  <c r="AA23" i="31"/>
  <c r="AB23" i="31" s="1"/>
  <c r="AA22" i="31"/>
  <c r="AB22" i="31" s="1"/>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L6" i="46" s="1"/>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35" i="44"/>
  <c r="E34" i="44"/>
  <c r="E33" i="44"/>
  <c r="E32" i="44"/>
  <c r="E31" i="44"/>
  <c r="E30" i="44"/>
  <c r="E29" i="44"/>
  <c r="E28" i="44"/>
  <c r="E27" i="44"/>
  <c r="E26" i="44"/>
  <c r="E25" i="44"/>
  <c r="E24" i="44"/>
  <c r="E23" i="44"/>
  <c r="E22" i="44"/>
  <c r="E21" i="44"/>
  <c r="E20" i="44"/>
  <c r="E19" i="44"/>
  <c r="E18" i="44"/>
  <c r="E17" i="44"/>
  <c r="E16" i="44"/>
  <c r="E15" i="44"/>
  <c r="E14" i="44"/>
  <c r="E13" i="44"/>
  <c r="E12" i="44"/>
  <c r="E11" i="44"/>
  <c r="E10" i="44"/>
  <c r="E9" i="44"/>
  <c r="E8" i="44"/>
  <c r="E7" i="44"/>
  <c r="AA21" i="31"/>
  <c r="AB21" i="31" s="1"/>
  <c r="AA20" i="31"/>
  <c r="AB20" i="31" s="1"/>
  <c r="AA19" i="31"/>
  <c r="AB19" i="31" s="1"/>
  <c r="AA18" i="31"/>
  <c r="AB18" i="31" s="1"/>
  <c r="AA17" i="31"/>
  <c r="AB17" i="31" s="1"/>
  <c r="AA16" i="31"/>
  <c r="AB16" i="31" s="1"/>
  <c r="AA15" i="31"/>
  <c r="AB15" i="31" s="1"/>
  <c r="AA14" i="31"/>
  <c r="AB14" i="31" s="1"/>
  <c r="AA13" i="31"/>
  <c r="AB13" i="31" s="1"/>
  <c r="AA12" i="31"/>
  <c r="AB12" i="31" s="1"/>
  <c r="AA11" i="31"/>
  <c r="AB11" i="31" s="1"/>
  <c r="AA10" i="31"/>
  <c r="AB10" i="31" s="1"/>
  <c r="AA9" i="31"/>
  <c r="AB9" i="31" s="1"/>
  <c r="AA8" i="31"/>
  <c r="AB8" i="31" s="1"/>
  <c r="AA7" i="31"/>
  <c r="AB7" i="31" s="1"/>
  <c r="AA6" i="31"/>
  <c r="AB6" i="31" s="1"/>
  <c r="AA5" i="31"/>
  <c r="AB5" i="31" s="1"/>
  <c r="AA4" i="31"/>
  <c r="AB4" i="31" s="1"/>
  <c r="AA3" i="31"/>
  <c r="AA2" i="31"/>
  <c r="AB77" i="31"/>
  <c r="AC77" i="31" s="1"/>
  <c r="AB75" i="31"/>
  <c r="AC75" i="31" s="1"/>
  <c r="BP14" i="31"/>
  <c r="BP7" i="31"/>
  <c r="BP2" i="31"/>
  <c r="BP11" i="31"/>
  <c r="BP9" i="31"/>
  <c r="T7" i="46" l="1"/>
  <c r="G37" i="22" s="1"/>
  <c r="G38" i="22"/>
  <c r="AO27" i="31"/>
  <c r="P72" i="46"/>
  <c r="P47" i="46"/>
  <c r="S72" i="46"/>
  <c r="T47" i="46"/>
  <c r="BC15" i="31"/>
  <c r="BC20" i="31"/>
  <c r="BC26" i="31"/>
  <c r="BC25" i="31"/>
  <c r="BC23" i="31"/>
  <c r="BC21" i="31"/>
  <c r="BC36" i="31"/>
  <c r="BC18" i="31"/>
  <c r="BC35" i="31"/>
  <c r="BC14" i="31"/>
  <c r="BC30" i="31"/>
  <c r="BC19" i="31"/>
  <c r="BC27" i="31"/>
  <c r="BC41" i="31"/>
  <c r="BC24" i="31"/>
  <c r="BC39" i="31"/>
  <c r="BC40" i="31"/>
  <c r="BC17" i="31"/>
  <c r="BC38" i="31"/>
  <c r="BC34" i="31"/>
  <c r="BC16" i="31"/>
  <c r="BC37" i="31"/>
  <c r="BC31" i="31"/>
  <c r="BC29" i="31"/>
  <c r="BC28" i="31"/>
  <c r="BC11" i="31"/>
  <c r="BC6" i="31"/>
  <c r="BC9" i="31"/>
  <c r="BC7" i="31"/>
  <c r="BC10" i="31"/>
  <c r="BC8" i="31"/>
  <c r="AO2" i="31"/>
  <c r="L8" i="46"/>
  <c r="L10" i="46" s="1"/>
  <c r="M10" i="46" s="1"/>
  <c r="L7" i="46"/>
  <c r="BC4" i="31"/>
  <c r="BC5" i="31"/>
  <c r="BC32" i="31"/>
  <c r="BC33" i="31"/>
  <c r="P9" i="46"/>
  <c r="BC3" i="31"/>
  <c r="BC12" i="31"/>
  <c r="BC22" i="31"/>
  <c r="BC13" i="31"/>
  <c r="AO15" i="31"/>
  <c r="AO3" i="31"/>
  <c r="AO17" i="31"/>
  <c r="AB3" i="31"/>
  <c r="AO5" i="31"/>
  <c r="AO11" i="31"/>
  <c r="AO19" i="31"/>
  <c r="AO7" i="31"/>
  <c r="AO21" i="31"/>
  <c r="AO20" i="31"/>
  <c r="AO13" i="31"/>
  <c r="AO9" i="31"/>
  <c r="AO22" i="31"/>
  <c r="AO23" i="31"/>
  <c r="AO24" i="31"/>
  <c r="AO25" i="31"/>
  <c r="AO26" i="31"/>
  <c r="AB2" i="31"/>
  <c r="AC7" i="31" s="1"/>
  <c r="AO4" i="31"/>
  <c r="AO6" i="31"/>
  <c r="AO8" i="31"/>
  <c r="AO10" i="31"/>
  <c r="AO12" i="31"/>
  <c r="AO14" i="31"/>
  <c r="AO16" i="31"/>
  <c r="AO18" i="31"/>
  <c r="AP17" i="31"/>
  <c r="BP5" i="31"/>
  <c r="AP12" i="31"/>
  <c r="AP25" i="31"/>
  <c r="AP4" i="31"/>
  <c r="BP3" i="31"/>
  <c r="AP20" i="31"/>
  <c r="AP15" i="31"/>
  <c r="BP4" i="31"/>
  <c r="AP2" i="31"/>
  <c r="AP5" i="31"/>
  <c r="AP9" i="31"/>
  <c r="AP23" i="31"/>
  <c r="AP26" i="31"/>
  <c r="AP19" i="31"/>
  <c r="BP10" i="31"/>
  <c r="AP18" i="31"/>
  <c r="BP6" i="31"/>
  <c r="AP10" i="31"/>
  <c r="BP12" i="31"/>
  <c r="AP11" i="31"/>
  <c r="AP27" i="31"/>
  <c r="AP21" i="31"/>
  <c r="AP8" i="31"/>
  <c r="AP24" i="31"/>
  <c r="AP6" i="31"/>
  <c r="BP13" i="31"/>
  <c r="AP22" i="31"/>
  <c r="AP3" i="31"/>
  <c r="BP8" i="31"/>
  <c r="AP14" i="31"/>
  <c r="AP7" i="31"/>
  <c r="AP13" i="31"/>
  <c r="AP16" i="31"/>
  <c r="AC43" i="31" l="1"/>
  <c r="U8" i="46"/>
  <c r="U7" i="46"/>
  <c r="BW2" i="31"/>
  <c r="D70" i="46" s="1"/>
  <c r="BX2" i="31"/>
  <c r="D70" i="45" s="1"/>
  <c r="BT2" i="31"/>
  <c r="BY2" i="31"/>
  <c r="D70" i="44" s="1"/>
  <c r="BJ2" i="31"/>
  <c r="BK2" i="31"/>
  <c r="BU2" i="31"/>
  <c r="C70" i="45" s="1"/>
  <c r="CB2" i="31" s="1"/>
  <c r="BV2" i="31"/>
  <c r="C70" i="44" s="1"/>
  <c r="CC2" i="31" s="1"/>
  <c r="BT12" i="31"/>
  <c r="BY6" i="31"/>
  <c r="D74" i="44" s="1"/>
  <c r="BX10" i="31"/>
  <c r="D78" i="45" s="1"/>
  <c r="BW14" i="31"/>
  <c r="BU6" i="31"/>
  <c r="C74" i="45" s="1"/>
  <c r="CB6" i="31" s="1"/>
  <c r="BV10" i="31"/>
  <c r="BK8" i="31"/>
  <c r="BJ12" i="31"/>
  <c r="BX3" i="31"/>
  <c r="D71" i="45" s="1"/>
  <c r="BW7" i="31"/>
  <c r="D75" i="46" s="1"/>
  <c r="BT11" i="31"/>
  <c r="C79" i="46" s="1"/>
  <c r="G79" i="46" s="1"/>
  <c r="BV3" i="31"/>
  <c r="BJ5" i="31"/>
  <c r="BY12" i="31"/>
  <c r="BT8" i="31"/>
  <c r="C76" i="46" s="1"/>
  <c r="G76" i="46" s="1"/>
  <c r="BJ10" i="31"/>
  <c r="BX5" i="31"/>
  <c r="D73" i="45" s="1"/>
  <c r="BW9" i="31"/>
  <c r="D77" i="46" s="1"/>
  <c r="BT13" i="31"/>
  <c r="BV5" i="31"/>
  <c r="BK3" i="31"/>
  <c r="BJ7" i="31"/>
  <c r="BX12" i="31"/>
  <c r="BU8" i="31"/>
  <c r="C76" i="45" s="1"/>
  <c r="CB8" i="31" s="1"/>
  <c r="BK14" i="31"/>
  <c r="BY10" i="31"/>
  <c r="D78" i="44" s="1"/>
  <c r="BX14" i="31"/>
  <c r="BT6" i="31"/>
  <c r="C74" i="46" s="1"/>
  <c r="BU10" i="31"/>
  <c r="C78" i="45" s="1"/>
  <c r="CB10" i="31" s="1"/>
  <c r="BV14" i="31"/>
  <c r="BK12" i="31"/>
  <c r="BY3" i="31"/>
  <c r="D71" i="44" s="1"/>
  <c r="BX7" i="31"/>
  <c r="D75" i="45" s="1"/>
  <c r="BW11" i="31"/>
  <c r="D79" i="46" s="1"/>
  <c r="BU3" i="31"/>
  <c r="C71" i="45" s="1"/>
  <c r="CB3" i="31" s="1"/>
  <c r="BV7" i="31"/>
  <c r="BK5" i="31"/>
  <c r="BJ9" i="31"/>
  <c r="BX8" i="31"/>
  <c r="D76" i="45" s="1"/>
  <c r="BU4" i="31"/>
  <c r="C72" i="45" s="1"/>
  <c r="CB4" i="31" s="1"/>
  <c r="BK6" i="31"/>
  <c r="BJ4" i="31"/>
  <c r="BY5" i="31"/>
  <c r="D73" i="44" s="1"/>
  <c r="BX9" i="31"/>
  <c r="D77" i="45" s="1"/>
  <c r="BW13" i="31"/>
  <c r="BU5" i="31"/>
  <c r="C73" i="45" s="1"/>
  <c r="CB5" i="31" s="1"/>
  <c r="BV9" i="31"/>
  <c r="BK7" i="31"/>
  <c r="BJ11" i="31"/>
  <c r="BW8" i="31"/>
  <c r="D76" i="46" s="1"/>
  <c r="BV4" i="31"/>
  <c r="BJ6" i="31"/>
  <c r="BW6" i="31"/>
  <c r="D74" i="46" s="1"/>
  <c r="BT10" i="31"/>
  <c r="C78" i="46" s="1"/>
  <c r="G78" i="46" s="1"/>
  <c r="BU14" i="31"/>
  <c r="BJ3" i="31"/>
  <c r="BY7" i="31"/>
  <c r="D75" i="44" s="1"/>
  <c r="BX11" i="31"/>
  <c r="D79" i="45" s="1"/>
  <c r="BT3" i="31"/>
  <c r="C71" i="46" s="1"/>
  <c r="BU7" i="31"/>
  <c r="C75" i="45" s="1"/>
  <c r="CB7" i="31" s="1"/>
  <c r="BV11" i="31"/>
  <c r="BK9" i="31"/>
  <c r="BJ13" i="31"/>
  <c r="BW4" i="31"/>
  <c r="D72" i="46" s="1"/>
  <c r="BU12" i="31"/>
  <c r="BK10" i="31"/>
  <c r="BY9" i="31"/>
  <c r="D77" i="44" s="1"/>
  <c r="BX13" i="31"/>
  <c r="BT5" i="31"/>
  <c r="C73" i="46" s="1"/>
  <c r="BU9" i="31"/>
  <c r="C77" i="45" s="1"/>
  <c r="CB9" i="31" s="1"/>
  <c r="BV13" i="31"/>
  <c r="BK11" i="31"/>
  <c r="BY8" i="31"/>
  <c r="D76" i="44" s="1"/>
  <c r="BT4" i="31"/>
  <c r="C72" i="46" s="1"/>
  <c r="BV12" i="31"/>
  <c r="BJ14" i="31"/>
  <c r="BX6" i="31"/>
  <c r="D74" i="45" s="1"/>
  <c r="BW10" i="31"/>
  <c r="D78" i="46" s="1"/>
  <c r="BT14" i="31"/>
  <c r="BV6" i="31"/>
  <c r="BK4" i="31"/>
  <c r="BJ8" i="31"/>
  <c r="BY11" i="31"/>
  <c r="D79" i="44" s="1"/>
  <c r="BW3" i="31"/>
  <c r="D71" i="46" s="1"/>
  <c r="BT7" i="31"/>
  <c r="C75" i="46" s="1"/>
  <c r="G75" i="46" s="1"/>
  <c r="BU11" i="31"/>
  <c r="C79" i="45" s="1"/>
  <c r="CB11" i="31" s="1"/>
  <c r="BK13" i="31"/>
  <c r="BY4" i="31"/>
  <c r="D72" i="44" s="1"/>
  <c r="BW12" i="31"/>
  <c r="BV8" i="31"/>
  <c r="BY13" i="31"/>
  <c r="BW5" i="31"/>
  <c r="D73" i="46" s="1"/>
  <c r="BT9" i="31"/>
  <c r="C77" i="46" s="1"/>
  <c r="G77" i="46" s="1"/>
  <c r="BU13" i="31"/>
  <c r="BX4" i="31"/>
  <c r="D72" i="45" s="1"/>
  <c r="AC9" i="31"/>
  <c r="AC17" i="31"/>
  <c r="AC16" i="31"/>
  <c r="AC10" i="31"/>
  <c r="AC12" i="31"/>
  <c r="AC18" i="31"/>
  <c r="AC20" i="31"/>
  <c r="AC5" i="31"/>
  <c r="AC13" i="31"/>
  <c r="AC11" i="31"/>
  <c r="AC21" i="31"/>
  <c r="AC14" i="31"/>
  <c r="AC15" i="31"/>
  <c r="AC19" i="31"/>
  <c r="AC42" i="31"/>
  <c r="AC62" i="31"/>
  <c r="AC3" i="31"/>
  <c r="AC63" i="31"/>
  <c r="AC6" i="31"/>
  <c r="AC2" i="31"/>
  <c r="AC23" i="31"/>
  <c r="AC4" i="31"/>
  <c r="AC22" i="31"/>
  <c r="AC8" i="31"/>
  <c r="CA6" i="31" l="1"/>
  <c r="G74" i="46"/>
  <c r="CA4" i="31"/>
  <c r="G72" i="46"/>
  <c r="CA5" i="31"/>
  <c r="G73" i="46"/>
  <c r="CA3" i="31"/>
  <c r="G71" i="46"/>
  <c r="J60" i="22"/>
  <c r="J63" i="22"/>
  <c r="J61" i="22"/>
  <c r="J59" i="22"/>
  <c r="J62" i="22"/>
  <c r="CA10" i="31"/>
  <c r="CA7" i="31"/>
  <c r="CA9" i="31"/>
  <c r="CA11" i="31"/>
  <c r="CA8" i="31"/>
  <c r="E70" i="44"/>
  <c r="F70" i="45"/>
  <c r="E73" i="45"/>
  <c r="E72" i="45"/>
  <c r="E74" i="46"/>
  <c r="E76" i="46"/>
  <c r="E70" i="45"/>
  <c r="E71" i="46"/>
  <c r="E79" i="46"/>
  <c r="E77" i="46"/>
  <c r="E74" i="45"/>
  <c r="E78" i="46"/>
  <c r="E71" i="45"/>
  <c r="E79" i="45"/>
  <c r="E77" i="45"/>
  <c r="E75" i="45"/>
  <c r="E76" i="45"/>
  <c r="E73" i="46"/>
  <c r="E72" i="46"/>
  <c r="E75" i="46"/>
  <c r="E78" i="45"/>
  <c r="C71" i="44"/>
  <c r="CC3" i="31" s="1"/>
  <c r="C75" i="44"/>
  <c r="CC7" i="31" s="1"/>
  <c r="C79" i="44"/>
  <c r="CC11" i="31" s="1"/>
  <c r="C77" i="44"/>
  <c r="CC9" i="31" s="1"/>
  <c r="C78" i="44"/>
  <c r="CC10" i="31" s="1"/>
  <c r="C72" i="44"/>
  <c r="CC4" i="31" s="1"/>
  <c r="C76" i="44"/>
  <c r="CC8" i="31" s="1"/>
  <c r="C70" i="46"/>
  <c r="G70" i="46" s="1"/>
  <c r="C73" i="44"/>
  <c r="CC5" i="31" s="1"/>
  <c r="C74" i="44"/>
  <c r="CC6" i="31" s="1"/>
  <c r="AT21" i="31"/>
  <c r="C64" i="46" s="1"/>
  <c r="G64" i="46" s="1"/>
  <c r="AV20" i="31"/>
  <c r="C63" i="44" s="1"/>
  <c r="E63" i="44" s="1"/>
  <c r="AT19" i="31"/>
  <c r="C62" i="46" s="1"/>
  <c r="G62" i="46" s="1"/>
  <c r="AV18" i="31"/>
  <c r="C61" i="44" s="1"/>
  <c r="E61" i="44" s="1"/>
  <c r="AT17" i="31"/>
  <c r="C60" i="46" s="1"/>
  <c r="G60" i="46" s="1"/>
  <c r="AV16" i="31"/>
  <c r="C59" i="44" s="1"/>
  <c r="E59" i="44" s="1"/>
  <c r="AT15" i="31"/>
  <c r="C58" i="46" s="1"/>
  <c r="G58" i="46" s="1"/>
  <c r="AV14" i="31"/>
  <c r="C57" i="44" s="1"/>
  <c r="E57" i="44" s="1"/>
  <c r="AT13" i="31"/>
  <c r="C56" i="46" s="1"/>
  <c r="G56" i="46" s="1"/>
  <c r="AV12" i="31"/>
  <c r="C55" i="44" s="1"/>
  <c r="E55" i="44" s="1"/>
  <c r="AT11" i="31"/>
  <c r="C54" i="46" s="1"/>
  <c r="G54" i="46" s="1"/>
  <c r="AV10" i="31"/>
  <c r="C53" i="44" s="1"/>
  <c r="E53" i="44" s="1"/>
  <c r="AT9" i="31"/>
  <c r="C52" i="46" s="1"/>
  <c r="G52" i="46" s="1"/>
  <c r="AV8" i="31"/>
  <c r="C51" i="44" s="1"/>
  <c r="E51" i="44" s="1"/>
  <c r="AT7" i="31"/>
  <c r="C50" i="46" s="1"/>
  <c r="G50" i="46" s="1"/>
  <c r="AV6" i="31"/>
  <c r="C49" i="44" s="1"/>
  <c r="AT5" i="31"/>
  <c r="C48" i="46" s="1"/>
  <c r="G48" i="46" s="1"/>
  <c r="AV4" i="31"/>
  <c r="C47" i="44" s="1"/>
  <c r="AT3" i="31"/>
  <c r="C46" i="46" s="1"/>
  <c r="AV2" i="31"/>
  <c r="AU25" i="31"/>
  <c r="AV26" i="31"/>
  <c r="AV25" i="31"/>
  <c r="AV24" i="31"/>
  <c r="AV23" i="31"/>
  <c r="AV22" i="31"/>
  <c r="AU20" i="31"/>
  <c r="AU18" i="31"/>
  <c r="AU16" i="31"/>
  <c r="AU14" i="31"/>
  <c r="AU12" i="31"/>
  <c r="AU10" i="31"/>
  <c r="AU8" i="31"/>
  <c r="AU6" i="31"/>
  <c r="AU4" i="31"/>
  <c r="AU2" i="31"/>
  <c r="AU26" i="31"/>
  <c r="AU24" i="31"/>
  <c r="AT26" i="31"/>
  <c r="AU21" i="31"/>
  <c r="AV19" i="31"/>
  <c r="C62" i="44" s="1"/>
  <c r="E62" i="44" s="1"/>
  <c r="AT16" i="31"/>
  <c r="C59" i="46" s="1"/>
  <c r="G59" i="46" s="1"/>
  <c r="AU13" i="31"/>
  <c r="AV11" i="31"/>
  <c r="C54" i="44" s="1"/>
  <c r="E54" i="44" s="1"/>
  <c r="AU7" i="31"/>
  <c r="AV5" i="31"/>
  <c r="C48" i="44" s="1"/>
  <c r="AT2" i="31"/>
  <c r="C45" i="46" s="1"/>
  <c r="AU23" i="31"/>
  <c r="AU19" i="31"/>
  <c r="AV17" i="31"/>
  <c r="C60" i="44" s="1"/>
  <c r="E60" i="44" s="1"/>
  <c r="AU5" i="31"/>
  <c r="AV3" i="31"/>
  <c r="C46" i="44" s="1"/>
  <c r="AT24" i="31"/>
  <c r="AT23" i="31"/>
  <c r="AU22" i="31"/>
  <c r="AT20" i="31"/>
  <c r="C63" i="46" s="1"/>
  <c r="G63" i="46" s="1"/>
  <c r="AV15" i="31"/>
  <c r="C58" i="44" s="1"/>
  <c r="E58" i="44" s="1"/>
  <c r="AT12" i="31"/>
  <c r="C55" i="46" s="1"/>
  <c r="G55" i="46" s="1"/>
  <c r="AV9" i="31"/>
  <c r="C52" i="44" s="1"/>
  <c r="E52" i="44" s="1"/>
  <c r="AT6" i="31"/>
  <c r="C49" i="46" s="1"/>
  <c r="G49" i="46" s="1"/>
  <c r="AT18" i="31"/>
  <c r="C61" i="46" s="1"/>
  <c r="G61" i="46" s="1"/>
  <c r="AV7" i="31"/>
  <c r="C50" i="44" s="1"/>
  <c r="E50" i="44" s="1"/>
  <c r="AT14" i="31"/>
  <c r="C57" i="46" s="1"/>
  <c r="G57" i="46" s="1"/>
  <c r="AU11" i="31"/>
  <c r="AT8" i="31"/>
  <c r="C51" i="46" s="1"/>
  <c r="G51" i="46" s="1"/>
  <c r="AU17" i="31"/>
  <c r="AU3" i="31"/>
  <c r="AT25" i="31"/>
  <c r="AV21" i="31"/>
  <c r="C64" i="44" s="1"/>
  <c r="E64" i="44" s="1"/>
  <c r="AT22" i="31"/>
  <c r="AU15" i="31"/>
  <c r="AV13" i="31"/>
  <c r="C56" i="44" s="1"/>
  <c r="E56" i="44" s="1"/>
  <c r="AT10" i="31"/>
  <c r="C53" i="46" s="1"/>
  <c r="G53" i="46" s="1"/>
  <c r="AU9" i="31"/>
  <c r="AT4" i="31"/>
  <c r="C47" i="46" s="1"/>
  <c r="E51" i="22" l="1"/>
  <c r="E49" i="22"/>
  <c r="E59" i="22"/>
  <c r="E60" i="22"/>
  <c r="E62" i="22"/>
  <c r="E63" i="22"/>
  <c r="E61" i="22"/>
  <c r="E48" i="22"/>
  <c r="E50" i="22"/>
  <c r="E52" i="22"/>
  <c r="E57" i="22"/>
  <c r="E55" i="22"/>
  <c r="E58" i="22"/>
  <c r="E56" i="22"/>
  <c r="CA2" i="31"/>
  <c r="E73" i="44"/>
  <c r="E78" i="44"/>
  <c r="E71" i="44"/>
  <c r="F70" i="46"/>
  <c r="E70" i="46"/>
  <c r="E77" i="44"/>
  <c r="E76" i="44"/>
  <c r="E79" i="44"/>
  <c r="E74" i="44"/>
  <c r="E72" i="44"/>
  <c r="E75" i="44"/>
  <c r="E54" i="22"/>
  <c r="E48" i="44"/>
  <c r="E47" i="44"/>
  <c r="E46" i="44"/>
  <c r="E49" i="44"/>
  <c r="J54" i="22"/>
  <c r="C45" i="44"/>
  <c r="D45" i="44" s="1"/>
  <c r="J56" i="22"/>
  <c r="C54" i="45"/>
  <c r="D63" i="46"/>
  <c r="C64" i="45"/>
  <c r="C45" i="45"/>
  <c r="G45" i="46" s="1"/>
  <c r="C53" i="45"/>
  <c r="C61" i="45"/>
  <c r="D47" i="46"/>
  <c r="D57" i="46"/>
  <c r="C48" i="45"/>
  <c r="E46" i="22" s="1"/>
  <c r="C56" i="45"/>
  <c r="C47" i="45"/>
  <c r="E45" i="22" s="1"/>
  <c r="C63" i="45"/>
  <c r="D46" i="46"/>
  <c r="D54" i="46"/>
  <c r="D62" i="46"/>
  <c r="C52" i="45"/>
  <c r="C60" i="45"/>
  <c r="D55" i="46"/>
  <c r="D59" i="46"/>
  <c r="C49" i="45"/>
  <c r="E47" i="22" s="1"/>
  <c r="C57" i="45"/>
  <c r="D49" i="46"/>
  <c r="C58" i="45"/>
  <c r="C46" i="45"/>
  <c r="E44" i="22" s="1"/>
  <c r="D45" i="46"/>
  <c r="C55" i="45"/>
  <c r="D50" i="46"/>
  <c r="D58" i="46"/>
  <c r="D53" i="46"/>
  <c r="D51" i="46"/>
  <c r="D61" i="46"/>
  <c r="C62" i="45"/>
  <c r="C50" i="45"/>
  <c r="C51" i="45"/>
  <c r="C59" i="45"/>
  <c r="D48" i="46"/>
  <c r="D52" i="46"/>
  <c r="D56" i="46"/>
  <c r="D60" i="46"/>
  <c r="D64" i="46"/>
  <c r="D46" i="44"/>
  <c r="D54" i="44"/>
  <c r="D53" i="44"/>
  <c r="D52" i="44"/>
  <c r="D49" i="44"/>
  <c r="D57" i="44"/>
  <c r="D50" i="44"/>
  <c r="D60" i="44"/>
  <c r="D48" i="44"/>
  <c r="D47" i="44"/>
  <c r="D51" i="44"/>
  <c r="D55" i="44"/>
  <c r="D59" i="44"/>
  <c r="D63" i="44"/>
  <c r="D56" i="44"/>
  <c r="D61" i="44"/>
  <c r="D64" i="44"/>
  <c r="D58" i="44"/>
  <c r="D62" i="44"/>
  <c r="G47" i="46" l="1"/>
  <c r="G46" i="46"/>
  <c r="F29" i="46"/>
  <c r="R6" i="46" s="1"/>
  <c r="E43" i="22"/>
  <c r="F79" i="46"/>
  <c r="F79" i="45"/>
  <c r="F78" i="46"/>
  <c r="F78" i="45"/>
  <c r="F77" i="45"/>
  <c r="F77" i="46"/>
  <c r="F76" i="45"/>
  <c r="F76" i="46"/>
  <c r="F75" i="45"/>
  <c r="F75" i="46"/>
  <c r="F74" i="46"/>
  <c r="F74" i="45"/>
  <c r="F73" i="46"/>
  <c r="F73" i="45"/>
  <c r="F72" i="45"/>
  <c r="F72" i="46"/>
  <c r="F71" i="46"/>
  <c r="F71" i="45"/>
  <c r="J58" i="22"/>
  <c r="J55" i="22"/>
  <c r="J57" i="22"/>
  <c r="E45" i="44"/>
  <c r="E45" i="45" s="1"/>
  <c r="E45" i="46" s="1"/>
  <c r="F45" i="45"/>
  <c r="F45" i="46" s="1"/>
  <c r="F50" i="45"/>
  <c r="F57" i="45"/>
  <c r="F60" i="45"/>
  <c r="E48" i="45"/>
  <c r="F48" i="45"/>
  <c r="F53" i="45"/>
  <c r="F54" i="45"/>
  <c r="F62" i="45"/>
  <c r="E46" i="45"/>
  <c r="E46" i="46" s="1"/>
  <c r="F46" i="45"/>
  <c r="F46" i="46" s="1"/>
  <c r="E49" i="45"/>
  <c r="E49" i="46" s="1"/>
  <c r="F49" i="45"/>
  <c r="F52" i="45"/>
  <c r="F63" i="45"/>
  <c r="F59" i="45"/>
  <c r="F58" i="45"/>
  <c r="F47" i="45"/>
  <c r="F47" i="46" s="1"/>
  <c r="E47" i="45"/>
  <c r="E47" i="46" s="1"/>
  <c r="F64" i="45"/>
  <c r="F51" i="45"/>
  <c r="E51" i="45"/>
  <c r="F55" i="45"/>
  <c r="F56" i="45"/>
  <c r="E61" i="45"/>
  <c r="F61" i="45"/>
  <c r="D59" i="45"/>
  <c r="D58" i="45"/>
  <c r="D64" i="45"/>
  <c r="D50" i="45"/>
  <c r="D55" i="45"/>
  <c r="D49" i="45"/>
  <c r="D52" i="45"/>
  <c r="D47" i="45"/>
  <c r="D48" i="45"/>
  <c r="D53" i="45"/>
  <c r="D51" i="45"/>
  <c r="D62" i="45"/>
  <c r="D46" i="45"/>
  <c r="D57" i="45"/>
  <c r="D60" i="45"/>
  <c r="D63" i="45"/>
  <c r="D56" i="45"/>
  <c r="D61" i="45"/>
  <c r="D45" i="45"/>
  <c r="D54" i="45"/>
  <c r="E64" i="45" l="1"/>
  <c r="E53" i="45"/>
  <c r="F64" i="46"/>
  <c r="E50" i="45"/>
  <c r="E50" i="46" s="1"/>
  <c r="E56" i="45"/>
  <c r="E55" i="45"/>
  <c r="F58" i="46"/>
  <c r="E58" i="45"/>
  <c r="E59" i="45"/>
  <c r="F55" i="46"/>
  <c r="E63" i="45"/>
  <c r="E62" i="45"/>
  <c r="E57" i="45"/>
  <c r="F56" i="46"/>
  <c r="E54" i="45"/>
  <c r="F53" i="46"/>
  <c r="F50" i="46"/>
  <c r="F49" i="46"/>
  <c r="E48" i="46"/>
  <c r="F48" i="46"/>
  <c r="Q6" i="46"/>
  <c r="S6" i="46"/>
  <c r="S9" i="46" s="1"/>
  <c r="R9" i="46"/>
  <c r="F52" i="46"/>
  <c r="E52" i="45"/>
  <c r="E52" i="46" s="1"/>
  <c r="E60" i="45"/>
  <c r="E60" i="46" s="1"/>
  <c r="F63" i="46"/>
  <c r="F62" i="46"/>
  <c r="E62" i="46"/>
  <c r="F61" i="46"/>
  <c r="F60" i="46"/>
  <c r="F59" i="46"/>
  <c r="F57" i="46"/>
  <c r="F54" i="46"/>
  <c r="S46" i="46"/>
  <c r="Q46" i="46"/>
  <c r="R46" i="46"/>
  <c r="R71" i="46"/>
  <c r="Q71" i="46"/>
  <c r="Q70" i="46"/>
  <c r="R70" i="46"/>
  <c r="F51" i="46"/>
  <c r="E51" i="46"/>
  <c r="J63" i="11"/>
  <c r="AA17" i="11"/>
  <c r="T6" i="46" l="1"/>
  <c r="E63" i="46"/>
  <c r="E56" i="46"/>
  <c r="E59" i="46"/>
  <c r="E58" i="46"/>
  <c r="E57" i="46"/>
  <c r="E55" i="46"/>
  <c r="E61" i="46"/>
  <c r="E53" i="46"/>
  <c r="E64" i="46"/>
  <c r="E54" i="46"/>
  <c r="Q9" i="46"/>
  <c r="Q45" i="46"/>
  <c r="Q48" i="46" s="1"/>
  <c r="T46" i="46"/>
  <c r="P46" i="46"/>
  <c r="R73" i="46"/>
  <c r="P70" i="46"/>
  <c r="Q73" i="46"/>
  <c r="S70" i="46"/>
  <c r="S71" i="46"/>
  <c r="P71" i="46"/>
  <c r="R45" i="46"/>
  <c r="R48" i="46" s="1"/>
  <c r="S45" i="46"/>
  <c r="S48" i="46" s="1"/>
  <c r="G36" i="22" l="1"/>
  <c r="T9" i="46"/>
  <c r="U6" i="46"/>
  <c r="U9" i="46" s="1"/>
  <c r="D5" i="32" s="1"/>
  <c r="S73" i="46"/>
  <c r="E7" i="32" s="1"/>
  <c r="P73" i="46"/>
  <c r="T45" i="46"/>
  <c r="T48" i="46" s="1"/>
  <c r="E6" i="32" s="1"/>
  <c r="P45" i="46"/>
  <c r="P48" i="46" s="1"/>
  <c r="O41" i="11" l="1"/>
  <c r="O40" i="11"/>
  <c r="O39" i="11"/>
  <c r="I41" i="18" l="1"/>
  <c r="P41" i="18" s="1"/>
  <c r="E41" i="18"/>
  <c r="I40" i="18"/>
  <c r="P40" i="18" s="1"/>
  <c r="E40" i="18"/>
  <c r="I39" i="18"/>
  <c r="P39" i="18" s="1"/>
  <c r="E39" i="18"/>
  <c r="I38" i="18"/>
  <c r="P38" i="18" s="1"/>
  <c r="E38" i="18"/>
  <c r="I37" i="18"/>
  <c r="P37" i="18" s="1"/>
  <c r="E37" i="18"/>
  <c r="N64" i="11" l="1"/>
  <c r="N63" i="11"/>
  <c r="U16" i="11" l="1"/>
  <c r="U10" i="11"/>
  <c r="AB4" i="11"/>
  <c r="AA18" i="11" l="1"/>
  <c r="AA12" i="11"/>
  <c r="AA13" i="11"/>
  <c r="AA11" i="11"/>
  <c r="X17" i="11"/>
  <c r="Y17" i="11"/>
  <c r="X18" i="11"/>
  <c r="Y18" i="11"/>
  <c r="W18" i="11"/>
  <c r="W17" i="11"/>
  <c r="W12" i="11"/>
  <c r="X12" i="11"/>
  <c r="Y12" i="11"/>
  <c r="W13" i="11"/>
  <c r="X13" i="11"/>
  <c r="Y13" i="11"/>
  <c r="X11" i="11"/>
  <c r="Y11" i="11"/>
  <c r="W11" i="11"/>
  <c r="AA6" i="11"/>
  <c r="AA7" i="11"/>
  <c r="AA5" i="11"/>
  <c r="W6" i="11"/>
  <c r="X6" i="11"/>
  <c r="Y6" i="11"/>
  <c r="Z6" i="11"/>
  <c r="W7" i="11"/>
  <c r="X7" i="11"/>
  <c r="Y7" i="11"/>
  <c r="Z7" i="11"/>
  <c r="X5" i="11"/>
  <c r="Y5" i="11"/>
  <c r="Z5" i="11"/>
  <c r="W5" i="11"/>
  <c r="AB16" i="11"/>
  <c r="AB10" i="11"/>
  <c r="U4" i="11"/>
  <c r="T16" i="11"/>
  <c r="T10" i="11"/>
  <c r="T4" i="11"/>
  <c r="Y8" i="11" l="1"/>
  <c r="AA8" i="11"/>
  <c r="Z8" i="11"/>
  <c r="W8" i="11"/>
  <c r="W14" i="11"/>
  <c r="X8" i="11"/>
  <c r="Y14" i="11"/>
  <c r="X14" i="11"/>
  <c r="W19" i="11"/>
  <c r="Y19" i="11"/>
  <c r="X19" i="11"/>
  <c r="AA19" i="11"/>
  <c r="AA14" i="11"/>
  <c r="O5" i="11" l="1"/>
  <c r="N65" i="11"/>
  <c r="P40" i="11"/>
  <c r="P41" i="11"/>
  <c r="P39" i="11"/>
  <c r="N39" i="11" s="1"/>
  <c r="D6" i="32"/>
  <c r="J64" i="11"/>
  <c r="V18" i="11" s="1"/>
  <c r="V17" i="11"/>
  <c r="J40" i="11"/>
  <c r="V12" i="11" s="1"/>
  <c r="J41" i="11"/>
  <c r="V13" i="11" s="1"/>
  <c r="J39" i="11"/>
  <c r="V11" i="11" s="1"/>
  <c r="N40" i="11" l="1"/>
  <c r="J42" i="11"/>
  <c r="V14" i="11" s="1"/>
  <c r="P34" i="23" l="1"/>
  <c r="P25" i="7" l="1"/>
  <c r="P23" i="23"/>
  <c r="P30" i="23"/>
  <c r="P26" i="23"/>
  <c r="G32" i="22"/>
  <c r="G28" i="22"/>
  <c r="G24" i="22"/>
  <c r="G29" i="22"/>
  <c r="G25" i="22"/>
  <c r="G21" i="22"/>
  <c r="M23" i="23"/>
  <c r="Q18" i="22" s="1"/>
  <c r="H23" i="23"/>
  <c r="E27" i="18"/>
  <c r="P27" i="18" s="1"/>
  <c r="E28" i="18"/>
  <c r="P28" i="18" s="1"/>
  <c r="E29" i="18"/>
  <c r="P29" i="18" s="1"/>
  <c r="E30" i="18"/>
  <c r="P30" i="18" s="1"/>
  <c r="E26" i="18"/>
  <c r="P26" i="18" s="1"/>
  <c r="L18" i="22" l="1"/>
  <c r="D58" i="11"/>
  <c r="D57" i="11"/>
  <c r="D56" i="11"/>
  <c r="D55" i="11"/>
  <c r="D54" i="11"/>
  <c r="D53" i="11"/>
  <c r="D52" i="11"/>
  <c r="D51" i="11"/>
  <c r="D50" i="11"/>
  <c r="D49" i="11"/>
  <c r="D48" i="11"/>
  <c r="D47" i="11"/>
  <c r="D46" i="11"/>
  <c r="D45" i="11"/>
  <c r="D44" i="11"/>
  <c r="D43" i="11"/>
  <c r="D42" i="11"/>
  <c r="N41" i="11"/>
  <c r="J44" i="11" s="1"/>
  <c r="D41" i="11"/>
  <c r="D40" i="11"/>
  <c r="O3" i="22"/>
  <c r="P5" i="21"/>
  <c r="N5" i="21"/>
  <c r="L5" i="21"/>
  <c r="M3" i="23"/>
  <c r="N66" i="11" l="1"/>
  <c r="J67" i="11" s="1"/>
  <c r="J66" i="11"/>
  <c r="J65" i="11"/>
  <c r="V19" i="11" s="1"/>
  <c r="J43" i="11"/>
  <c r="M10" i="23"/>
  <c r="G10" i="23"/>
  <c r="E8" i="23"/>
  <c r="E7" i="23"/>
  <c r="E6" i="23"/>
  <c r="H30" i="21"/>
  <c r="H29" i="21"/>
  <c r="H28" i="21"/>
  <c r="H27" i="21"/>
  <c r="H26" i="21"/>
  <c r="H25" i="21"/>
  <c r="H24" i="21"/>
  <c r="D22" i="21"/>
  <c r="E13" i="22" s="1"/>
  <c r="D21" i="21"/>
  <c r="E12" i="22" s="1"/>
  <c r="D20" i="21"/>
  <c r="E11" i="22" s="1"/>
  <c r="D19" i="21"/>
  <c r="E10" i="22" s="1"/>
  <c r="D17" i="21"/>
  <c r="D16" i="21"/>
  <c r="J10" i="21"/>
  <c r="J9" i="21"/>
  <c r="D15" i="21" s="1"/>
  <c r="J8" i="21"/>
  <c r="E8" i="22"/>
  <c r="E7" i="22"/>
  <c r="E6" i="22"/>
  <c r="E14" i="22"/>
  <c r="M35" i="23" l="1"/>
  <c r="M10" i="7"/>
  <c r="G10" i="7"/>
  <c r="Q29" i="22" l="1"/>
  <c r="L29" i="22"/>
  <c r="E6" i="7"/>
  <c r="J10" i="1"/>
  <c r="J9" i="1"/>
  <c r="J8" i="1"/>
  <c r="Q30" i="22" l="1"/>
  <c r="X25" i="23"/>
  <c r="D19" i="1"/>
  <c r="D17" i="1"/>
  <c r="D16" i="1"/>
  <c r="L5" i="1"/>
  <c r="N5" i="11" l="1"/>
  <c r="E14" i="18"/>
  <c r="H30" i="1"/>
  <c r="H28" i="1"/>
  <c r="H27" i="1"/>
  <c r="H26" i="1"/>
  <c r="H29" i="1"/>
  <c r="H25" i="1"/>
  <c r="H24" i="1"/>
  <c r="D22" i="1"/>
  <c r="E13" i="18" s="1"/>
  <c r="D21" i="1"/>
  <c r="E12" i="18" s="1"/>
  <c r="D20" i="1"/>
  <c r="E11" i="18" s="1"/>
  <c r="E10" i="18"/>
  <c r="E8" i="18"/>
  <c r="E7" i="18"/>
  <c r="I13" i="6"/>
  <c r="I11" i="6"/>
  <c r="I9" i="6"/>
  <c r="P5" i="1"/>
  <c r="N5" i="1"/>
  <c r="D15" i="1" l="1"/>
  <c r="E6" i="18" s="1"/>
  <c r="S18" i="2" l="1"/>
  <c r="S16" i="2"/>
  <c r="S17" i="2" s="1"/>
  <c r="E9" i="22" s="1"/>
  <c r="S19" i="2" l="1"/>
  <c r="O8" i="11" l="1"/>
  <c r="O7" i="11"/>
  <c r="O6" i="11"/>
  <c r="N6" i="11" s="1"/>
  <c r="J8" i="11"/>
  <c r="V8" i="11" s="1"/>
  <c r="J7" i="11"/>
  <c r="V7" i="11" s="1"/>
  <c r="J6" i="11"/>
  <c r="V6" i="11" s="1"/>
  <c r="J5" i="11"/>
  <c r="J9" i="11" l="1"/>
  <c r="J10" i="11"/>
  <c r="V5" i="11"/>
  <c r="K10" i="11" l="1"/>
  <c r="L35" i="22"/>
  <c r="K9" i="11"/>
  <c r="G35" i="22"/>
  <c r="H24" i="18"/>
  <c r="N24" i="18"/>
  <c r="S20" i="2" l="1"/>
  <c r="S21" i="2" s="1"/>
  <c r="E18" i="2" l="1"/>
  <c r="E9" i="18"/>
  <c r="E9" i="23" l="1"/>
  <c r="E9" i="7"/>
  <c r="N7" i="11" l="1"/>
  <c r="N8" i="11"/>
  <c r="O9" i="11"/>
  <c r="N9" i="11" l="1"/>
  <c r="L25" i="22" l="1"/>
  <c r="Q25" i="22"/>
  <c r="H27" i="23"/>
  <c r="M27" i="23"/>
  <c r="Q21" i="22" l="1"/>
  <c r="L21" i="22"/>
  <c r="L26" i="22" l="1"/>
  <c r="M22" i="23" l="1"/>
  <c r="Q17" i="22" s="1"/>
  <c r="H24" i="23"/>
  <c r="L19" i="22" s="1"/>
  <c r="W24" i="23"/>
  <c r="H35" i="23"/>
  <c r="L17" i="22"/>
  <c r="M24" i="23" l="1"/>
  <c r="Q19" i="22" s="1"/>
  <c r="X24" i="23"/>
  <c r="L30" i="22"/>
  <c r="M31" i="23"/>
  <c r="V24" i="23"/>
  <c r="L22" i="22"/>
  <c r="Y24" i="23" l="1"/>
  <c r="Z24" i="23" s="1"/>
  <c r="D3" i="32" s="1"/>
  <c r="Q26" i="22"/>
  <c r="W25" i="23"/>
  <c r="Q22" i="22"/>
  <c r="V25" i="23"/>
  <c r="Y25" i="23" l="1"/>
  <c r="Z25" i="23" s="1"/>
  <c r="D4" i="32" s="1"/>
  <c r="D8" i="32" l="1"/>
  <c r="D1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細井 秀彦</author>
  </authors>
  <commentList>
    <comment ref="E4" authorId="0" shapeId="0" xr:uid="{47E9C2D6-F209-49C4-92D1-5A2F3F6D08A3}">
      <text>
        <r>
          <rPr>
            <sz val="10"/>
            <color indexed="81"/>
            <rFont val="メイリオ"/>
            <family val="3"/>
            <charset val="128"/>
          </rPr>
          <t>計画書提出年度の前年度をご選択ください。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U34" authorId="0" shapeId="0" xr:uid="{B710A8B5-28D6-49FD-A19B-BEAD343ED25C}">
      <text>
        <r>
          <rPr>
            <b/>
            <sz val="12"/>
            <color indexed="81"/>
            <rFont val="メイリオ"/>
            <family val="3"/>
            <charset val="128"/>
          </rPr>
          <t>算定対処とした当該フロアや当該テナント名称等を記入</t>
        </r>
      </text>
    </comment>
    <comment ref="W34" authorId="0" shapeId="0" xr:uid="{B152BB20-07A9-4465-9919-1E4AA49C53CF}">
      <text>
        <r>
          <rPr>
            <b/>
            <sz val="12"/>
            <color indexed="81"/>
            <rFont val="メイリオ"/>
            <family val="3"/>
            <charset val="128"/>
          </rPr>
          <t>炭素排出係数（tCO2/GJ）</t>
        </r>
      </text>
    </comment>
    <comment ref="N35" authorId="0" shapeId="0" xr:uid="{C5E7DFA1-D0DC-4450-9618-D58F92F7C71D}">
      <text>
        <r>
          <rPr>
            <b/>
            <sz val="12"/>
            <color indexed="81"/>
            <rFont val="メイリオ"/>
            <family val="3"/>
            <charset val="128"/>
          </rPr>
          <t xml:space="preserve">CO2排出量（tCO2）＝ （燃料の種類ごとに）燃料使用量（t, kl, 千 m3）
　　　　　　　　　　×単位発熱量（GJ/t, GJ/kl, GJ/千 m3）
　　　　　　　　　　×炭素排出係数（tC/GJ）
　　　　　　　　　　×44/12 </t>
        </r>
      </text>
    </comment>
    <comment ref="V37" authorId="0" shapeId="0" xr:uid="{F6FD30DB-3356-4462-BF99-5821B7FDBC8F}">
      <text>
        <r>
          <rPr>
            <b/>
            <sz val="12"/>
            <color indexed="81"/>
            <rFont val="メイリオ"/>
            <family val="3"/>
            <charset val="128"/>
          </rPr>
          <t>単位発熱量（GJ/t, GJ/kl, GJ/千 m3等）</t>
        </r>
      </text>
    </comment>
    <comment ref="W37" authorId="0" shapeId="0" xr:uid="{26A2F783-94FD-4F14-8981-3EC37EAA0848}">
      <text>
        <r>
          <rPr>
            <b/>
            <sz val="12"/>
            <color indexed="81"/>
            <rFont val="メイリオ"/>
            <family val="3"/>
            <charset val="128"/>
          </rPr>
          <t>炭素排出係数（tC/GJ）</t>
        </r>
      </text>
    </comment>
    <comment ref="W61" authorId="0" shapeId="0" xr:uid="{489DD9E3-9EE0-477F-A49F-221B1848DFC0}">
      <text>
        <r>
          <rPr>
            <b/>
            <sz val="12"/>
            <color indexed="81"/>
            <rFont val="メイリオ"/>
            <family val="3"/>
            <charset val="128"/>
          </rPr>
          <t>熱供給事業者別係数を使用
（単位：tCO2/GJ）</t>
        </r>
      </text>
    </comment>
    <comment ref="N68" authorId="0" shapeId="0" xr:uid="{75E42FB9-2D5A-4A13-B483-C354DCA27A4C}">
      <text>
        <r>
          <rPr>
            <b/>
            <sz val="12"/>
            <color indexed="81"/>
            <rFont val="メイリオ"/>
            <family val="3"/>
            <charset val="128"/>
          </rPr>
          <t>CO2排出量（tCO2）＝（熱の種類ごとに）熱使用量（GJ）
　　　　　　　　　　×単位使用量当たりの排出量（tCO2/GJ）</t>
        </r>
      </text>
    </comment>
    <comment ref="X79" authorId="0" shapeId="0" xr:uid="{6FF062B4-66BF-48D0-B987-01EDB76AD01F}">
      <text>
        <r>
          <rPr>
            <b/>
            <sz val="12"/>
            <color indexed="81"/>
            <rFont val="メイリオ"/>
            <family val="3"/>
            <charset val="128"/>
          </rPr>
          <t>電気事業者から購入した電気のうち、非化石電気の比率がわかる場合は入力する。</t>
        </r>
      </text>
    </comment>
    <comment ref="U91" authorId="0" shapeId="0" xr:uid="{A9EFCEC9-B4F4-4698-A17B-CA9677082B6E}">
      <text>
        <r>
          <rPr>
            <b/>
            <sz val="12"/>
            <color indexed="81"/>
            <rFont val="メイリオ"/>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92" authorId="0" shapeId="0" xr:uid="{FFD65ED0-D016-41B6-81D9-3CE99444345F}">
      <text>
        <r>
          <rPr>
            <b/>
            <sz val="12"/>
            <color indexed="81"/>
            <rFont val="メイリオ"/>
            <family val="3"/>
            <charset val="128"/>
          </rPr>
          <t>自己託送制度によって供給を受けた電気のうち、燃料を投じて発電された電気を除く非化石電気の使用がある場合</t>
        </r>
      </text>
    </comment>
    <comment ref="W105" authorId="0" shapeId="0" xr:uid="{EB5496AB-3768-4614-AF6E-5C33962DECEF}">
      <text>
        <r>
          <rPr>
            <b/>
            <sz val="12"/>
            <color indexed="81"/>
            <rFont val="MS P ゴシック"/>
            <family val="3"/>
            <charset val="128"/>
          </rPr>
          <t>自家消費する太陽光発電等による非化石電気の年間使用量(kWh)を入力してください。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U34" authorId="0" shapeId="0" xr:uid="{2F6DFA91-22FF-4283-9609-DA84DCCDFAFA}">
      <text>
        <r>
          <rPr>
            <b/>
            <sz val="12"/>
            <color indexed="81"/>
            <rFont val="メイリオ"/>
            <family val="3"/>
            <charset val="128"/>
          </rPr>
          <t>算定対処とした当該フロアや当該テナント名称等を記入</t>
        </r>
      </text>
    </comment>
    <comment ref="W34" authorId="0" shapeId="0" xr:uid="{9207D2E3-D2B8-44DE-A35C-9901BBB41015}">
      <text>
        <r>
          <rPr>
            <b/>
            <sz val="12"/>
            <color indexed="81"/>
            <rFont val="メイリオ"/>
            <family val="3"/>
            <charset val="128"/>
          </rPr>
          <t>炭素排出係数（tCO2/GJ）</t>
        </r>
      </text>
    </comment>
    <comment ref="N35" authorId="0" shapeId="0" xr:uid="{DDB0C9F3-0DE0-44E1-866D-37B663F6DD18}">
      <text>
        <r>
          <rPr>
            <b/>
            <sz val="12"/>
            <color indexed="8"/>
            <rFont val="メイリオ"/>
            <family val="3"/>
            <charset val="128"/>
          </rPr>
          <t xml:space="preserve">CO2排出量（tCO2）＝ （燃料の種類ごとに）燃料使用量（t, kl, 千 m3）
　　　　　　　　　　×単位発熱量（GJ/t, GJ/kl, GJ/千 m3）
　　　　　　　　　　×炭素排出係数（tC/GJ）
　　　　　　　　　　×44/12 </t>
        </r>
      </text>
    </comment>
    <comment ref="V37" authorId="0" shapeId="0" xr:uid="{EDC2A389-0E59-4BFA-AA27-48E380FF8763}">
      <text>
        <r>
          <rPr>
            <b/>
            <sz val="12"/>
            <color indexed="81"/>
            <rFont val="メイリオ"/>
            <family val="3"/>
            <charset val="128"/>
          </rPr>
          <t>単位発熱量（GJ/t, GJ/kl, GJ/千 m3等）</t>
        </r>
      </text>
    </comment>
    <comment ref="W37" authorId="0" shapeId="0" xr:uid="{F337E30D-17DC-43C6-B1DA-45AFA3671FE2}">
      <text>
        <r>
          <rPr>
            <b/>
            <sz val="12"/>
            <color indexed="81"/>
            <rFont val="メイリオ"/>
            <family val="3"/>
            <charset val="128"/>
          </rPr>
          <t>炭素排出係数（tC/GJ）</t>
        </r>
      </text>
    </comment>
    <comment ref="W61" authorId="0" shapeId="0" xr:uid="{BC5672FA-6779-4836-9616-F4718914A6F4}">
      <text>
        <r>
          <rPr>
            <b/>
            <sz val="12"/>
            <color indexed="81"/>
            <rFont val="メイリオ"/>
            <family val="3"/>
            <charset val="128"/>
          </rPr>
          <t>熱供給事業者別係数を使用
（単位：tCO2/GJ）</t>
        </r>
      </text>
    </comment>
    <comment ref="N68" authorId="0" shapeId="0" xr:uid="{927D5268-4B04-43F2-A7E6-03C65B19F36F}">
      <text>
        <r>
          <rPr>
            <b/>
            <sz val="12"/>
            <color indexed="81"/>
            <rFont val="メイリオ"/>
            <family val="3"/>
            <charset val="128"/>
          </rPr>
          <t>CO2排出量（tCO2）＝（熱の種類ごとに）熱使用量（GJ）
　　　　　　　　　　×単位使用量当たりの排出量（tCO2/GJ）</t>
        </r>
      </text>
    </comment>
    <comment ref="X79" authorId="0" shapeId="0" xr:uid="{A070353F-5A9E-4A10-B5F9-D8CE275C9EB7}">
      <text>
        <r>
          <rPr>
            <b/>
            <sz val="12"/>
            <color indexed="81"/>
            <rFont val="メイリオ"/>
            <family val="3"/>
            <charset val="128"/>
          </rPr>
          <t>電気事業者から購入した電気のうち、非化石電気の比率がわかる場合は入力する。</t>
        </r>
      </text>
    </comment>
    <comment ref="U91" authorId="0" shapeId="0" xr:uid="{9A1A96F9-FC06-4E20-A0C8-CE606119006B}">
      <text>
        <r>
          <rPr>
            <b/>
            <sz val="12"/>
            <color indexed="81"/>
            <rFont val="メイリオ"/>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92" authorId="0" shapeId="0" xr:uid="{0ACD3B90-B7CB-423B-A976-6D6EFA1C947C}">
      <text>
        <r>
          <rPr>
            <b/>
            <sz val="12"/>
            <color indexed="81"/>
            <rFont val="メイリオ"/>
            <family val="3"/>
            <charset val="128"/>
          </rPr>
          <t>自己託送制度によって供給を受けた電気のうち、燃料を投じて発電された電気を除く非化石電気の使用がある場合</t>
        </r>
      </text>
    </comment>
    <comment ref="W105" authorId="0" shapeId="0" xr:uid="{262572B8-E0A5-4BA8-B7FD-FA38C95F77FA}">
      <text>
        <r>
          <rPr>
            <b/>
            <sz val="12"/>
            <color indexed="81"/>
            <rFont val="MS P ゴシック"/>
            <family val="3"/>
            <charset val="128"/>
          </rPr>
          <t>自家消費する太陽光発電等による非化石電気の年間使用量(kWh)を入力してください。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U34" authorId="0" shapeId="0" xr:uid="{EC30395D-243E-4B2A-A41B-BC5A7A883E5C}">
      <text>
        <r>
          <rPr>
            <b/>
            <sz val="12"/>
            <color indexed="81"/>
            <rFont val="メイリオ"/>
            <family val="3"/>
            <charset val="128"/>
          </rPr>
          <t>算定対処とした当該フロアや当該テナント名称等を記入</t>
        </r>
      </text>
    </comment>
    <comment ref="W34" authorId="0" shapeId="0" xr:uid="{6F1CB635-393B-4459-B1EC-DAC2380829AC}">
      <text>
        <r>
          <rPr>
            <b/>
            <sz val="12"/>
            <color indexed="81"/>
            <rFont val="メイリオ"/>
            <family val="3"/>
            <charset val="128"/>
          </rPr>
          <t>炭素排出係数（tCO2/GJ）</t>
        </r>
      </text>
    </comment>
    <comment ref="N35" authorId="0" shapeId="0" xr:uid="{CE54C299-E0D0-47EA-9241-0673A1020471}">
      <text>
        <r>
          <rPr>
            <b/>
            <sz val="12"/>
            <color indexed="81"/>
            <rFont val="メイリオ"/>
            <family val="3"/>
            <charset val="128"/>
          </rPr>
          <t xml:space="preserve">CO2排出量（tCO2）＝ （燃料の種類ごとに）燃料使用量（t, kl, 千 m3）
　　　　　　　　　　×単位発熱量（GJ/t, GJ/kl, GJ/千 m3）
　　　　　　　　　　×炭素排出係数（tC/GJ）
　　　　　　　　　　×44/12 </t>
        </r>
      </text>
    </comment>
    <comment ref="V37" authorId="0" shapeId="0" xr:uid="{48732D7C-382B-4A4A-A1EB-A195AFF6C3DD}">
      <text>
        <r>
          <rPr>
            <b/>
            <sz val="12"/>
            <color indexed="81"/>
            <rFont val="メイリオ"/>
            <family val="3"/>
            <charset val="128"/>
          </rPr>
          <t>単位発熱量（GJ/t, GJ/kl, GJ/千 m3等）</t>
        </r>
      </text>
    </comment>
    <comment ref="W37" authorId="0" shapeId="0" xr:uid="{970B4EEE-79DC-4B74-B183-16E54F1676BB}">
      <text>
        <r>
          <rPr>
            <b/>
            <sz val="12"/>
            <color indexed="81"/>
            <rFont val="メイリオ"/>
            <family val="3"/>
            <charset val="128"/>
          </rPr>
          <t>炭素排出係数（tC/GJ）</t>
        </r>
      </text>
    </comment>
    <comment ref="W61" authorId="0" shapeId="0" xr:uid="{95533147-F0B1-4165-99C1-FF7987B84549}">
      <text>
        <r>
          <rPr>
            <b/>
            <sz val="12"/>
            <color indexed="81"/>
            <rFont val="メイリオ"/>
            <family val="3"/>
            <charset val="128"/>
          </rPr>
          <t>熱供給事業者別係数を使用
（単位：tCO2/GJ）</t>
        </r>
      </text>
    </comment>
    <comment ref="N68" authorId="0" shapeId="0" xr:uid="{DEA4038C-AB92-4D9E-A5D2-73CCE8EF4927}">
      <text>
        <r>
          <rPr>
            <b/>
            <sz val="12"/>
            <color indexed="81"/>
            <rFont val="メイリオ"/>
            <family val="3"/>
            <charset val="128"/>
          </rPr>
          <t>CO2排出量（tCO2）＝（熱の種類ごとに）熱使用量（GJ）
　　　　　　　　　　×単位使用量当たりの排出量（tCO2/GJ）</t>
        </r>
      </text>
    </comment>
    <comment ref="X79" authorId="0" shapeId="0" xr:uid="{0E22457A-288B-4F5F-B15A-DB551962EFD5}">
      <text>
        <r>
          <rPr>
            <b/>
            <sz val="12"/>
            <color indexed="81"/>
            <rFont val="メイリオ"/>
            <family val="3"/>
            <charset val="128"/>
          </rPr>
          <t>電気事業者から購入した電気のうち、非化石電気の比率がわかる場合は入力する。</t>
        </r>
      </text>
    </comment>
    <comment ref="U91" authorId="0" shapeId="0" xr:uid="{0B776371-CAC8-4805-A8FB-3B26169A73CC}">
      <text>
        <r>
          <rPr>
            <b/>
            <sz val="12"/>
            <color indexed="81"/>
            <rFont val="メイリオ"/>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92" authorId="0" shapeId="0" xr:uid="{395AEE6B-B411-4F8F-9116-3C22A5E37E1C}">
      <text>
        <r>
          <rPr>
            <b/>
            <sz val="12"/>
            <color indexed="81"/>
            <rFont val="メイリオ"/>
            <family val="3"/>
            <charset val="128"/>
          </rPr>
          <t>自己託送制度によって供給を受けた電気のうち、燃料を投じて発電された電気を除く非化石電気の使用がある場合</t>
        </r>
      </text>
    </comment>
    <comment ref="W105" authorId="0" shapeId="0" xr:uid="{9490A793-DC08-4746-A7BC-ABA565931483}">
      <text>
        <r>
          <rPr>
            <b/>
            <sz val="12"/>
            <color indexed="81"/>
            <rFont val="MS P ゴシック"/>
            <family val="3"/>
            <charset val="128"/>
          </rPr>
          <t>自家消費する太陽光発電等による非化石電気の年間使用量(kWh)を入力してください。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U34" authorId="0" shapeId="0" xr:uid="{F9C66AAE-FE0F-4A8B-B67D-D771209BDB18}">
      <text>
        <r>
          <rPr>
            <b/>
            <sz val="12"/>
            <color indexed="81"/>
            <rFont val="メイリオ"/>
            <family val="3"/>
            <charset val="128"/>
          </rPr>
          <t>算定対処とした当該フロアや当該テナント名称等を記入</t>
        </r>
      </text>
    </comment>
    <comment ref="W34" authorId="0" shapeId="0" xr:uid="{4E177D1F-EDE8-4804-BC38-6D19124CA9FA}">
      <text>
        <r>
          <rPr>
            <b/>
            <sz val="12"/>
            <color indexed="81"/>
            <rFont val="メイリオ"/>
            <family val="3"/>
            <charset val="128"/>
          </rPr>
          <t>炭素排出係数（tCO2/GJ）</t>
        </r>
      </text>
    </comment>
    <comment ref="N35" authorId="0" shapeId="0" xr:uid="{55342E9C-BF3C-40BD-834D-C468DC9E59CB}">
      <text>
        <r>
          <rPr>
            <b/>
            <sz val="12"/>
            <color indexed="81"/>
            <rFont val="メイリオ"/>
            <family val="3"/>
            <charset val="128"/>
          </rPr>
          <t xml:space="preserve">CO2排出量（tCO2）＝ （燃料の種類ごとに）燃料使用量（t, kl, 千 m3）
　　　　　　　　　　×単位発熱量（GJ/t, GJ/kl, GJ/千 m3）
　　　　　　　　　　×炭素排出係数（tC/GJ）
　　　　　　　　　　×44/12 </t>
        </r>
      </text>
    </comment>
    <comment ref="V37" authorId="0" shapeId="0" xr:uid="{E814A9C2-E104-4F32-8347-7939DC1528D2}">
      <text>
        <r>
          <rPr>
            <b/>
            <sz val="12"/>
            <color indexed="81"/>
            <rFont val="メイリオ"/>
            <family val="3"/>
            <charset val="128"/>
          </rPr>
          <t>単位発熱量（GJ/t, GJ/kl, GJ/千 m3等）</t>
        </r>
      </text>
    </comment>
    <comment ref="W37" authorId="0" shapeId="0" xr:uid="{A6B072B8-2CA4-4BBE-82B9-70B7D8BEAEFE}">
      <text>
        <r>
          <rPr>
            <b/>
            <sz val="12"/>
            <color indexed="81"/>
            <rFont val="メイリオ"/>
            <family val="3"/>
            <charset val="128"/>
          </rPr>
          <t>炭素排出係数（tC/GJ）</t>
        </r>
      </text>
    </comment>
    <comment ref="W61" authorId="0" shapeId="0" xr:uid="{A002F3AF-8B28-495D-8457-C0EC6E8E88EB}">
      <text>
        <r>
          <rPr>
            <b/>
            <sz val="12"/>
            <color indexed="81"/>
            <rFont val="メイリオ"/>
            <family val="3"/>
            <charset val="128"/>
          </rPr>
          <t>熱供給事業者別係数を使用
（単位：tCO2/GJ）</t>
        </r>
      </text>
    </comment>
    <comment ref="N68" authorId="0" shapeId="0" xr:uid="{AF4B82F0-9544-4C5F-999B-AA9888228F84}">
      <text>
        <r>
          <rPr>
            <b/>
            <sz val="12"/>
            <color indexed="81"/>
            <rFont val="メイリオ"/>
            <family val="3"/>
            <charset val="128"/>
          </rPr>
          <t>CO2排出量（tCO2）＝（熱の種類ごとに）熱使用量（GJ）
　　　　　　　　　　×単位使用量当たりの排出量（tCO2/GJ）</t>
        </r>
      </text>
    </comment>
    <comment ref="X79" authorId="0" shapeId="0" xr:uid="{EB50CB07-F39A-4021-916F-AC03C558D956}">
      <text>
        <r>
          <rPr>
            <b/>
            <sz val="12"/>
            <color indexed="81"/>
            <rFont val="メイリオ"/>
            <family val="3"/>
            <charset val="128"/>
          </rPr>
          <t>電気事業者から購入した電気のうち、非化石電気の比率がわかる場合は入力する。</t>
        </r>
      </text>
    </comment>
    <comment ref="U91" authorId="0" shapeId="0" xr:uid="{07DC7ADC-ED04-4A3D-B234-EE5AEA76A677}">
      <text>
        <r>
          <rPr>
            <b/>
            <sz val="12"/>
            <color indexed="81"/>
            <rFont val="メイリオ"/>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92" authorId="0" shapeId="0" xr:uid="{7497B337-6A63-47BD-A1DC-2204F66ADA33}">
      <text>
        <r>
          <rPr>
            <b/>
            <sz val="12"/>
            <color indexed="81"/>
            <rFont val="メイリオ"/>
            <family val="3"/>
            <charset val="128"/>
          </rPr>
          <t>自己託送制度によって供給を受けた電気のうち、燃料を投じて発電された電気を除く非化石電気の使用がある場合</t>
        </r>
      </text>
    </comment>
    <comment ref="W105" authorId="0" shapeId="0" xr:uid="{63A07502-DF57-4997-A538-CB75E60BD34E}">
      <text>
        <r>
          <rPr>
            <b/>
            <sz val="12"/>
            <color indexed="81"/>
            <rFont val="MS P ゴシック"/>
            <family val="3"/>
            <charset val="128"/>
          </rPr>
          <t>自家消費する太陽光発電等による非化石電気の年間使用量(kWh)を入力してください。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0049322_指定表(AP)_提出" type="4" refreshedVersion="0" background="1">
    <webPr xml="1" sourceData="1" url="C:\Users\h.hosoi\Downloads\0049322_指定表(AP)_提出.xml" htmlTables="1" htmlFormat="all"/>
  </connection>
  <connection id="2" xr16:uid="{00000000-0015-0000-FFFF-FFFF01000000}" name="0049322_指定表(AP)_提出1" type="4" refreshedVersion="0" background="1">
    <webPr xml="1" sourceData="1" url="C:\Users\h.hosoi\Downloads\0049322_指定表(AP)_提出.xml" htmlTables="1" htmlFormat="all"/>
  </connection>
  <connection id="3" xr16:uid="{00000000-0015-0000-FFFF-FFFF02000000}" name="0049322_指定表(AP)_提出2" type="4" refreshedVersion="0" background="1">
    <webPr xml="1" sourceData="1" url="C:\Users\h.hosoi\Downloads\0049322_指定表(AP)_提出.xml" htmlTables="1" htmlFormat="all"/>
  </connection>
  <connection id="4" xr16:uid="{00000000-0015-0000-FFFF-FFFF03000000}" name="0049322_指定表(AP)_提出3" type="4" refreshedVersion="0" background="1">
    <webPr xml="1" sourceData="1" url="C:\Users\h.hosoi\Downloads\0049322_指定表(AP)_提出.xml" htmlTables="1" htmlFormat="all"/>
  </connection>
  <connection id="5" xr16:uid="{00000000-0015-0000-FFFF-FFFF04000000}" name="0049322_指定表(AP)_提出4" type="4" refreshedVersion="0" background="1">
    <webPr xml="1" sourceData="1" url="C:\Users\h.hosoi\Downloads\東北経済産業局長・東北地方環境事務所長・東北地方整備局長・東北農政局長・東北厚生局長\0049322_指定表(AP)_提出.xml" htmlTables="1" htmlFormat="all"/>
  </connection>
  <connection id="6" xr16:uid="{00000000-0015-0000-FFFF-FFFF05000000}" name="0049322_指定表(AP)_提出5" type="4" refreshedVersion="0" background="1">
    <webPr xml="1" sourceData="1" url="C:\Users\h.hosoi\Downloads\東北経済産業局長・東北地方環境事務所長・東北地方整備局長・東北農政局長・東北厚生局長\0049322_指定表(AP)_提出.xml" htmlTables="1" htmlFormat="all"/>
  </connection>
  <connection id="7" xr16:uid="{00000000-0015-0000-FFFF-FFFF06000000}" name="0049322_指定表(AP)_提出6" type="4" refreshedVersion="0" background="1">
    <webPr xml="1" sourceData="1" url="C:\Users\h.hosoi\Downloads\東北経済産業局長・東北地方環境事務所長・東北地方整備局長・東北農政局長・東北厚生局長\0049322_指定表(AP)_提出.xml" htmlTables="1" htmlFormat="all"/>
  </connection>
  <connection id="8" xr16:uid="{00000000-0015-0000-FFFF-FFFF07000000}" name="0049322_指定表(AP)_提出7" type="4" refreshedVersion="0" background="1">
    <webPr xml="1" sourceData="1" url="C:\Users\h.hosoi\Downloads\東北経済産業局長・東北地方環境事務所長・東北地方整備局長・東北農政局長・東北厚生局長\0049322_指定表(AP)_提出.xml" htmlTables="1" htmlFormat="all"/>
  </connection>
  <connection id="9" xr16:uid="{00000000-0015-0000-FFFF-FFFF08000000}" name="0049322_指定表(AP)_提出8" type="4" refreshedVersion="0" background="1">
    <webPr xml="1" sourceData="1" url="C:\Users\h.hosoi\Downloads\東北経済産業局長・東北地方環境事務所長・東北地方整備局長・東北農政局長・東北厚生局長\0049322_指定表(AP)_提出.xml" htmlTables="1" htmlFormat="all"/>
  </connection>
  <connection id="10" xr16:uid="{00000000-0015-0000-FFFF-FFFF09000000}" name="0059921_特定表(AP)_提出" type="4" refreshedVersion="0" background="1">
    <webPr xml="1" sourceData="1" url="C:\Users\h.hosoi\Downloads\0059921_特定表(AP)_提出.xml" htmlTables="1" htmlFormat="all"/>
  </connection>
  <connection id="11" xr16:uid="{00000000-0015-0000-FFFF-FFFF0A000000}" name="1234567_特定表(AP)_提出" type="4" refreshedVersion="0" background="1">
    <webPr xml="1" sourceData="1" url="C:\Users\h.hosoi\Downloads\1234567_特定表(AP)_提出.xml" htmlTables="1" htmlFormat="all"/>
  </connection>
  <connection id="12" xr16:uid="{00000000-0015-0000-FFFF-FFFF0B000000}" name="2223334_指定表(AP)_提出" type="4" refreshedVersion="0" background="1">
    <webPr xml="1" sourceData="1" url="\\TO-SHARE3\share-tokyo\00.地エネ室\01_個人別フォルダ\細井\20200312仙台市ツールデモ\定期報告書データ(XML)\2223334_指定表(AP)_提出.xml" htmlTables="1" htmlFormat="all"/>
  </connection>
  <connection id="13" xr16:uid="{00000000-0015-0000-FFFF-FFFF0C000000}" name="2223334_指定表(AP)_提出1" type="4" refreshedVersion="0" background="1">
    <webPr xml="1" sourceData="1" url="\\TO-SHARE3\share-tokyo\00.地エネ室\01_個人別フォルダ\細井\20200312仙台市ツールデモ\定期報告書データ(XML)\2223334_指定表(AP)_提出.xml" htmlTables="1" htmlFormat="all"/>
  </connection>
  <connection id="14" xr16:uid="{00000000-0015-0000-FFFF-FFFF0D000000}" name="2223334_指定表(AP)_提出10" type="4" refreshedVersion="0" background="1">
    <webPr xml="1" sourceData="1" url="C:\Users\h.hosoi\Downloads\2223334_指定表(AP)_提出.xml" htmlTables="1" htmlFormat="all"/>
  </connection>
  <connection id="15" xr16:uid="{00000000-0015-0000-FFFF-FFFF0E000000}" name="2223334_指定表(AP)_提出11" type="4" refreshedVersion="0" background="1">
    <webPr xml="1" sourceData="1" url="C:\Users\h.hosoi\Downloads\2223334_指定表(AP)_提出.xml" htmlTables="1" htmlFormat="all"/>
  </connection>
  <connection id="16" xr16:uid="{00000000-0015-0000-FFFF-FFFF0F000000}" name="2223334_指定表(AP)_提出12" type="4" refreshedVersion="0" background="1">
    <webPr xml="1" sourceData="1" url="C:\Users\h.hosoi\Documents\ツール\01_仙台市ツール\旧ツール\Demo用\定期報告書データ(XML)\関東経済産業局長\2223334_指定表(AP)_提出.xml" htmlTables="1" htmlFormat="all"/>
  </connection>
  <connection id="17" xr16:uid="{00000000-0015-0000-FFFF-FFFF10000000}" name="2223334_指定表(AP)_提出2" type="4" refreshedVersion="0" background="1">
    <webPr xml="1" sourceData="1" url="C:\Users\h.hosoi\Documents\定期報告書作成支援ツール\定期報告書データ(XML)\関東経済産業局長\2223334_指定表(AP)_提出.xml" htmlTables="1" htmlFormat="all"/>
  </connection>
  <connection id="18" xr16:uid="{00000000-0015-0000-FFFF-FFFF11000000}" name="2223334_指定表(AP)_提出3" type="4" refreshedVersion="0" background="1">
    <webPr xml="1" sourceData="1" url="\\TO-SHARE3\share-tokyo\00.地エネ室\01_個人別フォルダ\細井\20200312仙台市ツールデモ\定期報告書データ(XML)\2223334_指定表(AP)_提出.xml" htmlTables="1" htmlFormat="all"/>
  </connection>
  <connection id="19" xr16:uid="{00000000-0015-0000-FFFF-FFFF12000000}" name="2223334_指定表(AP)_提出4" type="4" refreshedVersion="0" background="1">
    <webPr xml="1" sourceData="1" url="\\TO-SHARE3\share-tokyo\00.地エネ室\01_個人別フォルダ\細井\20200312仙台市ツールデモ\定期報告書データ(XML)\2223334_指定表(AP)_提出.xml" htmlTables="1" htmlFormat="all"/>
  </connection>
  <connection id="20" xr16:uid="{00000000-0015-0000-FFFF-FFFF13000000}" name="2223334_指定表(AP)_提出5" type="4" refreshedVersion="0" background="1">
    <webPr xml="1" sourceData="1" url="C:\Users\h.hosoi\Documents\定期報告書作成支援ツール\定期報告書データ(XML)\関東経済産業局長\2223334_指定表(AP)_提出.xml" htmlTables="1" htmlFormat="all"/>
  </connection>
  <connection id="21" xr16:uid="{00000000-0015-0000-FFFF-FFFF14000000}" name="2223334_指定表(AP)_提出6" type="4" refreshedVersion="0" background="1">
    <webPr xml="1" sourceData="1" url="C:\Users\h.hosoi\Documents\定期報告書作成支援ツール\定期報告書データ(XML)\関東経済産業局長\2223334_指定表(AP)_提出.xml" htmlTables="1" htmlFormat="all"/>
  </connection>
  <connection id="22" xr16:uid="{00000000-0015-0000-FFFF-FFFF15000000}" name="2223334_指定表(AP)_提出7" type="4" refreshedVersion="0" background="1">
    <webPr xml="1" sourceData="1" url="C:\Users\h.hosoi\Documents\定期報告書作成支援ツール\定期報告書データ(XML)\関東経済産業局長\2223334_指定表(AP)_提出.xml" htmlTables="1" htmlFormat="all"/>
  </connection>
  <connection id="23" xr16:uid="{00000000-0015-0000-FFFF-FFFF16000000}" name="2223334_指定表(AP)_提出8" type="4" refreshedVersion="0" background="1">
    <webPr xml="1" sourceData="1" url="C:\Users\h.hosoi\Documents\定期報告書作成支援ツール\定期報告書データ(XML)\関東経済産業局長\2223334_指定表(AP)_提出.xml" htmlTables="1" htmlFormat="all"/>
  </connection>
  <connection id="24" xr16:uid="{00000000-0015-0000-FFFF-FFFF17000000}" name="2223334_指定表(AP)_提出9" type="4" refreshedVersion="0" background="1">
    <webPr xml="1" sourceData="1" url="C:\Users\h.hosoi\Documents\定期報告書作成支援ツール\定期報告書データ(XML)\関東経済産業局長\2223334_指定表(AP)_提出.xml" htmlTables="1" htmlFormat="all"/>
  </connection>
  <connection id="25" xr16:uid="{00000000-0015-0000-FFFF-FFFF18000000}" name="3334445_指定表(AP)_提出" type="4" refreshedVersion="0" background="1">
    <webPr xml="1" sourceData="1" url="\\TO-SHARE3\share-tokyo\00.地エネ室\01_個人別フォルダ\細井\20200312仙台市ツールデモ\定期報告書データ(XML)\3334445_指定表(AP)_提出.xml" htmlTables="1" htmlFormat="all"/>
  </connection>
  <connection id="26" xr16:uid="{00000000-0015-0000-FFFF-FFFF19000000}" name="3334445_指定表(AP)_提出1" type="4" refreshedVersion="0" background="1">
    <webPr xml="1" sourceData="1" url="C:\Users\h.hosoi\Documents\定期報告書作成支援ツール\定期報告書データ(XML)\関東経済産業局長\3334445_指定表(AP)_提出.xml" htmlTables="1" htmlFormat="all"/>
  </connection>
  <connection id="27" xr16:uid="{00000000-0015-0000-FFFF-FFFF1A000000}" name="3334445_指定表(AP)_提出2" type="4" refreshedVersion="0" background="1">
    <webPr xml="1" sourceData="1" url="C:\Users\h.hosoi\Documents\定期報告書作成支援ツール\定期報告書データ(XML)\関東経済産業局長\3334445_指定表(AP)_提出.xml" htmlTables="1" htmlFormat="all"/>
  </connection>
  <connection id="28" xr16:uid="{00000000-0015-0000-FFFF-FFFF1B000000}" name="3334445_指定表(AP)_提出3" type="4" refreshedVersion="0" background="1">
    <webPr xml="1" sourceData="1" url="C:\Users\h.hosoi\Documents\定期報告書作成支援ツール\定期報告書データ(XML)\関東経済産業局長\3334445_指定表(AP)_提出.xml" htmlTables="1" htmlFormat="all"/>
  </connection>
  <connection id="29" xr16:uid="{00000000-0015-0000-FFFF-FFFF1C000000}" name="3334445_指定表(AP)_提出4" type="4" refreshedVersion="0" background="1">
    <webPr xml="1" sourceData="1" url="\\TO-SHARE3\share-tokyo\00.地エネ室\01_個人別フォルダ\細井\20200312仙台市ツールデモ\定期報告書データ(XML)\3334445_指定表(AP)_提出.xml" htmlTables="1" htmlFormat="all"/>
  </connection>
  <connection id="30" xr16:uid="{00000000-0015-0000-FFFF-FFFF1D000000}" name="3334445_指定表(AP)_提出5" type="4" refreshedVersion="0" background="1">
    <webPr xml="1" sourceData="1" url="C:\Users\h.hosoi\Documents\定期報告書作成支援ツール\定期報告書データ(XML)\関東経済産業局長\3334445_指定表(AP)_提出.xml" htmlTables="1" htmlFormat="all"/>
  </connection>
  <connection id="31" xr16:uid="{00000000-0015-0000-FFFF-FFFF1E000000}" name="9612345_指定表(AP)_提出" type="4" refreshedVersion="0" background="1">
    <webPr xml="1" sourceData="1" url="\\TO-SHARE3\share-tokyo\00.地エネ室\01_個人別フォルダ\細井\20200312仙台市ツールデモ\定期報告書データ(XML)\9612345_指定表(AP)_提出.xml" htmlTables="1" htmlFormat="all"/>
  </connection>
  <connection id="32" xr16:uid="{00000000-0015-0000-FFFF-FFFF1F000000}" name="9612345_指定表(AP)_提出1" type="4" refreshedVersion="0" background="1">
    <webPr xml="1" sourceData="1" url="\\TO-SHARE3\share-tokyo\00.地エネ室\01_個人別フォルダ\細井\20200312仙台市ツールデモ\定期報告書データ(XML)\9612345_指定表(AP)_提出.xml" htmlTables="1" htmlFormat="all"/>
  </connection>
  <connection id="33" xr16:uid="{00000000-0015-0000-FFFF-FFFF20000000}" name="9612345_指定表(AP)_提出2" type="4" refreshedVersion="0" background="1">
    <webPr xml="1" sourceData="1" url="\\TO-SHARE3\share-tokyo\00.地エネ室\01_個人別フォルダ\細井\20200312仙台市ツールデモ\定期報告書データ(XML)\9612345_指定表(AP)_提出.xml" htmlTables="1" htmlFormat="all"/>
  </connection>
  <connection id="34" xr16:uid="{00000000-0015-0000-FFFF-FFFF21000000}" name="9612345_指定表(AP)_提出3" type="4" refreshedVersion="0" background="1">
    <webPr xml="1" sourceData="1" url="\\TO-SHARE3\share-tokyo\00.地エネ室\01_個人別フォルダ\細井\20200312仙台市ツールデモ\定期報告書データ(XML)\9612345_指定表(AP)_提出.xml" htmlTables="1" htmlFormat="all"/>
  </connection>
  <connection id="35" xr16:uid="{00000000-0015-0000-FFFF-FFFF22000000}" name="9612345_指定表(AP)_提出4" type="4" refreshedVersion="0" background="1">
    <webPr xml="1" sourceData="1" url="C:\Users\h.hosoi\Documents\定期報告書作成支援ツール\定期報告書データ(XML)\関東経済産業局長\9612345_指定表(AP)_提出.xml" htmlTables="1" htmlFormat="all"/>
  </connection>
  <connection id="36" xr16:uid="{00000000-0015-0000-FFFF-FFFF23000000}" name="9612345_指定表(AP)_提出5" type="4" refreshedVersion="0" background="1">
    <webPr xml="1" sourceData="1" url="C:\Users\h.hosoi\Documents\定期報告書作成支援ツール\定期報告書データ(XML)\関東経済産業局長\9612345_指定表(AP)_提出.xml" htmlTables="1" htmlFormat="all"/>
  </connection>
  <connection id="37" xr16:uid="{00000000-0015-0000-FFFF-FFFF24000000}" name="9612345_指定表(AP)_提出6" type="4" refreshedVersion="0" background="1">
    <webPr xml="1" sourceData="1" url="C:\Users\h.hosoi\Documents\定期報告書作成支援ツール\定期報告書データ(XML)\関東経済産業局長\9612345_指定表(AP)_提出.xml" htmlTables="1" htmlFormat="all"/>
  </connection>
  <connection id="38" xr16:uid="{00000000-0015-0000-FFFF-FFFF25000000}" name="9612345_指定表(AP)_提出7" type="4" refreshedVersion="0" background="1">
    <webPr xml="1" sourceData="1" url="C:\Users\h.hosoi\Downloads\9612345_指定表(AP)_提出.xml" htmlTables="1" htmlFormat="all"/>
  </connection>
  <connection id="39" xr16:uid="{00000000-0015-0000-FFFF-FFFF26000000}" name="9612345_指定表(AP)_提出8" type="4" refreshedVersion="0" background="1">
    <webPr xml="1" sourceData="1" url="C:\Users\h.hosoi\Downloads\9612345_指定表(AP)_提出.xml" htmlTables="1" htmlFormat="all"/>
  </connection>
  <connection id="40" xr16:uid="{00000000-0015-0000-FFFF-FFFF27000000}" name="9612345_指定表(AP)_提出9" type="4" refreshedVersion="0" background="1">
    <webPr xml="1" sourceData="1" url="C:\Users\h.hosoi\Downloads\9612345_指定表(AP)_提出.xml" htmlTables="1" htmlFormat="all"/>
  </connection>
  <connection id="41" xr16:uid="{00000000-0015-0000-FFFF-FFFF28000000}" name="9612345_指定表(AP)_保存" type="4" refreshedVersion="0" background="1">
    <webPr xml="1" sourceData="1" url="C:\Users\h.hosoi\Downloads\9612345_指定表(AP)_保存.xml" htmlTables="1" htmlFormat="all"/>
  </connection>
  <connection id="42" xr16:uid="{00000000-0015-0000-FFFF-FFFF29000000}" name="9612345_指定表(AP)_保存1" type="4" refreshedVersion="0" background="1">
    <webPr xml="1" sourceData="1" url="C:\Users\h.hosoi\Downloads\9612345_指定表(AP)_保存.xml" htmlTables="1" htmlFormat="all"/>
  </connection>
  <connection id="43" xr16:uid="{00000000-0015-0000-FFFF-FFFF2A000000}" name="a1234567_特定表(AP)_提出" type="4" refreshedVersion="0" background="1">
    <webPr xml="1" sourceData="1" url="C:\Users\h.hosoi\Downloads\a1234567_特定表(AP)_提出.xml" htmlTables="1" htmlFormat="all"/>
  </connection>
  <connection id="44" xr16:uid="{00000000-0015-0000-FFFF-FFFF2B000000}" name="村山工場_未指定工場情報(AP)_提出" type="4" refreshedVersion="0" background="1">
    <webPr xml="1" sourceData="1" url="C:\Users\h.hosoi\Documents\定期報告書作成支援ツール\定期報告書データ(XML)\関東経済産業局長\村山工場_未指定工場情報(AP)_提出.xml" htmlTables="1" htmlFormat="all"/>
  </connection>
</connections>
</file>

<file path=xl/sharedStrings.xml><?xml version="1.0" encoding="utf-8"?>
<sst xmlns="http://schemas.openxmlformats.org/spreadsheetml/2006/main" count="10130" uniqueCount="5414">
  <si>
    <t>日</t>
    <rPh sb="0" eb="1">
      <t>ニチ</t>
    </rPh>
    <phoneticPr fontId="1"/>
  </si>
  <si>
    <t>月</t>
    <rPh sb="0" eb="1">
      <t>ゲツ</t>
    </rPh>
    <phoneticPr fontId="1"/>
  </si>
  <si>
    <t>年</t>
    <rPh sb="0" eb="1">
      <t>ネン</t>
    </rPh>
    <phoneticPr fontId="1"/>
  </si>
  <si>
    <t>（あて先）仙台市長</t>
    <rPh sb="3" eb="4">
      <t>サキ</t>
    </rPh>
    <rPh sb="5" eb="8">
      <t>センダイシ</t>
    </rPh>
    <rPh sb="8" eb="9">
      <t>チョウ</t>
    </rPh>
    <phoneticPr fontId="1"/>
  </si>
  <si>
    <t>住所</t>
    <rPh sb="0" eb="2">
      <t>ジュウショ</t>
    </rPh>
    <phoneticPr fontId="1"/>
  </si>
  <si>
    <t>事業者の名称</t>
    <rPh sb="0" eb="2">
      <t>ジギョウ</t>
    </rPh>
    <rPh sb="2" eb="3">
      <t>シャ</t>
    </rPh>
    <rPh sb="4" eb="6">
      <t>メイショウ</t>
    </rPh>
    <phoneticPr fontId="4"/>
  </si>
  <si>
    <t>事業所の名称</t>
    <rPh sb="0" eb="2">
      <t>ジギョウ</t>
    </rPh>
    <rPh sb="2" eb="3">
      <t>ショ</t>
    </rPh>
    <rPh sb="4" eb="6">
      <t>メイショウ</t>
    </rPh>
    <phoneticPr fontId="4"/>
  </si>
  <si>
    <t>事業所の所在地</t>
    <rPh sb="0" eb="2">
      <t>ジギョウ</t>
    </rPh>
    <rPh sb="2" eb="3">
      <t>ショ</t>
    </rPh>
    <rPh sb="4" eb="7">
      <t>ショザイチ</t>
    </rPh>
    <phoneticPr fontId="4"/>
  </si>
  <si>
    <t>連絡先</t>
    <phoneticPr fontId="4"/>
  </si>
  <si>
    <t>電話番号</t>
    <phoneticPr fontId="4"/>
  </si>
  <si>
    <t>ＦＡＸ番号</t>
    <phoneticPr fontId="4"/>
  </si>
  <si>
    <t>メールアドレス</t>
    <phoneticPr fontId="4"/>
  </si>
  <si>
    <t>担当者</t>
    <rPh sb="2" eb="3">
      <t>シャ</t>
    </rPh>
    <phoneticPr fontId="4"/>
  </si>
  <si>
    <t>部署名</t>
    <rPh sb="0" eb="2">
      <t>ブショ</t>
    </rPh>
    <rPh sb="1" eb="3">
      <t>ショメイ</t>
    </rPh>
    <phoneticPr fontId="4"/>
  </si>
  <si>
    <t>氏名</t>
    <rPh sb="0" eb="2">
      <t>シメイ</t>
    </rPh>
    <phoneticPr fontId="4"/>
  </si>
  <si>
    <t>※受理</t>
    <rPh sb="1" eb="3">
      <t>ジュリ</t>
    </rPh>
    <phoneticPr fontId="4"/>
  </si>
  <si>
    <t xml:space="preserve"> ※整理番号</t>
    <rPh sb="2" eb="4">
      <t>セイリ</t>
    </rPh>
    <phoneticPr fontId="4"/>
  </si>
  <si>
    <t>※備考</t>
    <rPh sb="1" eb="3">
      <t>ビコウ</t>
    </rPh>
    <phoneticPr fontId="1"/>
  </si>
  <si>
    <t>届出者</t>
    <rPh sb="0" eb="2">
      <t>トドケデ</t>
    </rPh>
    <rPh sb="2" eb="3">
      <t>シャ</t>
    </rPh>
    <phoneticPr fontId="1"/>
  </si>
  <si>
    <t>法人の所在地</t>
    <rPh sb="0" eb="2">
      <t>ホウジン</t>
    </rPh>
    <rPh sb="3" eb="6">
      <t>ショザイチ</t>
    </rPh>
    <phoneticPr fontId="1"/>
  </si>
  <si>
    <t>法人の名称</t>
    <rPh sb="0" eb="2">
      <t>ホウジン</t>
    </rPh>
    <rPh sb="3" eb="5">
      <t>メイショウ</t>
    </rPh>
    <phoneticPr fontId="1"/>
  </si>
  <si>
    <t>代表者の職・氏名</t>
    <rPh sb="0" eb="3">
      <t>ダイヒョウシャ</t>
    </rPh>
    <rPh sb="4" eb="5">
      <t>ショク</t>
    </rPh>
    <rPh sb="6" eb="8">
      <t>シメイ</t>
    </rPh>
    <phoneticPr fontId="1"/>
  </si>
  <si>
    <t>代理者の職・氏名</t>
    <rPh sb="0" eb="2">
      <t>ダイリ</t>
    </rPh>
    <rPh sb="2" eb="3">
      <t>シャ</t>
    </rPh>
    <rPh sb="4" eb="5">
      <t>ショク</t>
    </rPh>
    <rPh sb="6" eb="8">
      <t>シメイ</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</si>
  <si>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</si>
  <si>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</si>
  <si>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t>
    <phoneticPr fontId="1"/>
  </si>
  <si>
    <t>-</t>
    <phoneticPr fontId="1"/>
  </si>
  <si>
    <t>産業分類番号</t>
    <rPh sb="0" eb="2">
      <t>サンギョウ</t>
    </rPh>
    <rPh sb="2" eb="4">
      <t>ブンルイ</t>
    </rPh>
    <rPh sb="4" eb="6">
      <t>バンゴウ</t>
    </rPh>
    <phoneticPr fontId="1"/>
  </si>
  <si>
    <t>事業の概要</t>
    <rPh sb="0" eb="2">
      <t>ジギョウ</t>
    </rPh>
    <rPh sb="3" eb="5">
      <t>ガイヨウ</t>
    </rPh>
    <phoneticPr fontId="1"/>
  </si>
  <si>
    <t>事業所の概要</t>
    <rPh sb="0" eb="2">
      <t>ジギョウ</t>
    </rPh>
    <rPh sb="2" eb="3">
      <t>ショ</t>
    </rPh>
    <rPh sb="4" eb="6">
      <t>ガイヨウ</t>
    </rPh>
    <phoneticPr fontId="1"/>
  </si>
  <si>
    <t>担当者</t>
    <rPh sb="0" eb="3">
      <t>タントウシャ</t>
    </rPh>
    <phoneticPr fontId="1"/>
  </si>
  <si>
    <t>所属部署</t>
    <rPh sb="0" eb="2">
      <t>ショゾク</t>
    </rPh>
    <rPh sb="2" eb="4">
      <t>ブショ</t>
    </rPh>
    <phoneticPr fontId="1"/>
  </si>
  <si>
    <t>住所</t>
    <rPh sb="0" eb="2">
      <t>ジュウショ</t>
    </rPh>
    <phoneticPr fontId="1"/>
  </si>
  <si>
    <t>氏名</t>
    <rPh sb="0" eb="2">
      <t>シメイ</t>
    </rPh>
    <phoneticPr fontId="1"/>
  </si>
  <si>
    <t>電話番号</t>
    <rPh sb="0" eb="2">
      <t>デンワ</t>
    </rPh>
    <rPh sb="2" eb="4">
      <t>バンゴウ</t>
    </rPh>
    <phoneticPr fontId="1"/>
  </si>
  <si>
    <t>FAX番号</t>
    <rPh sb="3" eb="5">
      <t>バンゴウ</t>
    </rPh>
    <phoneticPr fontId="1"/>
  </si>
  <si>
    <t>Eメールアドレス</t>
    <phoneticPr fontId="1"/>
  </si>
  <si>
    <t>法人の名称</t>
    <rPh sb="0" eb="2">
      <t>ホウジン</t>
    </rPh>
    <rPh sb="3" eb="5">
      <t>メイショウ</t>
    </rPh>
    <phoneticPr fontId="1"/>
  </si>
  <si>
    <t>代表者氏名</t>
    <rPh sb="0" eb="3">
      <t>ダイヒョウシャ</t>
    </rPh>
    <rPh sb="3" eb="5">
      <t>シメイ</t>
    </rPh>
    <phoneticPr fontId="1"/>
  </si>
  <si>
    <t>kl</t>
    <phoneticPr fontId="4"/>
  </si>
  <si>
    <t>外部
供給量</t>
    <rPh sb="0" eb="2">
      <t>ガイブ</t>
    </rPh>
    <rPh sb="3" eb="5">
      <t>キョウキュウ</t>
    </rPh>
    <rPh sb="5" eb="6">
      <t>リョウ</t>
    </rPh>
    <phoneticPr fontId="4"/>
  </si>
  <si>
    <t>実使用量</t>
    <rPh sb="0" eb="1">
      <t>ジツ</t>
    </rPh>
    <rPh sb="1" eb="4">
      <t>シヨウリョウ</t>
    </rPh>
    <phoneticPr fontId="4"/>
  </si>
  <si>
    <t>単位</t>
    <rPh sb="0" eb="2">
      <t>タンイ</t>
    </rPh>
    <phoneticPr fontId="4"/>
  </si>
  <si>
    <t>GＪ/ｋｌ</t>
  </si>
  <si>
    <t>ナフサ</t>
  </si>
  <si>
    <t>灯油</t>
  </si>
  <si>
    <t>軽油</t>
  </si>
  <si>
    <t>Ａ重油</t>
  </si>
  <si>
    <t>Ｂ・Ｃ重油</t>
  </si>
  <si>
    <t>石油アスファルト</t>
  </si>
  <si>
    <t>t</t>
    <phoneticPr fontId="4"/>
  </si>
  <si>
    <t>GＪ/ｔ</t>
  </si>
  <si>
    <t>石油コークス</t>
  </si>
  <si>
    <t>石油ガス</t>
  </si>
  <si>
    <t>液化石油ガス     (LPG)</t>
    <phoneticPr fontId="4"/>
  </si>
  <si>
    <t>石油系炭化水素ガス</t>
    <phoneticPr fontId="4"/>
  </si>
  <si>
    <t>可燃性
天然ガス</t>
  </si>
  <si>
    <t>液化天然ガス     (LNG)</t>
    <phoneticPr fontId="4"/>
  </si>
  <si>
    <t>その他可燃性天然ガス</t>
  </si>
  <si>
    <t>GＪ/千ｍ３</t>
  </si>
  <si>
    <t>石炭</t>
  </si>
  <si>
    <t>原料炭</t>
  </si>
  <si>
    <t>石炭コークス</t>
  </si>
  <si>
    <t>コールタール</t>
  </si>
  <si>
    <t>コークス炉ガス</t>
  </si>
  <si>
    <t>高炉ガス</t>
  </si>
  <si>
    <t>転炉ガス</t>
  </si>
  <si>
    <t>都市ガス</t>
    <phoneticPr fontId="4"/>
  </si>
  <si>
    <t>GJ</t>
    <phoneticPr fontId="4"/>
  </si>
  <si>
    <t>GＪ/GＪ</t>
  </si>
  <si>
    <t>温水</t>
    <rPh sb="0" eb="2">
      <t>オンスイ</t>
    </rPh>
    <phoneticPr fontId="11"/>
  </si>
  <si>
    <t>冷水</t>
    <rPh sb="0" eb="2">
      <t>レイスイ</t>
    </rPh>
    <phoneticPr fontId="11"/>
  </si>
  <si>
    <t>小　　　　　計</t>
    <rPh sb="0" eb="1">
      <t>ショウ</t>
    </rPh>
    <rPh sb="6" eb="7">
      <t>ケイ</t>
    </rPh>
    <phoneticPr fontId="4"/>
  </si>
  <si>
    <t>－</t>
    <phoneticPr fontId="4"/>
  </si>
  <si>
    <t>昼間買電</t>
    <rPh sb="0" eb="2">
      <t>ヒルマ</t>
    </rPh>
    <rPh sb="2" eb="3">
      <t>カ</t>
    </rPh>
    <rPh sb="3" eb="4">
      <t>デン</t>
    </rPh>
    <phoneticPr fontId="11"/>
  </si>
  <si>
    <t>夜間買電</t>
    <rPh sb="0" eb="2">
      <t>ヤカン</t>
    </rPh>
    <rPh sb="2" eb="3">
      <t>カ</t>
    </rPh>
    <rPh sb="3" eb="4">
      <t>デン</t>
    </rPh>
    <phoneticPr fontId="11"/>
  </si>
  <si>
    <t>自家発電</t>
    <rPh sb="0" eb="2">
      <t>ジカ</t>
    </rPh>
    <rPh sb="2" eb="4">
      <t>ハツデン</t>
    </rPh>
    <phoneticPr fontId="4"/>
  </si>
  <si>
    <t>名称</t>
    <rPh sb="0" eb="2">
      <t>メイショウ</t>
    </rPh>
    <phoneticPr fontId="4"/>
  </si>
  <si>
    <t>委任状</t>
    <rPh sb="0" eb="3">
      <t>イニンジョウ</t>
    </rPh>
    <phoneticPr fontId="1"/>
  </si>
  <si>
    <t>名称</t>
    <rPh sb="0" eb="2">
      <t>メイショウ</t>
    </rPh>
    <phoneticPr fontId="1"/>
  </si>
  <si>
    <t>記</t>
    <rPh sb="0" eb="1">
      <t>キ</t>
    </rPh>
    <phoneticPr fontId="1"/>
  </si>
  <si>
    <t>１　事業所の概要</t>
    <rPh sb="2" eb="4">
      <t>ジギョウ</t>
    </rPh>
    <rPh sb="4" eb="5">
      <t>ショ</t>
    </rPh>
    <rPh sb="6" eb="8">
      <t>ガイヨウ</t>
    </rPh>
    <phoneticPr fontId="4"/>
  </si>
  <si>
    <t>事業所の規模等</t>
    <rPh sb="0" eb="2">
      <t>ジギョウ</t>
    </rPh>
    <rPh sb="2" eb="3">
      <t>ショ</t>
    </rPh>
    <rPh sb="4" eb="6">
      <t>キボ</t>
    </rPh>
    <rPh sb="6" eb="7">
      <t>ナド</t>
    </rPh>
    <phoneticPr fontId="4"/>
  </si>
  <si>
    <t>従業員数</t>
    <rPh sb="0" eb="3">
      <t>ジュウギョウイン</t>
    </rPh>
    <rPh sb="3" eb="4">
      <t>スウ</t>
    </rPh>
    <phoneticPr fontId="3"/>
  </si>
  <si>
    <t>延床面積</t>
    <rPh sb="0" eb="1">
      <t>ノ</t>
    </rPh>
    <rPh sb="1" eb="4">
      <t>ユカメンセキ</t>
    </rPh>
    <phoneticPr fontId="3"/>
  </si>
  <si>
    <t>計画書</t>
    <rPh sb="0" eb="3">
      <t>ケイカクショ</t>
    </rPh>
    <phoneticPr fontId="1"/>
  </si>
  <si>
    <t>基準年度</t>
    <rPh sb="0" eb="2">
      <t>キジュン</t>
    </rPh>
    <rPh sb="2" eb="3">
      <t>ネン</t>
    </rPh>
    <rPh sb="3" eb="4">
      <t>ド</t>
    </rPh>
    <phoneticPr fontId="1"/>
  </si>
  <si>
    <t>換算係数</t>
    <rPh sb="0" eb="2">
      <t>カンサン</t>
    </rPh>
    <rPh sb="2" eb="4">
      <t>ケイスウ</t>
    </rPh>
    <phoneticPr fontId="4"/>
  </si>
  <si>
    <t>電気
事業者</t>
    <rPh sb="0" eb="2">
      <t>デンキ</t>
    </rPh>
    <phoneticPr fontId="11"/>
  </si>
  <si>
    <t>基準年度</t>
    <rPh sb="0" eb="2">
      <t>キジュン</t>
    </rPh>
    <rPh sb="2" eb="4">
      <t>ネンド</t>
    </rPh>
    <phoneticPr fontId="4"/>
  </si>
  <si>
    <t>基準排出量</t>
    <rPh sb="0" eb="2">
      <t>キジュン</t>
    </rPh>
    <rPh sb="2" eb="4">
      <t>ハイシュツ</t>
    </rPh>
    <rPh sb="4" eb="5">
      <t>リョウ</t>
    </rPh>
    <phoneticPr fontId="4"/>
  </si>
  <si>
    <t>基準原単位</t>
    <rPh sb="0" eb="2">
      <t>キジュン</t>
    </rPh>
    <rPh sb="2" eb="5">
      <t>ゲンタンイ</t>
    </rPh>
    <phoneticPr fontId="4"/>
  </si>
  <si>
    <t>目標年度</t>
    <rPh sb="0" eb="2">
      <t>モクヒョウ</t>
    </rPh>
    <rPh sb="2" eb="4">
      <t>ネンド</t>
    </rPh>
    <phoneticPr fontId="4"/>
  </si>
  <si>
    <t>目標原単位</t>
    <rPh sb="0" eb="2">
      <t>モクヒョウ</t>
    </rPh>
    <rPh sb="2" eb="5">
      <t>ゲンタンイ</t>
    </rPh>
    <phoneticPr fontId="4"/>
  </si>
  <si>
    <t>年度</t>
    <rPh sb="0" eb="2">
      <t>ネンド</t>
    </rPh>
    <phoneticPr fontId="1"/>
  </si>
  <si>
    <t>目標排出量</t>
    <rPh sb="0" eb="2">
      <t>モクヒョウ</t>
    </rPh>
    <rPh sb="2" eb="4">
      <t>ハイシュツ</t>
    </rPh>
    <rPh sb="4" eb="5">
      <t>リョウ</t>
    </rPh>
    <phoneticPr fontId="4"/>
  </si>
  <si>
    <t>%</t>
    <phoneticPr fontId="4"/>
  </si>
  <si>
    <t>番号</t>
    <rPh sb="0" eb="2">
      <t>バンゴウ</t>
    </rPh>
    <phoneticPr fontId="1"/>
  </si>
  <si>
    <t>項目</t>
    <rPh sb="0" eb="2">
      <t>コウモク</t>
    </rPh>
    <phoneticPr fontId="1"/>
  </si>
  <si>
    <t>対策内容</t>
    <rPh sb="0" eb="2">
      <t>タイサク</t>
    </rPh>
    <rPh sb="2" eb="4">
      <t>ナイヨウ</t>
    </rPh>
    <phoneticPr fontId="1"/>
  </si>
  <si>
    <t>分類</t>
    <rPh sb="0" eb="2">
      <t>ブンルイ</t>
    </rPh>
    <phoneticPr fontId="1"/>
  </si>
  <si>
    <t>一般管理事項</t>
    <rPh sb="0" eb="2">
      <t>イッパン</t>
    </rPh>
    <rPh sb="2" eb="4">
      <t>カンリ</t>
    </rPh>
    <rPh sb="4" eb="6">
      <t>ジコウ</t>
    </rPh>
    <phoneticPr fontId="1"/>
  </si>
  <si>
    <t>ボイラー、工業炉、熱交換器等</t>
    <rPh sb="5" eb="7">
      <t>コウギョウ</t>
    </rPh>
    <rPh sb="7" eb="8">
      <t>ロ</t>
    </rPh>
    <rPh sb="9" eb="13">
      <t>ネツコウカンキ</t>
    </rPh>
    <rPh sb="13" eb="14">
      <t>ナド</t>
    </rPh>
    <phoneticPr fontId="2"/>
  </si>
  <si>
    <t>空気調和設備、換気設備</t>
    <rPh sb="7" eb="9">
      <t>カンキ</t>
    </rPh>
    <rPh sb="9" eb="11">
      <t>セツビ</t>
    </rPh>
    <phoneticPr fontId="2"/>
  </si>
  <si>
    <t>熱源設備、熱搬送設備</t>
    <rPh sb="0" eb="2">
      <t>ネツゲン</t>
    </rPh>
    <rPh sb="2" eb="4">
      <t>セツビ</t>
    </rPh>
    <rPh sb="5" eb="6">
      <t>ネツ</t>
    </rPh>
    <rPh sb="6" eb="8">
      <t>ハンソウ</t>
    </rPh>
    <rPh sb="8" eb="10">
      <t>セツビ</t>
    </rPh>
    <phoneticPr fontId="2"/>
  </si>
  <si>
    <t>ポンプ</t>
  </si>
  <si>
    <t>コンプレッサ</t>
  </si>
  <si>
    <t>照明器具</t>
    <rPh sb="0" eb="2">
      <t>ショウメイ</t>
    </rPh>
    <rPh sb="2" eb="4">
      <t>キグ</t>
    </rPh>
    <phoneticPr fontId="2"/>
  </si>
  <si>
    <t>コージェネレーション設備</t>
  </si>
  <si>
    <t>給湯</t>
    <rPh sb="0" eb="2">
      <t>キュウトウ</t>
    </rPh>
    <phoneticPr fontId="2"/>
  </si>
  <si>
    <t>事務用機器等</t>
    <rPh sb="0" eb="3">
      <t>ジムヨウ</t>
    </rPh>
    <rPh sb="3" eb="5">
      <t>キキ</t>
    </rPh>
    <rPh sb="5" eb="6">
      <t>ナド</t>
    </rPh>
    <phoneticPr fontId="2"/>
  </si>
  <si>
    <t>建物</t>
    <rPh sb="0" eb="2">
      <t>タテモノ</t>
    </rPh>
    <phoneticPr fontId="2"/>
  </si>
  <si>
    <t>実施予定</t>
    <rPh sb="0" eb="2">
      <t>ジッシ</t>
    </rPh>
    <rPh sb="2" eb="4">
      <t>ヨテイ</t>
    </rPh>
    <phoneticPr fontId="1"/>
  </si>
  <si>
    <t>ボイラーの給水及びブローの管理</t>
  </si>
  <si>
    <t>従業員数</t>
    <rPh sb="0" eb="3">
      <t>ジュウギョウイン</t>
    </rPh>
    <rPh sb="3" eb="4">
      <t>スウ</t>
    </rPh>
    <phoneticPr fontId="1"/>
  </si>
  <si>
    <t>人</t>
    <rPh sb="0" eb="1">
      <t>ニン</t>
    </rPh>
    <phoneticPr fontId="1"/>
  </si>
  <si>
    <t>延べ床面積</t>
    <rPh sb="0" eb="1">
      <t>ノ</t>
    </rPh>
    <rPh sb="2" eb="5">
      <t>ユカメンセキ</t>
    </rPh>
    <phoneticPr fontId="1"/>
  </si>
  <si>
    <t>㎡</t>
    <phoneticPr fontId="1"/>
  </si>
  <si>
    <t>合計</t>
    <rPh sb="0" eb="2">
      <t>ゴウケイ</t>
    </rPh>
    <phoneticPr fontId="1"/>
  </si>
  <si>
    <t>排出係数</t>
    <phoneticPr fontId="4"/>
  </si>
  <si>
    <t>原油（コンデンセートを除く。）</t>
    <rPh sb="11" eb="12">
      <t>ノゾ</t>
    </rPh>
    <phoneticPr fontId="4"/>
  </si>
  <si>
    <t>原油のうちコンデンセート(NGL)</t>
    <rPh sb="0" eb="2">
      <t>ゲンユ</t>
    </rPh>
    <phoneticPr fontId="1"/>
  </si>
  <si>
    <t>揮発油</t>
    <phoneticPr fontId="1"/>
  </si>
  <si>
    <t>産業用蒸気</t>
    <rPh sb="0" eb="3">
      <t>サンギョウヨウ</t>
    </rPh>
    <rPh sb="3" eb="5">
      <t>ジョウキ</t>
    </rPh>
    <phoneticPr fontId="11"/>
  </si>
  <si>
    <t>自家発電</t>
    <rPh sb="0" eb="2">
      <t>ジカ</t>
    </rPh>
    <rPh sb="2" eb="4">
      <t>ハツデン</t>
    </rPh>
    <phoneticPr fontId="11"/>
  </si>
  <si>
    <t>その他買電</t>
    <phoneticPr fontId="1"/>
  </si>
  <si>
    <t>熱の種類</t>
    <rPh sb="0" eb="1">
      <t>ネツ</t>
    </rPh>
    <rPh sb="2" eb="4">
      <t>シュルイ</t>
    </rPh>
    <phoneticPr fontId="4"/>
  </si>
  <si>
    <t>使用量</t>
    <rPh sb="0" eb="3">
      <t>シヨウリョウ</t>
    </rPh>
    <phoneticPr fontId="4"/>
  </si>
  <si>
    <t>熱量合計</t>
    <rPh sb="0" eb="2">
      <t>ネツリョウ</t>
    </rPh>
    <rPh sb="2" eb="4">
      <t>ゴウケイ</t>
    </rPh>
    <phoneticPr fontId="4"/>
  </si>
  <si>
    <t>原油換算</t>
    <rPh sb="0" eb="2">
      <t>ゲンユ</t>
    </rPh>
    <rPh sb="2" eb="4">
      <t>カンサン</t>
    </rPh>
    <phoneticPr fontId="4"/>
  </si>
  <si>
    <t>GJ</t>
  </si>
  <si>
    <t>KL</t>
    <phoneticPr fontId="1"/>
  </si>
  <si>
    <t>排出量合計</t>
    <rPh sb="0" eb="2">
      <t>ハイシュツ</t>
    </rPh>
    <rPh sb="2" eb="3">
      <t>リョウ</t>
    </rPh>
    <rPh sb="3" eb="5">
      <t>ゴウケイ</t>
    </rPh>
    <phoneticPr fontId="4"/>
  </si>
  <si>
    <t>産業用以外の蒸気</t>
    <rPh sb="0" eb="2">
      <t>サンギョウ</t>
    </rPh>
    <rPh sb="2" eb="3">
      <t>ヨウ</t>
    </rPh>
    <rPh sb="3" eb="5">
      <t>イガイ</t>
    </rPh>
    <rPh sb="6" eb="8">
      <t>ジョウキ</t>
    </rPh>
    <phoneticPr fontId="11"/>
  </si>
  <si>
    <t>実施済</t>
    <rPh sb="0" eb="2">
      <t>ジッシ</t>
    </rPh>
    <rPh sb="2" eb="3">
      <t>ズ</t>
    </rPh>
    <phoneticPr fontId="1"/>
  </si>
  <si>
    <t>未実施</t>
    <rPh sb="0" eb="3">
      <t>ミジッシ</t>
    </rPh>
    <phoneticPr fontId="1"/>
  </si>
  <si>
    <t>非該当</t>
    <rPh sb="0" eb="3">
      <t>ヒガイトウ</t>
    </rPh>
    <phoneticPr fontId="1"/>
  </si>
  <si>
    <t>ハイドロフルオロカーボン（HFC）</t>
    <phoneticPr fontId="4"/>
  </si>
  <si>
    <t>パーフルオロカーボン（PFC）</t>
    <phoneticPr fontId="4"/>
  </si>
  <si>
    <t>温室効果ガス排出量内訳</t>
    <rPh sb="0" eb="2">
      <t>オンシツ</t>
    </rPh>
    <rPh sb="2" eb="4">
      <t>コウカ</t>
    </rPh>
    <rPh sb="6" eb="8">
      <t>ハイシュツ</t>
    </rPh>
    <rPh sb="8" eb="9">
      <t>リョウ</t>
    </rPh>
    <rPh sb="9" eb="11">
      <t>ウチワケ</t>
    </rPh>
    <phoneticPr fontId="1"/>
  </si>
  <si>
    <t>合　　　　計</t>
    <rPh sb="0" eb="1">
      <t>ゴウ</t>
    </rPh>
    <rPh sb="5" eb="6">
      <t>ケイ</t>
    </rPh>
    <phoneticPr fontId="4"/>
  </si>
  <si>
    <t>３．クレジット等による削減量</t>
    <rPh sb="7" eb="8">
      <t>ナド</t>
    </rPh>
    <rPh sb="11" eb="13">
      <t>サクゲン</t>
    </rPh>
    <rPh sb="13" eb="14">
      <t>リョウ</t>
    </rPh>
    <phoneticPr fontId="4"/>
  </si>
  <si>
    <t>原単位の指標（分母）</t>
    <rPh sb="0" eb="3">
      <t>ゲンタンイ</t>
    </rPh>
    <rPh sb="4" eb="6">
      <t>シヒョウ</t>
    </rPh>
    <rPh sb="7" eb="9">
      <t>ブンボ</t>
    </rPh>
    <phoneticPr fontId="1"/>
  </si>
  <si>
    <t>４．原単位の指標</t>
    <rPh sb="2" eb="5">
      <t>ゲンタンイ</t>
    </rPh>
    <rPh sb="6" eb="8">
      <t>シヒョウ</t>
    </rPh>
    <phoneticPr fontId="4"/>
  </si>
  <si>
    <t>一部実施済</t>
    <rPh sb="0" eb="2">
      <t>イチブ</t>
    </rPh>
    <rPh sb="2" eb="4">
      <t>ジッシ</t>
    </rPh>
    <rPh sb="4" eb="5">
      <t>ズ</t>
    </rPh>
    <phoneticPr fontId="1"/>
  </si>
  <si>
    <t>状況</t>
    <rPh sb="0" eb="2">
      <t>ジョウキョウ</t>
    </rPh>
    <phoneticPr fontId="1"/>
  </si>
  <si>
    <t>合計</t>
    <rPh sb="0" eb="2">
      <t>ゴウケイ</t>
    </rPh>
    <phoneticPr fontId="1"/>
  </si>
  <si>
    <t>実施予定</t>
    <rPh sb="0" eb="2">
      <t>ジッシ</t>
    </rPh>
    <rPh sb="2" eb="4">
      <t>ヨテイ</t>
    </rPh>
    <phoneticPr fontId="1"/>
  </si>
  <si>
    <t>項目数</t>
    <rPh sb="0" eb="3">
      <t>コウモクスウ</t>
    </rPh>
    <phoneticPr fontId="1"/>
  </si>
  <si>
    <t>第1年度</t>
    <phoneticPr fontId="1"/>
  </si>
  <si>
    <t>第2年度</t>
    <phoneticPr fontId="1"/>
  </si>
  <si>
    <t>第3年度</t>
    <phoneticPr fontId="1"/>
  </si>
  <si>
    <t>予定なし</t>
    <rPh sb="0" eb="2">
      <t>ヨテイ</t>
    </rPh>
    <phoneticPr fontId="1"/>
  </si>
  <si>
    <t>-</t>
    <phoneticPr fontId="1"/>
  </si>
  <si>
    <t>評価指標</t>
    <rPh sb="0" eb="2">
      <t>ヒョウカ</t>
    </rPh>
    <rPh sb="2" eb="4">
      <t>シヒョウ</t>
    </rPh>
    <phoneticPr fontId="1"/>
  </si>
  <si>
    <t>基準年度
評価点</t>
    <rPh sb="0" eb="2">
      <t>キジュン</t>
    </rPh>
    <rPh sb="2" eb="3">
      <t>ネン</t>
    </rPh>
    <rPh sb="3" eb="4">
      <t>ド</t>
    </rPh>
    <rPh sb="5" eb="8">
      <t>ヒョウカテン</t>
    </rPh>
    <phoneticPr fontId="1"/>
  </si>
  <si>
    <t>計画期間満了時
評価点</t>
    <rPh sb="0" eb="2">
      <t>ケイカク</t>
    </rPh>
    <rPh sb="2" eb="4">
      <t>キカン</t>
    </rPh>
    <rPh sb="4" eb="6">
      <t>マンリョウ</t>
    </rPh>
    <rPh sb="6" eb="7">
      <t>ジ</t>
    </rPh>
    <rPh sb="8" eb="11">
      <t>ヒョウカテン</t>
    </rPh>
    <phoneticPr fontId="1"/>
  </si>
  <si>
    <t>基準年度</t>
    <rPh sb="0" eb="2">
      <t>キジュン</t>
    </rPh>
    <rPh sb="2" eb="3">
      <t>ネン</t>
    </rPh>
    <rPh sb="3" eb="4">
      <t>ド</t>
    </rPh>
    <phoneticPr fontId="1"/>
  </si>
  <si>
    <t>一部実施済</t>
    <rPh sb="0" eb="2">
      <t>イチブ</t>
    </rPh>
    <rPh sb="2" eb="4">
      <t>ジッシ</t>
    </rPh>
    <rPh sb="4" eb="5">
      <t>スミ</t>
    </rPh>
    <phoneticPr fontId="1"/>
  </si>
  <si>
    <t>未実施</t>
    <rPh sb="0" eb="3">
      <t>ミジッシ</t>
    </rPh>
    <phoneticPr fontId="1"/>
  </si>
  <si>
    <t>数値</t>
    <phoneticPr fontId="4"/>
  </si>
  <si>
    <t>単位</t>
    <phoneticPr fontId="4"/>
  </si>
  <si>
    <t>主たる事業</t>
    <phoneticPr fontId="4"/>
  </si>
  <si>
    <t>目標年度</t>
    <rPh sb="0" eb="2">
      <t>モクヒョウ</t>
    </rPh>
    <rPh sb="2" eb="3">
      <t>ネン</t>
    </rPh>
    <rPh sb="3" eb="4">
      <t>ド</t>
    </rPh>
    <phoneticPr fontId="1"/>
  </si>
  <si>
    <t>％</t>
    <phoneticPr fontId="1"/>
  </si>
  <si>
    <t>削減量合計</t>
    <rPh sb="0" eb="2">
      <t>サクゲン</t>
    </rPh>
    <rPh sb="2" eb="3">
      <t>リョウ</t>
    </rPh>
    <rPh sb="3" eb="5">
      <t>ゴウケイ</t>
    </rPh>
    <phoneticPr fontId="4"/>
  </si>
  <si>
    <t>温室効果ガス総排出量</t>
    <rPh sb="0" eb="2">
      <t>オンシツ</t>
    </rPh>
    <rPh sb="2" eb="4">
      <t>コウカ</t>
    </rPh>
    <rPh sb="6" eb="7">
      <t>ソウ</t>
    </rPh>
    <rPh sb="7" eb="9">
      <t>ハイシュツ</t>
    </rPh>
    <rPh sb="9" eb="10">
      <t>リョウ</t>
    </rPh>
    <phoneticPr fontId="4"/>
  </si>
  <si>
    <t>目標原単位</t>
    <rPh sb="0" eb="2">
      <t>モクヒョウ</t>
    </rPh>
    <rPh sb="2" eb="5">
      <t>ゲンタンイ</t>
    </rPh>
    <phoneticPr fontId="1"/>
  </si>
  <si>
    <t>中分類</t>
    <rPh sb="0" eb="3">
      <t>チュウブンルイ</t>
    </rPh>
    <phoneticPr fontId="1"/>
  </si>
  <si>
    <t>主たる業種</t>
    <rPh sb="0" eb="1">
      <t>シュ</t>
    </rPh>
    <rPh sb="3" eb="5">
      <t>ギョウシュ</t>
    </rPh>
    <phoneticPr fontId="4"/>
  </si>
  <si>
    <t>主たる業種（細分類）</t>
    <rPh sb="0" eb="1">
      <t>シュ</t>
    </rPh>
    <rPh sb="3" eb="5">
      <t>ギョウシュ</t>
    </rPh>
    <rPh sb="6" eb="9">
      <t>サイブンルイ</t>
    </rPh>
    <phoneticPr fontId="1"/>
  </si>
  <si>
    <t>名称</t>
    <rPh sb="0" eb="2">
      <t>メイショウ</t>
    </rPh>
    <phoneticPr fontId="5"/>
  </si>
  <si>
    <t>0100</t>
  </si>
  <si>
    <t>主として管理事務を行う本社等</t>
  </si>
  <si>
    <t>0109</t>
  </si>
  <si>
    <t>その他の管理，補助的経済活動を行う事業所</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</si>
  <si>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</si>
  <si>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</si>
  <si>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</si>
  <si>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</si>
  <si>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</si>
  <si>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</si>
  <si>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</si>
  <si>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</si>
  <si>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</si>
  <si>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</si>
  <si>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</si>
  <si>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</si>
  <si>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</si>
  <si>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</si>
  <si>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</si>
  <si>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</si>
  <si>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0121</t>
  </si>
  <si>
    <t>酪農業</t>
  </si>
  <si>
    <t>0122</t>
  </si>
  <si>
    <t>肉用牛生産業</t>
  </si>
  <si>
    <t>0123</t>
  </si>
  <si>
    <t>養豚業</t>
  </si>
  <si>
    <t>0124</t>
  </si>
  <si>
    <t>養鶏業</t>
  </si>
  <si>
    <t>0125</t>
  </si>
  <si>
    <t>畜産類似業</t>
  </si>
  <si>
    <t>0126</t>
  </si>
  <si>
    <t>養蚕農業</t>
  </si>
  <si>
    <t>0129</t>
  </si>
  <si>
    <t>その他の畜産農業</t>
  </si>
  <si>
    <t>0131</t>
  </si>
  <si>
    <t>穀作サービス業</t>
  </si>
  <si>
    <t>0132</t>
  </si>
  <si>
    <t>野菜作・果樹作サービス業</t>
  </si>
  <si>
    <t>0133</t>
  </si>
  <si>
    <t>穀作，野菜作・果樹作以外の耕種サービス業</t>
  </si>
  <si>
    <t>0134</t>
  </si>
  <si>
    <t>畜産サービス業（獣医業を除く）</t>
  </si>
  <si>
    <t>0141</t>
  </si>
  <si>
    <t>園芸サービス業</t>
  </si>
  <si>
    <t>0200</t>
  </si>
  <si>
    <t>0209</t>
  </si>
  <si>
    <t>0211</t>
  </si>
  <si>
    <t>育林業</t>
  </si>
  <si>
    <t>0221</t>
  </si>
  <si>
    <t>素材生産業</t>
  </si>
  <si>
    <t>0231</t>
  </si>
  <si>
    <t>製薪炭業</t>
  </si>
  <si>
    <t>0239</t>
  </si>
  <si>
    <t>その他の特用林産物生産業（きのこ類の栽培を除く）</t>
  </si>
  <si>
    <t>0241</t>
  </si>
  <si>
    <t>育林サービス業</t>
  </si>
  <si>
    <t>0242</t>
  </si>
  <si>
    <t>素材生産サービス業</t>
  </si>
  <si>
    <t>0243</t>
  </si>
  <si>
    <t>山林種苗生産サービス業</t>
  </si>
  <si>
    <t>0249</t>
  </si>
  <si>
    <t>その他の林業サービス業</t>
  </si>
  <si>
    <t>0299</t>
  </si>
  <si>
    <t>その他の林業</t>
  </si>
  <si>
    <t>0300</t>
  </si>
  <si>
    <t>0309</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</si>
  <si>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</si>
  <si>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</si>
  <si>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</si>
  <si>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</si>
  <si>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</si>
  <si>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</si>
  <si>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</si>
  <si>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</si>
  <si>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</si>
  <si>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</si>
  <si>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</si>
  <si>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</si>
  <si>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</si>
  <si>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</si>
  <si>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</si>
  <si>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</si>
  <si>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</si>
  <si>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</si>
  <si>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0321</t>
  </si>
  <si>
    <t>内水面漁業</t>
  </si>
  <si>
    <t>0400</t>
  </si>
  <si>
    <t>0409</t>
  </si>
  <si>
    <t>0411</t>
  </si>
  <si>
    <t>魚類養殖業</t>
  </si>
  <si>
    <t>0412</t>
  </si>
  <si>
    <t>貝類養殖業</t>
  </si>
  <si>
    <t>0413</t>
  </si>
  <si>
    <t>藻類養殖業</t>
  </si>
  <si>
    <t>0414</t>
  </si>
  <si>
    <t>真珠養殖業</t>
  </si>
  <si>
    <t>0415</t>
  </si>
  <si>
    <t>種苗養殖業</t>
  </si>
  <si>
    <t>0419</t>
  </si>
  <si>
    <t>その他の海面養殖業</t>
  </si>
  <si>
    <t>0421</t>
  </si>
  <si>
    <t>内水面養殖業</t>
  </si>
  <si>
    <t>0500</t>
  </si>
  <si>
    <t>0509</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</si>
  <si>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</si>
  <si>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</si>
  <si>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</si>
  <si>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</si>
  <si>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</si>
  <si>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</si>
  <si>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</si>
  <si>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</si>
  <si>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</si>
  <si>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</si>
  <si>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</si>
  <si>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</si>
  <si>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</si>
  <si>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</si>
  <si>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</si>
  <si>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</si>
  <si>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</si>
  <si>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</si>
  <si>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</si>
  <si>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</si>
  <si>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</si>
  <si>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</si>
  <si>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</si>
  <si>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</si>
  <si>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</si>
  <si>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</si>
  <si>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</si>
  <si>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</si>
  <si>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</si>
  <si>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</si>
  <si>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</si>
  <si>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</si>
  <si>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</si>
  <si>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</si>
  <si>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</si>
  <si>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</si>
  <si>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</si>
  <si>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</si>
  <si>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</si>
  <si>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</si>
  <si>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</si>
  <si>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</si>
  <si>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</si>
  <si>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</si>
  <si>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</si>
  <si>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</si>
  <si>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</si>
  <si>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</si>
  <si>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</si>
  <si>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</si>
  <si>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</si>
  <si>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</si>
  <si>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</si>
  <si>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</si>
  <si>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</si>
  <si>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</si>
  <si>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</si>
  <si>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</si>
  <si>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</si>
  <si>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</si>
  <si>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0600</t>
  </si>
  <si>
    <t>0609</t>
  </si>
  <si>
    <t>0611</t>
  </si>
  <si>
    <t>一般土木建築工事業</t>
  </si>
  <si>
    <t>0621</t>
  </si>
  <si>
    <t>土木工事業(別掲を除く)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</si>
  <si>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</si>
  <si>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</si>
  <si>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</si>
  <si>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</si>
  <si>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</si>
  <si>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</si>
  <si>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</si>
  <si>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</si>
  <si>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</si>
  <si>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</si>
  <si>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</si>
  <si>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</si>
  <si>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0700</t>
  </si>
  <si>
    <t>0709</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</si>
  <si>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</si>
  <si>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</si>
  <si>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</si>
  <si>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</si>
  <si>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</si>
  <si>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</si>
  <si>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</si>
  <si>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</si>
  <si>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</si>
  <si>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</si>
  <si>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</si>
  <si>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</si>
  <si>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</si>
  <si>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</si>
  <si>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</si>
  <si>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</si>
  <si>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</si>
  <si>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</si>
  <si>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</si>
  <si>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</si>
  <si>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</si>
  <si>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</si>
  <si>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</si>
  <si>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</si>
  <si>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</si>
  <si>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</si>
  <si>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</si>
  <si>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</si>
  <si>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</si>
  <si>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</si>
  <si>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</si>
  <si>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</si>
  <si>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</si>
  <si>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</si>
  <si>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</si>
  <si>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</si>
  <si>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</si>
  <si>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</si>
  <si>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</si>
  <si>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</si>
  <si>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</si>
  <si>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</si>
  <si>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</si>
  <si>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</si>
  <si>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</si>
  <si>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</si>
  <si>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</si>
  <si>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</si>
  <si>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</si>
  <si>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</si>
  <si>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</si>
  <si>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</si>
  <si>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0800</t>
  </si>
  <si>
    <t>0809</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</si>
  <si>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</si>
  <si>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</si>
  <si>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</si>
  <si>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</si>
  <si>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</si>
  <si>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</si>
  <si>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</si>
  <si>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</si>
  <si>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</si>
  <si>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</si>
  <si>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</si>
  <si>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</si>
  <si>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</si>
  <si>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</si>
  <si>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</si>
  <si>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</si>
  <si>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</si>
  <si>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</si>
  <si>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</si>
  <si>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</si>
  <si>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</si>
  <si>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</si>
  <si>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</si>
  <si>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</si>
  <si>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</si>
  <si>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</si>
  <si>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</si>
  <si>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</si>
  <si>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</si>
  <si>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</si>
  <si>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0900</t>
  </si>
  <si>
    <t>0909</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</si>
  <si>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</si>
  <si>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</si>
  <si>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</si>
  <si>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</si>
  <si>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</si>
  <si>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</si>
  <si>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</si>
  <si>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</si>
  <si>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</si>
  <si>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</si>
  <si>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</si>
  <si>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</si>
  <si>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</si>
  <si>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</si>
  <si>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</si>
  <si>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</si>
  <si>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</si>
  <si>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</si>
  <si>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</si>
  <si>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</si>
  <si>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</si>
  <si>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</si>
  <si>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</si>
  <si>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</si>
  <si>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</si>
  <si>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</si>
  <si>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</si>
  <si>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</si>
  <si>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</si>
  <si>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</si>
  <si>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</si>
  <si>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</si>
  <si>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</si>
  <si>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</si>
  <si>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</si>
  <si>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</si>
  <si>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</si>
  <si>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</si>
  <si>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</si>
  <si>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</si>
  <si>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</si>
  <si>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</si>
  <si>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</si>
  <si>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</si>
  <si>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</si>
  <si>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</si>
  <si>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</si>
  <si>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</si>
  <si>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</si>
  <si>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</si>
  <si>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</si>
  <si>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</si>
  <si>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</si>
  <si>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</si>
  <si>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</si>
  <si>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</si>
  <si>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</si>
  <si>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</si>
  <si>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</si>
  <si>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</si>
  <si>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</si>
  <si>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</si>
  <si>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</si>
  <si>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</si>
  <si>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</si>
  <si>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</si>
  <si>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</si>
  <si>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</si>
  <si>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</si>
  <si>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</si>
  <si>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</si>
  <si>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</si>
  <si>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</si>
  <si>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</si>
  <si>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</si>
  <si>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</si>
  <si>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</si>
  <si>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</si>
  <si>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</si>
  <si>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</si>
  <si>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</si>
  <si>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</si>
  <si>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</si>
  <si>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1009</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</si>
  <si>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</si>
  <si>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</si>
  <si>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</si>
  <si>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</si>
  <si>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</si>
  <si>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</si>
  <si>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</si>
  <si>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</si>
  <si>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</si>
  <si>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</si>
  <si>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</si>
  <si>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</si>
  <si>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</si>
  <si>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</si>
  <si>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</si>
  <si>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</si>
  <si>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</si>
  <si>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</si>
  <si>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</si>
  <si>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</si>
  <si>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</si>
  <si>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</si>
  <si>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</si>
  <si>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</si>
  <si>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</si>
  <si>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</si>
  <si>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1100</t>
  </si>
  <si>
    <t>1109</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</si>
  <si>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</si>
  <si>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</si>
  <si>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</si>
  <si>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</si>
  <si>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</si>
  <si>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</si>
  <si>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</si>
  <si>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</si>
  <si>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</si>
  <si>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</si>
  <si>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</si>
  <si>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</si>
  <si>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</si>
  <si>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</si>
  <si>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</si>
  <si>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</si>
  <si>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</si>
  <si>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</si>
  <si>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</si>
  <si>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</si>
  <si>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</si>
  <si>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</si>
  <si>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</si>
  <si>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</si>
  <si>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</si>
  <si>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</si>
  <si>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</si>
  <si>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</si>
  <si>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</si>
  <si>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</si>
  <si>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</si>
  <si>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</si>
  <si>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</si>
  <si>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</si>
  <si>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</si>
  <si>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</si>
  <si>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</si>
  <si>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</si>
  <si>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</si>
  <si>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</si>
  <si>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</si>
  <si>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</si>
  <si>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</si>
  <si>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</si>
  <si>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</si>
  <si>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</si>
  <si>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</si>
  <si>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</si>
  <si>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</si>
  <si>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</si>
  <si>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</si>
  <si>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</si>
  <si>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</si>
  <si>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</si>
  <si>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</si>
  <si>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</si>
  <si>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</si>
  <si>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</si>
  <si>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</si>
  <si>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</si>
  <si>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</si>
  <si>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</si>
  <si>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</si>
  <si>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</si>
  <si>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</si>
  <si>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</si>
  <si>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</si>
  <si>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</si>
  <si>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</si>
  <si>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</si>
  <si>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</si>
  <si>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</si>
  <si>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</si>
  <si>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</si>
  <si>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</si>
  <si>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</si>
  <si>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</si>
  <si>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</si>
  <si>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</si>
  <si>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</si>
  <si>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</si>
  <si>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</si>
  <si>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</si>
  <si>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</si>
  <si>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</si>
  <si>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</si>
  <si>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</si>
  <si>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</si>
  <si>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</si>
  <si>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</si>
  <si>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</si>
  <si>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</si>
  <si>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</si>
  <si>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</si>
  <si>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</si>
  <si>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</si>
  <si>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</si>
  <si>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</si>
  <si>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</si>
  <si>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</si>
  <si>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</si>
  <si>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</si>
  <si>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</si>
  <si>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</si>
  <si>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</si>
  <si>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</si>
  <si>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</si>
  <si>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</si>
  <si>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</si>
  <si>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</si>
  <si>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</si>
  <si>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</si>
  <si>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</si>
  <si>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</si>
  <si>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</si>
  <si>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</si>
  <si>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</si>
  <si>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</si>
  <si>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</si>
  <si>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</si>
  <si>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</si>
  <si>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</si>
  <si>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</si>
  <si>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</si>
  <si>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</si>
  <si>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</si>
  <si>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</si>
  <si>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</si>
  <si>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1209</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</si>
  <si>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</si>
  <si>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</si>
  <si>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</si>
  <si>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</si>
  <si>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</si>
  <si>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</si>
  <si>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</si>
  <si>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</si>
  <si>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</si>
  <si>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</si>
  <si>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</si>
  <si>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</si>
  <si>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</si>
  <si>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</si>
  <si>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</si>
  <si>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</si>
  <si>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</si>
  <si>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</si>
  <si>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</si>
  <si>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</si>
  <si>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</si>
  <si>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</si>
  <si>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</si>
  <si>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rPh sb="0" eb="2">
      <t>ユカイタ</t>
    </rPh>
    <rPh sb="2" eb="5">
      <t>セイゾウギョウ</t>
    </rPh>
    <phoneticPr fontId="5"/>
  </si>
  <si>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</si>
  <si>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</si>
  <si>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</si>
  <si>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</si>
  <si>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</si>
  <si>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</si>
  <si>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</si>
  <si>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</si>
  <si>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</si>
  <si>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</si>
  <si>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</si>
  <si>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</si>
  <si>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1300</t>
  </si>
  <si>
    <t>1309</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</si>
  <si>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</si>
  <si>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</si>
  <si>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</si>
  <si>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</si>
  <si>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</si>
  <si>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</si>
  <si>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</si>
  <si>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</si>
  <si>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</si>
  <si>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</si>
  <si>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</si>
  <si>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</si>
  <si>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</si>
  <si>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</si>
  <si>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</si>
  <si>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</si>
  <si>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</si>
  <si>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</si>
  <si>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1400</t>
  </si>
  <si>
    <t>1409</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</si>
  <si>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</si>
  <si>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</si>
  <si>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</si>
  <si>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</si>
  <si>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</si>
  <si>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</si>
  <si>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</si>
  <si>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</si>
  <si>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</si>
  <si>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</si>
  <si>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</si>
  <si>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</si>
  <si>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</si>
  <si>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</si>
  <si>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</si>
  <si>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</si>
  <si>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</si>
  <si>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</si>
  <si>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</si>
  <si>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</si>
  <si>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</si>
  <si>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</si>
  <si>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</si>
  <si>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</si>
  <si>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</si>
  <si>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</si>
  <si>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</si>
  <si>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</si>
  <si>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</si>
  <si>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</si>
  <si>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</si>
  <si>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</si>
  <si>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1500</t>
  </si>
  <si>
    <t>1509</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</si>
  <si>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</si>
  <si>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</si>
  <si>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</si>
  <si>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</si>
  <si>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</si>
  <si>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</si>
  <si>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</si>
  <si>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</si>
  <si>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</si>
  <si>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</si>
  <si>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</si>
  <si>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</si>
  <si>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</si>
  <si>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</si>
  <si>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1600</t>
  </si>
  <si>
    <t>1609</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</si>
  <si>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</si>
  <si>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</si>
  <si>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</si>
  <si>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</si>
  <si>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</si>
  <si>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</si>
  <si>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</si>
  <si>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</si>
  <si>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</si>
  <si>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</si>
  <si>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</si>
  <si>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</si>
  <si>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</si>
  <si>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</si>
  <si>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</si>
  <si>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</si>
  <si>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</si>
  <si>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</si>
  <si>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</si>
  <si>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</si>
  <si>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</si>
  <si>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</si>
  <si>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</si>
  <si>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</si>
  <si>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</si>
  <si>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</si>
  <si>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</si>
  <si>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</si>
  <si>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</si>
  <si>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</si>
  <si>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</si>
  <si>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</si>
  <si>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</si>
  <si>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</si>
  <si>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</si>
  <si>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</si>
  <si>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</si>
  <si>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</si>
  <si>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</si>
  <si>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</si>
  <si>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</si>
  <si>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</si>
  <si>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</si>
  <si>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</si>
  <si>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</si>
  <si>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</si>
  <si>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</si>
  <si>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</si>
  <si>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</si>
  <si>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</si>
  <si>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</si>
  <si>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</si>
  <si>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</si>
  <si>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</si>
  <si>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</si>
  <si>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</si>
  <si>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</si>
  <si>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</si>
  <si>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</si>
  <si>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</si>
  <si>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</si>
  <si>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</si>
  <si>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</si>
  <si>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</si>
  <si>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</si>
  <si>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</si>
  <si>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</si>
  <si>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</si>
  <si>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</si>
  <si>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</si>
  <si>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</si>
  <si>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</si>
  <si>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</si>
  <si>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</si>
  <si>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</si>
  <si>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</si>
  <si>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</si>
  <si>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1709</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</si>
  <si>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</si>
  <si>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</si>
  <si>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</si>
  <si>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</si>
  <si>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</si>
  <si>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</si>
  <si>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</si>
  <si>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</si>
  <si>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</si>
  <si>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</si>
  <si>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1800</t>
  </si>
  <si>
    <t>1809</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</si>
  <si>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</si>
  <si>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</si>
  <si>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</si>
  <si>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</si>
  <si>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</si>
  <si>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</si>
  <si>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</si>
  <si>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</si>
  <si>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</si>
  <si>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</si>
  <si>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</si>
  <si>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</si>
  <si>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</si>
  <si>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</si>
  <si>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</si>
  <si>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</si>
  <si>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</si>
  <si>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</si>
  <si>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</si>
  <si>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</si>
  <si>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</si>
  <si>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</si>
  <si>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</si>
  <si>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</si>
  <si>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</si>
  <si>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</si>
  <si>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</si>
  <si>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</si>
  <si>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</si>
  <si>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</si>
  <si>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</si>
  <si>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</si>
  <si>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</si>
  <si>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</si>
  <si>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</si>
  <si>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</si>
  <si>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</si>
  <si>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</si>
  <si>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</si>
  <si>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</si>
  <si>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</si>
  <si>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</si>
  <si>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</si>
  <si>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</si>
  <si>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</si>
  <si>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</si>
  <si>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</si>
  <si>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</si>
  <si>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</si>
  <si>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</si>
  <si>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</si>
  <si>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1909</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</si>
  <si>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</si>
  <si>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</si>
  <si>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</si>
  <si>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</si>
  <si>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</si>
  <si>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</si>
  <si>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</si>
  <si>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</si>
  <si>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</si>
  <si>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</si>
  <si>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</si>
  <si>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</si>
  <si>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</si>
  <si>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</si>
  <si>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</si>
  <si>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</si>
  <si>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</si>
  <si>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</si>
  <si>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</si>
  <si>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</si>
  <si>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</si>
  <si>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</si>
  <si>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</si>
  <si>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</si>
  <si>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</si>
  <si>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</si>
  <si>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</si>
  <si>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2009</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</si>
  <si>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</si>
  <si>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</si>
  <si>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</si>
  <si>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</si>
  <si>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</si>
  <si>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</si>
  <si>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</si>
  <si>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</si>
  <si>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</si>
  <si>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</si>
  <si>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</si>
  <si>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</si>
  <si>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</si>
  <si>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</si>
  <si>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</si>
  <si>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</si>
  <si>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</si>
  <si>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</si>
  <si>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</si>
  <si>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</si>
  <si>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2100</t>
  </si>
  <si>
    <t>2109</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</si>
  <si>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</si>
  <si>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</si>
  <si>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</si>
  <si>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</si>
  <si>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</si>
  <si>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</si>
  <si>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</si>
  <si>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</si>
  <si>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</si>
  <si>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</si>
  <si>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</si>
  <si>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</si>
  <si>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</si>
  <si>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</si>
  <si>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</si>
  <si>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</si>
  <si>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</si>
  <si>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</si>
  <si>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</si>
  <si>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</si>
  <si>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</si>
  <si>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</si>
  <si>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</si>
  <si>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</si>
  <si>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</si>
  <si>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</si>
  <si>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</si>
  <si>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</si>
  <si>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</si>
  <si>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</si>
  <si>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</si>
  <si>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</si>
  <si>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</si>
  <si>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</si>
  <si>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</si>
  <si>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</si>
  <si>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</si>
  <si>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</si>
  <si>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</si>
  <si>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</si>
  <si>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</si>
  <si>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</si>
  <si>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</si>
  <si>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</si>
  <si>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</si>
  <si>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</si>
  <si>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</si>
  <si>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</si>
  <si>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</si>
  <si>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</si>
  <si>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</si>
  <si>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</si>
  <si>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</si>
  <si>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</si>
  <si>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</si>
  <si>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</si>
  <si>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</si>
  <si>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</si>
  <si>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</si>
  <si>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</si>
  <si>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</si>
  <si>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</si>
  <si>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</si>
  <si>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</si>
  <si>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</si>
  <si>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</si>
  <si>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</si>
  <si>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</si>
  <si>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</si>
  <si>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</si>
  <si>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</si>
  <si>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</si>
  <si>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</si>
  <si>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</si>
  <si>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</si>
  <si>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</si>
  <si>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</si>
  <si>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</si>
  <si>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</si>
  <si>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</si>
  <si>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</si>
  <si>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</si>
  <si>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</si>
  <si>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</si>
  <si>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</si>
  <si>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</si>
  <si>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</si>
  <si>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</si>
  <si>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</si>
  <si>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2209</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</si>
  <si>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</si>
  <si>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</si>
  <si>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</si>
  <si>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</si>
  <si>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</si>
  <si>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</si>
  <si>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</si>
  <si>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</si>
  <si>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</si>
  <si>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</si>
  <si>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</si>
  <si>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</si>
  <si>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</si>
  <si>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</si>
  <si>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</si>
  <si>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</si>
  <si>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</si>
  <si>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</si>
  <si>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</si>
  <si>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</si>
  <si>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</si>
  <si>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</si>
  <si>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</si>
  <si>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</si>
  <si>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</si>
  <si>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</si>
  <si>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</si>
  <si>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</si>
  <si>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</si>
  <si>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</si>
  <si>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</si>
  <si>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</si>
  <si>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</si>
  <si>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</si>
  <si>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</si>
  <si>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</si>
  <si>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</si>
  <si>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</si>
  <si>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</si>
  <si>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</si>
  <si>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</si>
  <si>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</si>
  <si>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</si>
  <si>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</si>
  <si>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</si>
  <si>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</si>
  <si>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</si>
  <si>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</si>
  <si>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2300</t>
  </si>
  <si>
    <t>2309</t>
  </si>
  <si>
    <t>2311</t>
  </si>
  <si>
    <t>銅第１次製錬・精製業</t>
  </si>
  <si>
    <t>2312</t>
  </si>
  <si>
    <t>亜鉛第１次製錬・精製業</t>
  </si>
  <si>
    <t>2319</t>
  </si>
  <si>
    <t>その他の非鉄金属第１次製錬・精製業</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</si>
  <si>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</si>
  <si>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</si>
  <si>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</si>
  <si>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</si>
  <si>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</si>
  <si>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</si>
  <si>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</si>
  <si>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</si>
  <si>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</si>
  <si>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</si>
  <si>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</si>
  <si>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</si>
  <si>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</si>
  <si>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</si>
  <si>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</si>
  <si>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</si>
  <si>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</si>
  <si>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</si>
  <si>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</si>
  <si>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</si>
  <si>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</si>
  <si>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</si>
  <si>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</si>
  <si>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</si>
  <si>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</si>
  <si>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</si>
  <si>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</si>
  <si>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</si>
  <si>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</si>
  <si>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</si>
  <si>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2400</t>
  </si>
  <si>
    <t>2409</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</si>
  <si>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</si>
  <si>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</si>
  <si>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</si>
  <si>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</si>
  <si>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</si>
  <si>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</si>
  <si>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</si>
  <si>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</si>
  <si>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</si>
  <si>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</si>
  <si>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</si>
  <si>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</si>
  <si>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</si>
  <si>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</si>
  <si>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</si>
  <si>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</si>
  <si>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</si>
  <si>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</si>
  <si>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</si>
  <si>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</si>
  <si>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</si>
  <si>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</si>
  <si>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</si>
  <si>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</si>
  <si>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</si>
  <si>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</si>
  <si>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</si>
  <si>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</si>
  <si>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</si>
  <si>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</si>
  <si>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</si>
  <si>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</si>
  <si>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</si>
  <si>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</si>
  <si>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</si>
  <si>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</si>
  <si>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</si>
  <si>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</si>
  <si>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</si>
  <si>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</si>
  <si>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</si>
  <si>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</si>
  <si>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</si>
  <si>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</si>
  <si>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</si>
  <si>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</si>
  <si>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</si>
  <si>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</si>
  <si>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</si>
  <si>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</si>
  <si>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</si>
  <si>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</si>
  <si>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</si>
  <si>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</si>
  <si>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</si>
  <si>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</si>
  <si>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</si>
  <si>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</si>
  <si>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</si>
  <si>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</si>
  <si>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</si>
  <si>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</si>
  <si>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</si>
  <si>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</si>
  <si>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</si>
  <si>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</si>
  <si>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2500</t>
  </si>
  <si>
    <t>2509</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</si>
  <si>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</si>
  <si>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</si>
  <si>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</si>
  <si>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</si>
  <si>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</si>
  <si>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</si>
  <si>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</si>
  <si>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</si>
  <si>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</si>
  <si>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</si>
  <si>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</si>
  <si>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</si>
  <si>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</si>
  <si>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</si>
  <si>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</si>
  <si>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</si>
  <si>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</si>
  <si>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</si>
  <si>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</si>
  <si>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</si>
  <si>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</si>
  <si>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</si>
  <si>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</si>
  <si>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</si>
  <si>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</si>
  <si>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</si>
  <si>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</si>
  <si>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</si>
  <si>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</si>
  <si>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</si>
  <si>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</si>
  <si>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</si>
  <si>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</si>
  <si>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</si>
  <si>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</si>
  <si>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</si>
  <si>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</si>
  <si>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</si>
  <si>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</si>
  <si>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2609</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</si>
  <si>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</si>
  <si>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</si>
  <si>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</si>
  <si>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</si>
  <si>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</si>
  <si>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</si>
  <si>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</si>
  <si>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</si>
  <si>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</si>
  <si>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</si>
  <si>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</si>
  <si>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</si>
  <si>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</si>
  <si>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</si>
  <si>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</si>
  <si>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</si>
  <si>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</si>
  <si>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</si>
  <si>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</si>
  <si>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</si>
  <si>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</si>
  <si>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</si>
  <si>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</si>
  <si>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</si>
  <si>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</si>
  <si>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</si>
  <si>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</si>
  <si>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</si>
  <si>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</si>
  <si>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</si>
  <si>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</si>
  <si>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</si>
  <si>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</si>
  <si>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</si>
  <si>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</si>
  <si>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</si>
  <si>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</si>
  <si>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</si>
  <si>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</si>
  <si>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</si>
  <si>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</si>
  <si>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</si>
  <si>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</si>
  <si>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</si>
  <si>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</si>
  <si>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</si>
  <si>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</si>
  <si>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</si>
  <si>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</si>
  <si>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</si>
  <si>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</si>
  <si>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</si>
  <si>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</si>
  <si>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2709</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</si>
  <si>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</si>
  <si>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</si>
  <si>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</si>
  <si>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</si>
  <si>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</si>
  <si>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</si>
  <si>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</si>
  <si>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</si>
  <si>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</si>
  <si>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</si>
  <si>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</si>
  <si>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</si>
  <si>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</si>
  <si>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</si>
  <si>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</si>
  <si>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</si>
  <si>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</si>
  <si>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</si>
  <si>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</si>
  <si>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</si>
  <si>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</si>
  <si>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</si>
  <si>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</si>
  <si>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</si>
  <si>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</si>
  <si>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</si>
  <si>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</si>
  <si>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</si>
  <si>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</si>
  <si>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</si>
  <si>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</si>
  <si>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</si>
  <si>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</si>
  <si>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</si>
  <si>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</si>
  <si>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</si>
  <si>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</si>
  <si>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</si>
  <si>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</si>
  <si>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</si>
  <si>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</si>
  <si>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</si>
  <si>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</si>
  <si>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</si>
  <si>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</si>
  <si>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</si>
  <si>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2800</t>
  </si>
  <si>
    <t>2809</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</si>
  <si>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</si>
  <si>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</si>
  <si>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</si>
  <si>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</si>
  <si>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</si>
  <si>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</si>
  <si>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</si>
  <si>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</si>
  <si>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</si>
  <si>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</si>
  <si>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</si>
  <si>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</si>
  <si>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</si>
  <si>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</si>
  <si>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</si>
  <si>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</si>
  <si>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</si>
  <si>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</si>
  <si>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</si>
  <si>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</si>
  <si>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</si>
  <si>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</si>
  <si>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</si>
  <si>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</si>
  <si>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</si>
  <si>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</si>
  <si>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</si>
  <si>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</si>
  <si>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</si>
  <si>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</si>
  <si>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2900</t>
  </si>
  <si>
    <t>2909</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</si>
  <si>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</si>
  <si>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</si>
  <si>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</si>
  <si>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</si>
  <si>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</si>
  <si>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</si>
  <si>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</si>
  <si>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</si>
  <si>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</si>
  <si>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</si>
  <si>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</si>
  <si>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</si>
  <si>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</si>
  <si>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</si>
  <si>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</si>
  <si>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</si>
  <si>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</si>
  <si>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</si>
  <si>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</si>
  <si>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</si>
  <si>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</si>
  <si>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</si>
  <si>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</si>
  <si>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</si>
  <si>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</si>
  <si>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</si>
  <si>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</si>
  <si>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</si>
  <si>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</si>
  <si>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</si>
  <si>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</si>
  <si>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</si>
  <si>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</si>
  <si>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</si>
  <si>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</si>
  <si>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</si>
  <si>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</si>
  <si>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</si>
  <si>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</si>
  <si>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</si>
  <si>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</si>
  <si>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</si>
  <si>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</si>
  <si>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</si>
  <si>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</si>
  <si>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</si>
  <si>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3000</t>
  </si>
  <si>
    <t>3009</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</si>
  <si>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</si>
  <si>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</si>
  <si>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</si>
  <si>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</si>
  <si>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</si>
  <si>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</si>
  <si>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</si>
  <si>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</si>
  <si>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</si>
  <si>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</si>
  <si>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</si>
  <si>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</si>
  <si>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</si>
  <si>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</si>
  <si>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</si>
  <si>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</si>
  <si>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</si>
  <si>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</si>
  <si>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</si>
  <si>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</si>
  <si>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</si>
  <si>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</si>
  <si>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</si>
  <si>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</si>
  <si>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</si>
  <si>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</si>
  <si>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</si>
  <si>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</si>
  <si>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</si>
  <si>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</si>
  <si>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</si>
  <si>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3109</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</si>
  <si>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</si>
  <si>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</si>
  <si>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</si>
  <si>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</si>
  <si>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</si>
  <si>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</si>
  <si>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</si>
  <si>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</si>
  <si>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</si>
  <si>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</si>
  <si>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</si>
  <si>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</si>
  <si>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</si>
  <si>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</si>
  <si>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</si>
  <si>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</si>
  <si>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</si>
  <si>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</si>
  <si>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</si>
  <si>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</si>
  <si>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</si>
  <si>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</si>
  <si>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</si>
  <si>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</si>
  <si>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</si>
  <si>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</si>
  <si>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</si>
  <si>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</si>
  <si>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</si>
  <si>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</si>
  <si>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</si>
  <si>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</si>
  <si>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3200</t>
  </si>
  <si>
    <t>3209</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</si>
  <si>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</si>
  <si>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</si>
  <si>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</si>
  <si>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</si>
  <si>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</si>
  <si>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</si>
  <si>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</si>
  <si>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</si>
  <si>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</si>
  <si>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</si>
  <si>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</si>
  <si>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</si>
  <si>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</si>
  <si>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</si>
  <si>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</si>
  <si>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</si>
  <si>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</si>
  <si>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</si>
  <si>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</si>
  <si>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</si>
  <si>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</si>
  <si>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</si>
  <si>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</si>
  <si>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</si>
  <si>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</si>
  <si>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</si>
  <si>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</si>
  <si>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</si>
  <si>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</si>
  <si>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</si>
  <si>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</si>
  <si>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</si>
  <si>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</si>
  <si>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</si>
  <si>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</si>
  <si>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</si>
  <si>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</si>
  <si>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</si>
  <si>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</si>
  <si>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</si>
  <si>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</si>
  <si>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</si>
  <si>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</si>
  <si>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</si>
  <si>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</si>
  <si>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</si>
  <si>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</si>
  <si>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</si>
  <si>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</si>
  <si>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</si>
  <si>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</si>
  <si>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</si>
  <si>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</si>
  <si>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</si>
  <si>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</si>
  <si>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</si>
  <si>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</si>
  <si>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</si>
  <si>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</si>
  <si>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</si>
  <si>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</si>
  <si>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</si>
  <si>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</si>
  <si>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</si>
  <si>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3300</t>
  </si>
  <si>
    <t>3309</t>
  </si>
  <si>
    <t>3311</t>
  </si>
  <si>
    <t>発電所</t>
  </si>
  <si>
    <t>3312</t>
  </si>
  <si>
    <t>変電所</t>
  </si>
  <si>
    <t>3400</t>
  </si>
  <si>
    <t>3409</t>
  </si>
  <si>
    <t>3411</t>
  </si>
  <si>
    <t>ガス製造工場</t>
  </si>
  <si>
    <t>3412</t>
  </si>
  <si>
    <t>ガス供給所</t>
  </si>
  <si>
    <t>3500</t>
  </si>
  <si>
    <t>3509</t>
  </si>
  <si>
    <t>3511</t>
  </si>
  <si>
    <t>熱供給業</t>
  </si>
  <si>
    <t>3600</t>
  </si>
  <si>
    <t>3609</t>
  </si>
  <si>
    <t>3611</t>
  </si>
  <si>
    <t>上水道業</t>
  </si>
  <si>
    <t>3621</t>
  </si>
  <si>
    <t>工業用水道業</t>
  </si>
  <si>
    <t>3631</t>
  </si>
  <si>
    <t>下水道処理施設維持管理業</t>
  </si>
  <si>
    <t>3632</t>
  </si>
  <si>
    <t>下水道管路施設維持管理業</t>
  </si>
  <si>
    <t>3700</t>
  </si>
  <si>
    <t>3709</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</si>
  <si>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</si>
  <si>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</si>
  <si>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</si>
  <si>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</si>
  <si>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</si>
  <si>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</si>
  <si>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</si>
  <si>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</si>
  <si>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</si>
  <si>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</si>
  <si>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</si>
  <si>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</si>
  <si>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3800</t>
  </si>
  <si>
    <t>3809</t>
  </si>
  <si>
    <t>3811</t>
  </si>
  <si>
    <t>公共放送業（有線放送業を除く）</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</si>
  <si>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</si>
  <si>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</si>
  <si>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</si>
  <si>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</si>
  <si>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</si>
  <si>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</si>
  <si>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</si>
  <si>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</si>
  <si>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</si>
  <si>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</si>
  <si>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</si>
  <si>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</si>
  <si>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3900</t>
  </si>
  <si>
    <t>3909</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</si>
  <si>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</si>
  <si>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</si>
  <si>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</si>
  <si>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</si>
  <si>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</si>
  <si>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</si>
  <si>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</si>
  <si>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</si>
  <si>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</si>
  <si>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</si>
  <si>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</si>
  <si>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</si>
  <si>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</si>
  <si>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rPh sb="0" eb="2">
      <t>シジョウ</t>
    </rPh>
    <rPh sb="2" eb="4">
      <t>チョウサ</t>
    </rPh>
    <rPh sb="5" eb="7">
      <t>セロン</t>
    </rPh>
    <rPh sb="7" eb="9">
      <t>チョウサ</t>
    </rPh>
    <rPh sb="10" eb="12">
      <t>シャカイ</t>
    </rPh>
    <rPh sb="12" eb="14">
      <t>チョウサ</t>
    </rPh>
    <rPh sb="14" eb="15">
      <t>ギョウ</t>
    </rPh>
    <phoneticPr fontId="5"/>
  </si>
  <si>
    <t>3929</t>
  </si>
  <si>
    <t>その他の情報処理・提供サービス業</t>
  </si>
  <si>
    <t>4000</t>
  </si>
  <si>
    <t>4009</t>
  </si>
  <si>
    <t>4011</t>
  </si>
  <si>
    <t>ポータルサイト・サーバ運営業</t>
  </si>
  <si>
    <t>4012</t>
  </si>
  <si>
    <t>アプリケーション・サービス・コンテンツ・プロバイダ</t>
  </si>
  <si>
    <t>4013</t>
  </si>
  <si>
    <t>インターネット利用サポート業</t>
  </si>
  <si>
    <t>4100</t>
  </si>
  <si>
    <t>4109</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</si>
  <si>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</si>
  <si>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</si>
  <si>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</si>
  <si>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</si>
  <si>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</si>
  <si>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</si>
  <si>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</si>
  <si>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</si>
  <si>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</si>
  <si>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</si>
  <si>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</si>
  <si>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</si>
  <si>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</si>
  <si>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</si>
  <si>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</si>
  <si>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</si>
  <si>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</si>
  <si>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</si>
  <si>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</si>
  <si>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</si>
  <si>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</si>
  <si>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</si>
  <si>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4200</t>
  </si>
  <si>
    <t>4209</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</si>
  <si>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</si>
  <si>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</si>
  <si>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</si>
  <si>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</si>
  <si>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</si>
  <si>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</si>
  <si>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</si>
  <si>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</si>
  <si>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</si>
  <si>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</si>
  <si>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</si>
  <si>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</si>
  <si>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</si>
  <si>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</si>
  <si>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</si>
  <si>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</si>
  <si>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4300</t>
  </si>
  <si>
    <t>4309</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</si>
  <si>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</si>
  <si>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</si>
  <si>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</si>
  <si>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</si>
  <si>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</si>
  <si>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</si>
  <si>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</si>
  <si>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</si>
  <si>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</si>
  <si>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</si>
  <si>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4400</t>
  </si>
  <si>
    <t>4409</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</si>
  <si>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</si>
  <si>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</si>
  <si>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</si>
  <si>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</si>
  <si>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</si>
  <si>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</si>
  <si>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</si>
  <si>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</si>
  <si>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</si>
  <si>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</si>
  <si>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</si>
  <si>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</si>
  <si>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4500</t>
  </si>
  <si>
    <t>4509</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</si>
  <si>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</si>
  <si>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</si>
  <si>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</si>
  <si>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</si>
  <si>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</si>
  <si>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</si>
  <si>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</si>
  <si>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</si>
  <si>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</si>
  <si>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</si>
  <si>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</si>
  <si>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</si>
  <si>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</si>
  <si>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</si>
  <si>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</si>
  <si>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</si>
  <si>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</si>
  <si>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</si>
  <si>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4600</t>
  </si>
  <si>
    <t>4609</t>
  </si>
  <si>
    <t>4611</t>
  </si>
  <si>
    <t>航空運送業</t>
  </si>
  <si>
    <t>4621</t>
  </si>
  <si>
    <t>航空機使用業（航空運送業を除く）</t>
  </si>
  <si>
    <t>4700</t>
  </si>
  <si>
    <t>4709</t>
  </si>
  <si>
    <t>4711</t>
  </si>
  <si>
    <t>倉庫業（冷蔵倉庫業を除く）</t>
  </si>
  <si>
    <t>4721</t>
  </si>
  <si>
    <t>冷蔵倉庫業</t>
  </si>
  <si>
    <t>4800</t>
  </si>
  <si>
    <t>4809</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</si>
  <si>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</si>
  <si>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</si>
  <si>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</si>
  <si>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</si>
  <si>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</si>
  <si>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</si>
  <si>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</si>
  <si>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</si>
  <si>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</si>
  <si>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</si>
  <si>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</si>
  <si>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</si>
  <si>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</si>
  <si>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</si>
  <si>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</si>
  <si>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</si>
  <si>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</si>
  <si>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</si>
  <si>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</si>
  <si>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</si>
  <si>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</si>
  <si>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</si>
  <si>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</si>
  <si>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</si>
  <si>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</si>
  <si>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</si>
  <si>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</si>
  <si>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</si>
  <si>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4901</t>
  </si>
  <si>
    <t>管理，補助的経済活動を行う事業所</t>
  </si>
  <si>
    <t>4911</t>
  </si>
  <si>
    <t>郵便業（信書便事業を含む）</t>
  </si>
  <si>
    <t>5000</t>
  </si>
  <si>
    <t>5008</t>
  </si>
  <si>
    <t>自家用倉庫</t>
  </si>
  <si>
    <t>5009</t>
  </si>
  <si>
    <t>5011</t>
  </si>
  <si>
    <t>各種商品卸売業（従業者が常時100人以上のもの）</t>
  </si>
  <si>
    <t>5019</t>
  </si>
  <si>
    <t>その他の各種商品卸売業</t>
  </si>
  <si>
    <t>5100</t>
  </si>
  <si>
    <t>5108</t>
  </si>
  <si>
    <t>5109</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</si>
  <si>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</si>
  <si>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</si>
  <si>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</si>
  <si>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</si>
  <si>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</si>
  <si>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</si>
  <si>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</si>
  <si>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</si>
  <si>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</si>
  <si>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</si>
  <si>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</si>
  <si>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</si>
  <si>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</si>
  <si>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</si>
  <si>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</si>
  <si>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</si>
  <si>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</si>
  <si>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</si>
  <si>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</si>
  <si>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</si>
  <si>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</si>
  <si>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</si>
  <si>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5200</t>
  </si>
  <si>
    <t>5208</t>
  </si>
  <si>
    <t>5209</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</si>
  <si>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</si>
  <si>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</si>
  <si>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</si>
  <si>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</si>
  <si>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</si>
  <si>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</si>
  <si>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</si>
  <si>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</si>
  <si>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</si>
  <si>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</si>
  <si>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</si>
  <si>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</si>
  <si>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</si>
  <si>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</si>
  <si>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</si>
  <si>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</si>
  <si>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</si>
  <si>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</si>
  <si>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</si>
  <si>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</si>
  <si>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</si>
  <si>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</si>
  <si>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</si>
  <si>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</si>
  <si>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</si>
  <si>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</si>
  <si>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</si>
  <si>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</si>
  <si>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</si>
  <si>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</si>
  <si>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5300</t>
  </si>
  <si>
    <t>5308</t>
  </si>
  <si>
    <t>5309</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</si>
  <si>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</si>
  <si>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</si>
  <si>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</si>
  <si>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</si>
  <si>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</si>
  <si>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</si>
  <si>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</si>
  <si>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</si>
  <si>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</si>
  <si>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</si>
  <si>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</si>
  <si>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</si>
  <si>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</si>
  <si>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</si>
  <si>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</si>
  <si>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</si>
  <si>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</si>
  <si>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</si>
  <si>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</si>
  <si>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</si>
  <si>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</si>
  <si>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</si>
  <si>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</si>
  <si>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</si>
  <si>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</si>
  <si>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</si>
  <si>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</si>
  <si>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</si>
  <si>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</si>
  <si>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</si>
  <si>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</si>
  <si>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</si>
  <si>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</si>
  <si>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</si>
  <si>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</si>
  <si>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</si>
  <si>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</si>
  <si>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</si>
  <si>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</si>
  <si>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</si>
  <si>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5400</t>
  </si>
  <si>
    <t>5408</t>
  </si>
  <si>
    <t>5409</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</si>
  <si>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</si>
  <si>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</si>
  <si>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</si>
  <si>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</si>
  <si>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</si>
  <si>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</si>
  <si>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</si>
  <si>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</si>
  <si>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</si>
  <si>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</si>
  <si>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</si>
  <si>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</si>
  <si>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</si>
  <si>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</si>
  <si>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</si>
  <si>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</si>
  <si>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</si>
  <si>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</si>
  <si>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</si>
  <si>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</si>
  <si>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</si>
  <si>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</si>
  <si>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</si>
  <si>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</si>
  <si>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</si>
  <si>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</si>
  <si>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5500</t>
  </si>
  <si>
    <t>5508</t>
  </si>
  <si>
    <t>5509</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</si>
  <si>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</si>
  <si>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</si>
  <si>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</si>
  <si>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</si>
  <si>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</si>
  <si>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</si>
  <si>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</si>
  <si>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</si>
  <si>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</si>
  <si>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</si>
  <si>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</si>
  <si>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</si>
  <si>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</si>
  <si>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</si>
  <si>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</si>
  <si>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</si>
  <si>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</si>
  <si>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</si>
  <si>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</si>
  <si>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</si>
  <si>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</si>
  <si>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</si>
  <si>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</si>
  <si>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</si>
  <si>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</si>
  <si>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</si>
  <si>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</si>
  <si>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</si>
  <si>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</si>
  <si>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</si>
  <si>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</si>
  <si>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</si>
  <si>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</si>
  <si>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</si>
  <si>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</si>
  <si>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</si>
  <si>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</si>
  <si>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</si>
  <si>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</si>
  <si>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</si>
  <si>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</si>
  <si>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</si>
  <si>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5600</t>
  </si>
  <si>
    <t>5608</t>
  </si>
  <si>
    <t>5609</t>
  </si>
  <si>
    <t>5611</t>
  </si>
  <si>
    <t>百貨店，総合スーパー</t>
  </si>
  <si>
    <t>5699</t>
  </si>
  <si>
    <t>その他の各種商品小売業（従業者が常時50人未満のもの）</t>
  </si>
  <si>
    <t>5700</t>
  </si>
  <si>
    <t>5708</t>
  </si>
  <si>
    <t>5709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</si>
  <si>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</si>
  <si>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</si>
  <si>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</si>
  <si>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</si>
  <si>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</si>
  <si>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</si>
  <si>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</si>
  <si>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</si>
  <si>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</si>
  <si>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</si>
  <si>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</si>
  <si>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</si>
  <si>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</si>
  <si>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</si>
  <si>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</si>
  <si>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</si>
  <si>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</si>
  <si>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</si>
  <si>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</si>
  <si>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</si>
  <si>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</si>
  <si>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</si>
  <si>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5800</t>
  </si>
  <si>
    <t>5808</t>
  </si>
  <si>
    <t>5809</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</si>
  <si>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</si>
  <si>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</si>
  <si>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</si>
  <si>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</si>
  <si>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</si>
  <si>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</si>
  <si>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</si>
  <si>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</si>
  <si>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</si>
  <si>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</si>
  <si>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</si>
  <si>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</si>
  <si>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</si>
  <si>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</si>
  <si>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</si>
  <si>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</si>
  <si>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</si>
  <si>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</si>
  <si>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</si>
  <si>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</si>
  <si>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</si>
  <si>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</si>
  <si>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</si>
  <si>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</si>
  <si>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</si>
  <si>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</si>
  <si>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</si>
  <si>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</si>
  <si>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</si>
  <si>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</si>
  <si>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</si>
  <si>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</si>
  <si>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</si>
  <si>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</si>
  <si>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</si>
  <si>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</si>
  <si>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</si>
  <si>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</si>
  <si>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</si>
  <si>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</si>
  <si>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5900</t>
  </si>
  <si>
    <t>5908</t>
  </si>
  <si>
    <t>5909</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</si>
  <si>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</si>
  <si>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</si>
  <si>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</si>
  <si>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</si>
  <si>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</si>
  <si>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</si>
  <si>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</si>
  <si>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</si>
  <si>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</si>
  <si>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</si>
  <si>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</si>
  <si>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</si>
  <si>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</si>
  <si>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</si>
  <si>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</si>
  <si>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</si>
  <si>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</si>
  <si>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</si>
  <si>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6000</t>
  </si>
  <si>
    <t>6008</t>
  </si>
  <si>
    <t>6009</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</si>
  <si>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</si>
  <si>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</si>
  <si>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</si>
  <si>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</si>
  <si>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</si>
  <si>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</si>
  <si>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</si>
  <si>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</si>
  <si>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</si>
  <si>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</si>
  <si>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</si>
  <si>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</si>
  <si>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</si>
  <si>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</si>
  <si>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</si>
  <si>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</si>
  <si>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</si>
  <si>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</si>
  <si>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</si>
  <si>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</si>
  <si>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</si>
  <si>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</si>
  <si>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</si>
  <si>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</si>
  <si>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</si>
  <si>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</si>
  <si>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</si>
  <si>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</si>
  <si>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</si>
  <si>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</si>
  <si>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</si>
  <si>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</si>
  <si>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</si>
  <si>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</si>
  <si>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</si>
  <si>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</si>
  <si>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</si>
  <si>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</si>
  <si>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</si>
  <si>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</si>
  <si>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</si>
  <si>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</si>
  <si>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</si>
  <si>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</si>
  <si>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</si>
  <si>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</si>
  <si>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</si>
  <si>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</si>
  <si>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</si>
  <si>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</si>
  <si>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</si>
  <si>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</si>
  <si>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</si>
  <si>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</si>
  <si>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</si>
  <si>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</si>
  <si>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</si>
  <si>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</si>
  <si>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</si>
  <si>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</si>
  <si>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</si>
  <si>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</si>
  <si>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</si>
  <si>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</si>
  <si>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</si>
  <si>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</si>
  <si>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</si>
  <si>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</si>
  <si>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</si>
  <si>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</si>
  <si>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6100</t>
  </si>
  <si>
    <t>6108</t>
  </si>
  <si>
    <t>6109</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</si>
  <si>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</si>
  <si>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</si>
  <si>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</si>
  <si>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</si>
  <si>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</si>
  <si>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</si>
  <si>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</si>
  <si>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</si>
  <si>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</si>
  <si>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</si>
  <si>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</si>
  <si>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</si>
  <si>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</si>
  <si>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</si>
  <si>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6200</t>
  </si>
  <si>
    <t>6209</t>
  </si>
  <si>
    <t>6211</t>
  </si>
  <si>
    <t>中央銀行</t>
  </si>
  <si>
    <t>6221</t>
  </si>
  <si>
    <t>普通銀行</t>
  </si>
  <si>
    <t>6222</t>
  </si>
  <si>
    <t>郵便貯金銀行</t>
  </si>
  <si>
    <t>6223</t>
  </si>
  <si>
    <t>信託銀行</t>
  </si>
  <si>
    <t>6229</t>
  </si>
  <si>
    <t>その他の銀行</t>
  </si>
  <si>
    <t>6300</t>
  </si>
  <si>
    <t>6309</t>
  </si>
  <si>
    <t>6311</t>
  </si>
  <si>
    <t>信用金庫・同連合会</t>
  </si>
  <si>
    <t>6312</t>
  </si>
  <si>
    <t>信用協同組合・同連合会</t>
  </si>
  <si>
    <t>6313</t>
  </si>
  <si>
    <t>商工組合中央金庫</t>
  </si>
  <si>
    <t>6314</t>
  </si>
  <si>
    <t>労働金庫・同連合会</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</si>
  <si>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</si>
  <si>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</si>
  <si>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</si>
  <si>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</si>
  <si>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</si>
  <si>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</si>
  <si>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</si>
  <si>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</si>
  <si>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</si>
  <si>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</si>
  <si>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6400</t>
  </si>
  <si>
    <t>6409</t>
  </si>
  <si>
    <t>6411</t>
  </si>
  <si>
    <t>消費者向け貸金業</t>
  </si>
  <si>
    <t>6412</t>
  </si>
  <si>
    <t>事業者向け貸金業</t>
  </si>
  <si>
    <t>6421</t>
  </si>
  <si>
    <t>質屋</t>
  </si>
  <si>
    <t>6431</t>
  </si>
  <si>
    <t>クレジットカード業</t>
  </si>
  <si>
    <t>6432</t>
  </si>
  <si>
    <t>割賦金融業</t>
  </si>
  <si>
    <t>6491</t>
  </si>
  <si>
    <t>政府関係金融機関</t>
  </si>
  <si>
    <t>6492</t>
  </si>
  <si>
    <t>住宅専門金融業</t>
  </si>
  <si>
    <t>6493</t>
  </si>
  <si>
    <t>証券金融業</t>
  </si>
  <si>
    <t>6499</t>
  </si>
  <si>
    <t>他に分類されない非預金信用機関</t>
  </si>
  <si>
    <t>6500</t>
  </si>
  <si>
    <t>6509</t>
  </si>
  <si>
    <t>6511</t>
  </si>
  <si>
    <t>金融商品取引業（投資助言・代理・運用業，補助的金融商品取引業を除く）</t>
  </si>
  <si>
    <t>6512</t>
  </si>
  <si>
    <t>投資助言・代理業</t>
  </si>
  <si>
    <t>6513</t>
  </si>
  <si>
    <t>投資運用業</t>
  </si>
  <si>
    <t>6514</t>
  </si>
  <si>
    <t>補助的金融商品取引業</t>
  </si>
  <si>
    <t>6521</t>
  </si>
  <si>
    <t>商品先物取引業</t>
    <rPh sb="0" eb="2">
      <t>ショウヒン</t>
    </rPh>
    <rPh sb="2" eb="4">
      <t>サキモノ</t>
    </rPh>
    <rPh sb="4" eb="6">
      <t>トリヒキ</t>
    </rPh>
    <rPh sb="6" eb="7">
      <t>ギョウ</t>
    </rPh>
    <phoneticPr fontId="5"/>
  </si>
  <si>
    <t>6522</t>
  </si>
  <si>
    <t>商品投資顧問業</t>
    <rPh sb="0" eb="2">
      <t>ショウヒン</t>
    </rPh>
    <rPh sb="2" eb="4">
      <t>トウシ</t>
    </rPh>
    <rPh sb="4" eb="6">
      <t>コモン</t>
    </rPh>
    <rPh sb="6" eb="7">
      <t>ギョウ</t>
    </rPh>
    <phoneticPr fontId="5"/>
  </si>
  <si>
    <t>6529</t>
  </si>
  <si>
    <t>その他の商品先物取引業，商品投資顧問業</t>
    <rPh sb="16" eb="18">
      <t>コモン</t>
    </rPh>
    <phoneticPr fontId="5"/>
  </si>
  <si>
    <t>6600</t>
  </si>
  <si>
    <t>6609</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</si>
  <si>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</si>
  <si>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</si>
  <si>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</si>
  <si>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</si>
  <si>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</si>
  <si>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</si>
  <si>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</si>
  <si>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</si>
  <si>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</si>
  <si>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</si>
  <si>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</si>
  <si>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</si>
  <si>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</si>
  <si>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</si>
  <si>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</si>
  <si>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</si>
  <si>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</si>
  <si>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</si>
  <si>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6621</t>
  </si>
  <si>
    <t>運用型信託業</t>
  </si>
  <si>
    <t>6622</t>
  </si>
  <si>
    <t>管理型信託業</t>
  </si>
  <si>
    <t>6631</t>
  </si>
  <si>
    <t>金融商品仲介業</t>
  </si>
  <si>
    <t>6632</t>
  </si>
  <si>
    <t>信託契約代理業</t>
  </si>
  <si>
    <t>6639</t>
  </si>
  <si>
    <t>その他の金融代理業</t>
  </si>
  <si>
    <t>6700</t>
  </si>
  <si>
    <t>6709</t>
  </si>
  <si>
    <t>6711</t>
  </si>
  <si>
    <t>生命保険業（郵便保険業，生命保険再保険業を除く）</t>
  </si>
  <si>
    <t>6712</t>
  </si>
  <si>
    <t>郵便保険業</t>
  </si>
  <si>
    <t>6713</t>
  </si>
  <si>
    <t>生命保険再保険業</t>
  </si>
  <si>
    <t>6719</t>
  </si>
  <si>
    <t>その他の生命保険業</t>
  </si>
  <si>
    <t>6721</t>
  </si>
  <si>
    <t>損害保険業（損害保険再保険業を除く）</t>
  </si>
  <si>
    <t>6722</t>
  </si>
  <si>
    <t>損害保険再保険業</t>
  </si>
  <si>
    <t>6729</t>
  </si>
  <si>
    <t>その他の損害保険業</t>
  </si>
  <si>
    <t>6731</t>
  </si>
  <si>
    <t>共済事業（各種災害補償法によるもの）</t>
  </si>
  <si>
    <t>6732</t>
  </si>
  <si>
    <t>共済事業（各種協同組合法等によるもの）</t>
  </si>
  <si>
    <t>6733</t>
  </si>
  <si>
    <t>少額短期保険業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</si>
  <si>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</si>
  <si>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</si>
  <si>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</si>
  <si>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</si>
  <si>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</si>
  <si>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</si>
  <si>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</si>
  <si>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</si>
  <si>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</si>
  <si>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</si>
  <si>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</si>
  <si>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</si>
  <si>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6800</t>
  </si>
  <si>
    <t>6809</t>
  </si>
  <si>
    <t>6811</t>
  </si>
  <si>
    <t>建物売買業</t>
  </si>
  <si>
    <t>6812</t>
  </si>
  <si>
    <t>土地売買業</t>
  </si>
  <si>
    <t>6821</t>
  </si>
  <si>
    <t>不動産代理業・仲介業</t>
  </si>
  <si>
    <t>6900</t>
  </si>
  <si>
    <t>6909</t>
  </si>
  <si>
    <t>6911</t>
  </si>
  <si>
    <t>貸事務所業</t>
  </si>
  <si>
    <t>6912</t>
  </si>
  <si>
    <t>土地賃貸業</t>
  </si>
  <si>
    <t>6919</t>
  </si>
  <si>
    <t>その他の不動産賃貸業</t>
  </si>
  <si>
    <t>6921</t>
  </si>
  <si>
    <t>貸家業</t>
  </si>
  <si>
    <t>6922</t>
  </si>
  <si>
    <t>貸間業</t>
  </si>
  <si>
    <t>6931</t>
  </si>
  <si>
    <t>駐車場業</t>
  </si>
  <si>
    <t>6941</t>
  </si>
  <si>
    <t>不動産管理業</t>
  </si>
  <si>
    <t>7000</t>
  </si>
  <si>
    <t>7009</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</si>
  <si>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</si>
  <si>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</si>
  <si>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</si>
  <si>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</si>
  <si>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</si>
  <si>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</si>
  <si>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</si>
  <si>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</si>
  <si>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</si>
  <si>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</si>
  <si>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</si>
  <si>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</si>
  <si>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</si>
  <si>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</si>
  <si>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</si>
  <si>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</si>
  <si>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</si>
  <si>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</si>
  <si>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</si>
  <si>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</si>
  <si>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</si>
  <si>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</si>
  <si>
    <t>7099</t>
  </si>
  <si>
    <t>他に分類されない物品賃貸業</t>
  </si>
  <si>
    <t>7101</t>
  </si>
  <si>
    <t>7111</t>
  </si>
  <si>
    <t>理学研究所</t>
  </si>
  <si>
    <t>7112</t>
  </si>
  <si>
    <t>工学研究所</t>
  </si>
  <si>
    <t>7113</t>
  </si>
  <si>
    <t>農学研究所</t>
  </si>
  <si>
    <t>7114</t>
  </si>
  <si>
    <t>医学・薬学研究所</t>
  </si>
  <si>
    <t>7121</t>
  </si>
  <si>
    <t>人文・社会科学研究所</t>
  </si>
  <si>
    <t>7201</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</si>
  <si>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</si>
  <si>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</si>
  <si>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</si>
  <si>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</si>
  <si>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</si>
  <si>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</si>
  <si>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</si>
  <si>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</si>
  <si>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</si>
  <si>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</si>
  <si>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</si>
  <si>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</si>
  <si>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</si>
  <si>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</si>
  <si>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</si>
  <si>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</si>
  <si>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</si>
  <si>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</si>
  <si>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</si>
  <si>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</si>
  <si>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</si>
  <si>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</si>
  <si>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</si>
  <si>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</si>
  <si>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7282</t>
  </si>
  <si>
    <t>純粋持株会社</t>
  </si>
  <si>
    <t>7291</t>
  </si>
  <si>
    <t>興信所</t>
  </si>
  <si>
    <t>7292</t>
  </si>
  <si>
    <t>翻訳業（著述家業を除く）</t>
  </si>
  <si>
    <t>7293</t>
  </si>
  <si>
    <t>通訳業，通訳案内業</t>
  </si>
  <si>
    <t>7294</t>
  </si>
  <si>
    <t>不動産鑑定業</t>
  </si>
  <si>
    <t>7299</t>
  </si>
  <si>
    <t>他に分類されない専門サービス業</t>
  </si>
  <si>
    <t>7300</t>
  </si>
  <si>
    <t>7309</t>
  </si>
  <si>
    <t>7311</t>
  </si>
  <si>
    <t>広告業</t>
  </si>
  <si>
    <t>7401</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</si>
  <si>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</si>
  <si>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</si>
  <si>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</si>
  <si>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</si>
  <si>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</si>
  <si>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</si>
  <si>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</si>
  <si>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</si>
  <si>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</si>
  <si>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</si>
  <si>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</si>
  <si>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</si>
  <si>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</si>
  <si>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</si>
  <si>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</si>
  <si>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</si>
  <si>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</si>
  <si>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</si>
  <si>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</si>
  <si>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</si>
  <si>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</si>
  <si>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</si>
  <si>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</si>
  <si>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</si>
  <si>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</si>
  <si>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</si>
  <si>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7500</t>
  </si>
  <si>
    <t>7509</t>
  </si>
  <si>
    <t>7511</t>
  </si>
  <si>
    <t>旅館，ホテル</t>
  </si>
  <si>
    <t>7521</t>
  </si>
  <si>
    <t>簡易宿所</t>
  </si>
  <si>
    <t>7531</t>
  </si>
  <si>
    <t>下宿業</t>
  </si>
  <si>
    <t>7591</t>
  </si>
  <si>
    <t>会社・団体の宿泊所</t>
  </si>
  <si>
    <t>7592</t>
  </si>
  <si>
    <t>リゾートクラブ</t>
  </si>
  <si>
    <t>7599</t>
  </si>
  <si>
    <t>他に分類されない宿泊業</t>
  </si>
  <si>
    <t>7600</t>
  </si>
  <si>
    <t>7609</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</si>
  <si>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</si>
  <si>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</si>
  <si>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</si>
  <si>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</si>
  <si>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</si>
  <si>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</si>
  <si>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</si>
  <si>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</si>
  <si>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</si>
  <si>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</si>
  <si>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</si>
  <si>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</si>
  <si>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</si>
  <si>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</si>
  <si>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</si>
  <si>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</si>
  <si>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</si>
  <si>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</si>
  <si>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</si>
  <si>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</si>
  <si>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</si>
  <si>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</si>
  <si>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</si>
  <si>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</si>
  <si>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</si>
  <si>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</si>
  <si>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</si>
  <si>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お好み焼き・焼きそば・たこ焼店</t>
  </si>
  <si>
    <t>7699</t>
  </si>
  <si>
    <t>7700</t>
  </si>
  <si>
    <t>7709</t>
  </si>
  <si>
    <t>7711</t>
  </si>
  <si>
    <t>持ち帰り飲食サービス業</t>
  </si>
  <si>
    <t>7721</t>
  </si>
  <si>
    <t>配達飲食サービス業</t>
  </si>
  <si>
    <t>7800</t>
  </si>
  <si>
    <t>7809</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</si>
  <si>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</si>
  <si>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</si>
  <si>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</si>
  <si>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</si>
  <si>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</si>
  <si>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</si>
  <si>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</si>
  <si>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</si>
  <si>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</si>
  <si>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</si>
  <si>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</si>
  <si>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</si>
  <si>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</si>
  <si>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</si>
  <si>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</si>
  <si>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</si>
  <si>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</si>
  <si>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</si>
  <si>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</si>
  <si>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t>
    <rPh sb="8" eb="9">
      <t>ギョウ</t>
    </rPh>
    <rPh sb="10" eb="12">
      <t>シュギ</t>
    </rPh>
    <rPh sb="13" eb="14">
      <t>モチ</t>
    </rPh>
    <phoneticPr fontId="5"/>
  </si>
  <si>
    <t>7894</t>
  </si>
  <si>
    <t>7899</t>
  </si>
  <si>
    <t>他に分類されない洗濯・理容・美容・浴場業</t>
  </si>
  <si>
    <t>7900</t>
  </si>
  <si>
    <t>7909</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</si>
  <si>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</si>
  <si>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</si>
  <si>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</si>
  <si>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</si>
  <si>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</si>
  <si>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</si>
  <si>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</si>
  <si>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</si>
  <si>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</si>
  <si>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</si>
  <si>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</si>
  <si>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</si>
  <si>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</si>
  <si>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</si>
  <si>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</si>
  <si>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</si>
  <si>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</si>
  <si>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</si>
  <si>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</si>
  <si>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</si>
  <si>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</si>
  <si>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</si>
  <si>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</si>
  <si>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</si>
  <si>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</si>
  <si>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</si>
  <si>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</si>
  <si>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7999</t>
  </si>
  <si>
    <t>他に分類されないその他の生活関連サービス業</t>
  </si>
  <si>
    <t>8000</t>
  </si>
  <si>
    <t>8009</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</si>
  <si>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</si>
  <si>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</si>
  <si>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</si>
  <si>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</si>
  <si>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</si>
  <si>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</si>
  <si>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</si>
  <si>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</si>
  <si>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</si>
  <si>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</si>
  <si>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</si>
  <si>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</si>
  <si>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</si>
  <si>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</si>
  <si>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</si>
  <si>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</si>
  <si>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</si>
  <si>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自動車・モータボートの競走場</t>
  </si>
  <si>
    <t>8034</t>
  </si>
  <si>
    <t>競輪競技団</t>
  </si>
  <si>
    <t>8035</t>
  </si>
  <si>
    <t>競馬競技団</t>
  </si>
  <si>
    <t>8036</t>
  </si>
  <si>
    <t>自動車・モータボートの競技団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</si>
  <si>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</si>
  <si>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</si>
  <si>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</si>
  <si>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</si>
  <si>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</si>
  <si>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</si>
  <si>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</si>
  <si>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</si>
  <si>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</si>
  <si>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</si>
  <si>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</si>
  <si>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</si>
  <si>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</si>
  <si>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</si>
  <si>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</si>
  <si>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</si>
  <si>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</si>
  <si>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</si>
  <si>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</si>
  <si>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</si>
  <si>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</si>
  <si>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</si>
  <si>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</si>
  <si>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</si>
  <si>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</si>
  <si>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</si>
  <si>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</si>
  <si>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</si>
  <si>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</si>
  <si>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</si>
  <si>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</si>
  <si>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</si>
  <si>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</si>
  <si>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</si>
  <si>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</si>
  <si>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</si>
  <si>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</si>
  <si>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</si>
  <si>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</si>
  <si>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</si>
  <si>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</si>
  <si>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</si>
  <si>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</si>
  <si>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</si>
  <si>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</si>
  <si>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</si>
  <si>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</si>
  <si>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</si>
  <si>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8101</t>
  </si>
  <si>
    <t>8111</t>
  </si>
  <si>
    <t>幼稚園</t>
  </si>
  <si>
    <t>8121</t>
  </si>
  <si>
    <t>小学校</t>
  </si>
  <si>
    <t>8131</t>
  </si>
  <si>
    <t>中学校</t>
  </si>
  <si>
    <t>8141</t>
  </si>
  <si>
    <t>高等学校</t>
  </si>
  <si>
    <t>8142</t>
  </si>
  <si>
    <t>中等教育学校</t>
  </si>
  <si>
    <t>8151</t>
  </si>
  <si>
    <t>特別支援学校</t>
  </si>
  <si>
    <t>8161</t>
  </si>
  <si>
    <t>大学</t>
  </si>
  <si>
    <t>8162</t>
  </si>
  <si>
    <t>短期大学</t>
  </si>
  <si>
    <t>8163</t>
  </si>
  <si>
    <t>高等専門学校</t>
  </si>
  <si>
    <t>8171</t>
  </si>
  <si>
    <t>専修学校</t>
  </si>
  <si>
    <t>8172</t>
  </si>
  <si>
    <t>各種学校</t>
  </si>
  <si>
    <t>8181</t>
  </si>
  <si>
    <t>学校教育支援機関</t>
  </si>
  <si>
    <t>幼保連携型認定こども園</t>
    <rPh sb="0" eb="1">
      <t>ヨウ</t>
    </rPh>
    <rPh sb="1" eb="2">
      <t>タモツ</t>
    </rPh>
    <rPh sb="2" eb="4">
      <t>レンケイ</t>
    </rPh>
    <rPh sb="4" eb="5">
      <t>カタ</t>
    </rPh>
    <rPh sb="5" eb="7">
      <t>ニンテイ</t>
    </rPh>
    <rPh sb="10" eb="11">
      <t>エン</t>
    </rPh>
    <phoneticPr fontId="5"/>
  </si>
  <si>
    <t>8200</t>
  </si>
  <si>
    <t>8209</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</si>
  <si>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</si>
  <si>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</si>
  <si>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</si>
  <si>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</si>
  <si>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</si>
  <si>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</si>
  <si>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</si>
  <si>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</si>
  <si>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</si>
  <si>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</si>
  <si>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</si>
  <si>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</si>
  <si>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</si>
  <si>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</si>
  <si>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</si>
  <si>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</si>
  <si>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</si>
  <si>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</si>
  <si>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</si>
  <si>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</si>
  <si>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</si>
  <si>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</si>
  <si>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</si>
  <si>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</si>
  <si>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</si>
  <si>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</si>
  <si>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</si>
  <si>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</si>
  <si>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</si>
  <si>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</si>
  <si>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</si>
  <si>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</si>
  <si>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</si>
  <si>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</si>
  <si>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</si>
  <si>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</si>
  <si>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</si>
  <si>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</si>
  <si>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8300</t>
  </si>
  <si>
    <t>8309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</si>
  <si>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</si>
  <si>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</si>
  <si>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</si>
  <si>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</si>
  <si>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</si>
  <si>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</si>
  <si>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</si>
  <si>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</si>
  <si>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</si>
  <si>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</si>
  <si>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</si>
  <si>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</si>
  <si>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</si>
  <si>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</si>
  <si>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</si>
  <si>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</si>
  <si>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</si>
  <si>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</si>
  <si>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</si>
  <si>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</si>
  <si>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</si>
  <si>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</si>
  <si>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8400</t>
  </si>
  <si>
    <t>8409</t>
  </si>
  <si>
    <t>8411</t>
  </si>
  <si>
    <t>保健所</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</si>
  <si>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</si>
  <si>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</si>
  <si>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</si>
  <si>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</si>
  <si>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</si>
  <si>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</si>
  <si>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</si>
  <si>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</si>
  <si>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</si>
  <si>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</si>
  <si>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</si>
  <si>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</si>
  <si>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</si>
  <si>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</si>
  <si>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</si>
  <si>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</si>
  <si>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8500</t>
  </si>
  <si>
    <t>8509</t>
  </si>
  <si>
    <t>8511</t>
  </si>
  <si>
    <t>社会保険事業団体</t>
  </si>
  <si>
    <t>8521</t>
  </si>
  <si>
    <t>福祉事務所</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</si>
  <si>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</si>
  <si>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</si>
  <si>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</si>
  <si>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</si>
  <si>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</si>
  <si>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</si>
  <si>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</si>
  <si>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</si>
  <si>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</si>
  <si>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</si>
  <si>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</si>
  <si>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</si>
  <si>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</si>
  <si>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</si>
  <si>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</si>
  <si>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</si>
  <si>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</si>
  <si>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</si>
  <si>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</si>
  <si>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</si>
  <si>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</si>
  <si>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</si>
  <si>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</si>
  <si>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</si>
  <si>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</si>
  <si>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</si>
  <si>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8601</t>
  </si>
  <si>
    <t>8611</t>
  </si>
  <si>
    <t>郵便局</t>
  </si>
  <si>
    <t>8621</t>
  </si>
  <si>
    <t>簡易郵便局</t>
  </si>
  <si>
    <t>8629</t>
  </si>
  <si>
    <t>その他の郵便局受託業</t>
  </si>
  <si>
    <t>8701</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</si>
  <si>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</si>
  <si>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</si>
  <si>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</si>
  <si>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</si>
  <si>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</si>
  <si>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</si>
  <si>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</si>
  <si>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</si>
  <si>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</si>
  <si>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</si>
  <si>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8800</t>
  </si>
  <si>
    <t>8809</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</si>
  <si>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</si>
  <si>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</si>
  <si>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</si>
  <si>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</si>
  <si>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</si>
  <si>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</si>
  <si>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</si>
  <si>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</si>
  <si>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</si>
  <si>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</si>
  <si>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</si>
  <si>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</si>
  <si>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</si>
  <si>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</si>
  <si>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</si>
  <si>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</si>
  <si>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</si>
  <si>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</si>
  <si>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</si>
  <si>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</si>
  <si>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</si>
  <si>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</si>
  <si>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</si>
  <si>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</si>
  <si>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</si>
  <si>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</si>
  <si>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8901</t>
  </si>
  <si>
    <t>8911</t>
  </si>
  <si>
    <t>自動車一般整備業</t>
  </si>
  <si>
    <t>8919</t>
  </si>
  <si>
    <t>その他の自動車整備業</t>
  </si>
  <si>
    <t>9000</t>
  </si>
  <si>
    <t>9009</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</si>
  <si>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</si>
  <si>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</si>
  <si>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</si>
  <si>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</si>
  <si>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</si>
  <si>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</si>
  <si>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</si>
  <si>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</si>
  <si>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</si>
  <si>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</si>
  <si>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</si>
  <si>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</si>
  <si>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</si>
  <si>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</si>
  <si>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</si>
  <si>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</si>
  <si>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</si>
  <si>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</si>
  <si>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9100</t>
  </si>
  <si>
    <t>9109</t>
  </si>
  <si>
    <t>9111</t>
  </si>
  <si>
    <t>職業紹介業</t>
  </si>
  <si>
    <t>9121</t>
  </si>
  <si>
    <t>労働者派遣業</t>
  </si>
  <si>
    <t>9200</t>
  </si>
  <si>
    <t>9209</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</si>
  <si>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</si>
  <si>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</si>
  <si>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</si>
  <si>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</si>
  <si>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</si>
  <si>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</si>
  <si>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</si>
  <si>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</si>
  <si>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</si>
  <si>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</si>
  <si>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</si>
  <si>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</si>
  <si>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</si>
  <si>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</si>
  <si>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</si>
  <si>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</si>
  <si>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</si>
  <si>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rPh sb="7" eb="8">
      <t>ギョウ</t>
    </rPh>
    <phoneticPr fontId="5"/>
  </si>
  <si>
    <t>9299</t>
  </si>
  <si>
    <t>他に分類されないその他の事業サービス業</t>
  </si>
  <si>
    <t>9311</t>
  </si>
  <si>
    <t>実業団体</t>
  </si>
  <si>
    <t>9312</t>
  </si>
  <si>
    <t>同業団体</t>
  </si>
  <si>
    <t>9321</t>
  </si>
  <si>
    <t>労働団体</t>
  </si>
  <si>
    <t>9331</t>
  </si>
  <si>
    <t>学術団体</t>
  </si>
  <si>
    <t>9332</t>
  </si>
  <si>
    <t>文化団体</t>
  </si>
  <si>
    <t>9341</t>
  </si>
  <si>
    <t>政治団体</t>
  </si>
  <si>
    <t>9399</t>
  </si>
  <si>
    <t>他に分類されない非営利的団体</t>
  </si>
  <si>
    <t>9411</t>
  </si>
  <si>
    <t>神社，神道教会</t>
  </si>
  <si>
    <t>9412</t>
  </si>
  <si>
    <t>教派事務所</t>
  </si>
  <si>
    <t>9421</t>
  </si>
  <si>
    <t>寺院，仏教教会</t>
  </si>
  <si>
    <t>9422</t>
  </si>
  <si>
    <t>宗派事務所</t>
  </si>
  <si>
    <t>9431</t>
  </si>
  <si>
    <t>キリスト教教会，修道院</t>
  </si>
  <si>
    <t>9432</t>
  </si>
  <si>
    <t>教団事務所</t>
  </si>
  <si>
    <t>9491</t>
  </si>
  <si>
    <t>その他の宗教の教会</t>
  </si>
  <si>
    <t>9499</t>
  </si>
  <si>
    <t>その他の宗教の教団事務所</t>
  </si>
  <si>
    <t>9501</t>
  </si>
  <si>
    <t>9511</t>
  </si>
  <si>
    <t>集会場</t>
  </si>
  <si>
    <t>9521</t>
  </si>
  <si>
    <t>と畜場</t>
  </si>
  <si>
    <t>9599</t>
  </si>
  <si>
    <t>他に分類されないサービス業</t>
  </si>
  <si>
    <t>9611</t>
  </si>
  <si>
    <t>外国公館</t>
  </si>
  <si>
    <t>9699</t>
  </si>
  <si>
    <t>その他の外国公務</t>
  </si>
  <si>
    <t>9711</t>
  </si>
  <si>
    <t>立法機関</t>
  </si>
  <si>
    <t>9721</t>
  </si>
  <si>
    <t>司法機関</t>
  </si>
  <si>
    <t>9731</t>
  </si>
  <si>
    <t>行政機関</t>
  </si>
  <si>
    <t>9811</t>
  </si>
  <si>
    <t>都道府県機関</t>
  </si>
  <si>
    <t>9821</t>
  </si>
  <si>
    <t>市町村機関</t>
  </si>
  <si>
    <t>織物製事務用・作業用・衛生用・スポーツ用衣服・学校服製造業（不織布製及びレース製を含む）</t>
  </si>
  <si>
    <t>他に分類されない飲食店</t>
  </si>
  <si>
    <t>ネイルサービス業</t>
  </si>
  <si>
    <t>写真プリント,現像・焼付業</t>
  </si>
  <si>
    <t>8191</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</si>
  <si>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</si>
  <si>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</si>
  <si>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</si>
  <si>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</si>
  <si>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</si>
  <si>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</si>
  <si>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</si>
  <si>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</si>
  <si>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</si>
  <si>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</si>
  <si>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</si>
  <si>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</si>
  <si>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</si>
  <si>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</si>
  <si>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</si>
  <si>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</si>
  <si>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</si>
  <si>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</si>
  <si>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</si>
  <si>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</si>
  <si>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</si>
  <si>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</si>
  <si>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</si>
  <si>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</si>
  <si>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</si>
  <si>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</si>
  <si>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</si>
  <si>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</si>
  <si>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</si>
  <si>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</si>
  <si>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</si>
  <si>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</si>
  <si>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</si>
  <si>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</si>
  <si>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</si>
  <si>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</si>
  <si>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</si>
  <si>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</si>
  <si>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</si>
  <si>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</si>
  <si>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</si>
  <si>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</si>
  <si>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</si>
  <si>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</si>
  <si>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</si>
  <si>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</si>
  <si>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</si>
  <si>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</si>
  <si>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</si>
  <si>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</si>
  <si>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</si>
  <si>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</si>
  <si>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</si>
  <si>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</si>
  <si>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</si>
  <si>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</si>
  <si>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</si>
  <si>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</si>
  <si>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</si>
  <si>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不動産取引業</t>
  </si>
  <si>
    <t>不動産賃貸業・管理業</t>
  </si>
  <si>
    <t>物品賃貸業</t>
  </si>
  <si>
    <t>学術・開発研究機関</t>
  </si>
  <si>
    <t>専門サービス業（他に分類されないもの）</t>
  </si>
  <si>
    <t>技術サービス業（他に分類されないもの）</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</si>
  <si>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</si>
  <si>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</si>
  <si>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</si>
  <si>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</si>
  <si>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</si>
  <si>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</si>
  <si>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</si>
  <si>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</si>
  <si>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</si>
  <si>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</si>
  <si>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</si>
  <si>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</si>
  <si>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</si>
  <si>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</si>
  <si>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</si>
  <si>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</si>
  <si>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</si>
  <si>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</si>
  <si>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</si>
  <si>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</si>
  <si>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</si>
  <si>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</si>
  <si>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t>
    <phoneticPr fontId="1"/>
  </si>
  <si>
    <t>鉱業、採石業、砂利採取業</t>
  </si>
  <si>
    <t>建築材料、鉱物・金属材料等卸売業</t>
  </si>
  <si>
    <t>貸金業、クレジットカード業等非預金信用機関</t>
  </si>
  <si>
    <t>金融商品取引業、商品先物取引業</t>
  </si>
  <si>
    <t>保険業（保険媒介代理業、保険サービス業を含む）</t>
  </si>
  <si>
    <t>その他の教育、学習支援業</t>
  </si>
  <si>
    <t>中分類</t>
    <rPh sb="0" eb="3">
      <t>チュウブンルイ</t>
    </rPh>
    <phoneticPr fontId="5"/>
  </si>
  <si>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</si>
  <si>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</si>
  <si>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</si>
  <si>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</si>
  <si>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</si>
  <si>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</si>
  <si>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</si>
  <si>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</si>
  <si>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</si>
  <si>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</si>
  <si>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</si>
  <si>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</si>
  <si>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</si>
  <si>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</si>
  <si>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</si>
  <si>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</si>
  <si>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</si>
  <si>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</si>
  <si>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</si>
  <si>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</si>
  <si>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</si>
  <si>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</si>
  <si>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</si>
  <si>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</si>
  <si>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</si>
  <si>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</si>
  <si>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</si>
  <si>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</si>
  <si>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</si>
  <si>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</si>
  <si>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</si>
  <si>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</si>
  <si>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</si>
  <si>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</si>
  <si>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</si>
  <si>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</si>
  <si>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</si>
  <si>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</si>
  <si>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</si>
  <si>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</si>
  <si>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</si>
  <si>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</si>
  <si>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</si>
  <si>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</si>
  <si>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</si>
  <si>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</si>
  <si>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</si>
  <si>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</si>
  <si>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</si>
  <si>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</si>
  <si>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</si>
  <si>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</si>
  <si>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</si>
  <si>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</si>
  <si>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</si>
  <si>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</si>
  <si>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</si>
  <si>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</si>
  <si>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</si>
  <si>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</si>
  <si>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</si>
  <si>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</si>
  <si>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</si>
  <si>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</si>
  <si>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</si>
  <si>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</si>
  <si>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</si>
  <si>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</si>
  <si>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</si>
  <si>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</si>
  <si>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</si>
  <si>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</si>
  <si>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</si>
  <si>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</si>
  <si>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</si>
  <si>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</si>
  <si>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</si>
  <si>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</si>
  <si>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</si>
  <si>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</si>
  <si>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</si>
  <si>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</si>
  <si>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</si>
  <si>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</si>
  <si>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</si>
  <si>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</si>
  <si>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</si>
  <si>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</si>
  <si>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</si>
  <si>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</si>
  <si>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</si>
  <si>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</si>
  <si>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</si>
  <si>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</si>
  <si>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</si>
  <si>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</si>
  <si>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</si>
  <si>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</si>
  <si>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</si>
  <si>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細分類</t>
    <rPh sb="0" eb="3">
      <t>サイブンルイ</t>
    </rPh>
    <phoneticPr fontId="1"/>
  </si>
  <si>
    <t>排出原単位</t>
    <rPh sb="0" eb="2">
      <t>ハイシュツ</t>
    </rPh>
    <rPh sb="2" eb="5">
      <t>ゲンタンイ</t>
    </rPh>
    <phoneticPr fontId="1"/>
  </si>
  <si>
    <t>２　温室効果ガスの削減目標等</t>
    <rPh sb="2" eb="4">
      <t>オンシツ</t>
    </rPh>
    <rPh sb="4" eb="6">
      <t>コウカ</t>
    </rPh>
    <rPh sb="9" eb="11">
      <t>サクゲン</t>
    </rPh>
    <rPh sb="11" eb="13">
      <t>モクヒョウ</t>
    </rPh>
    <rPh sb="13" eb="14">
      <t>ナド</t>
    </rPh>
    <phoneticPr fontId="4"/>
  </si>
  <si>
    <t>計画期間</t>
    <rPh sb="0" eb="2">
      <t>ケイカク</t>
    </rPh>
    <rPh sb="2" eb="4">
      <t>キカン</t>
    </rPh>
    <phoneticPr fontId="1"/>
  </si>
  <si>
    <t>～</t>
    <phoneticPr fontId="1"/>
  </si>
  <si>
    <t>人</t>
    <rPh sb="0" eb="1">
      <t>ニン</t>
    </rPh>
    <phoneticPr fontId="4"/>
  </si>
  <si>
    <t>㎡</t>
    <phoneticPr fontId="4"/>
  </si>
  <si>
    <t>テナント空調等推計値</t>
    <phoneticPr fontId="4"/>
  </si>
  <si>
    <t>tC/GJ</t>
  </si>
  <si>
    <t>換算係数
(GJ/千ｋWh)</t>
    <rPh sb="0" eb="2">
      <t>カンサン</t>
    </rPh>
    <rPh sb="2" eb="4">
      <t>ケイスウ</t>
    </rPh>
    <phoneticPr fontId="4"/>
  </si>
  <si>
    <t>売電量
(千kWh)</t>
    <rPh sb="0" eb="2">
      <t>バイデン</t>
    </rPh>
    <rPh sb="2" eb="3">
      <t>リョウ</t>
    </rPh>
    <phoneticPr fontId="4"/>
  </si>
  <si>
    <t>買電量
(千kWh)</t>
    <phoneticPr fontId="4"/>
  </si>
  <si>
    <t>該当する
事業者の要件</t>
    <rPh sb="0" eb="2">
      <t>ガイトウ</t>
    </rPh>
    <rPh sb="5" eb="8">
      <t>ジギョウシャ</t>
    </rPh>
    <rPh sb="9" eb="11">
      <t>ヨウケン</t>
    </rPh>
    <phoneticPr fontId="4"/>
  </si>
  <si>
    <t>車両</t>
    <rPh sb="0" eb="2">
      <t>シャリョウ</t>
    </rPh>
    <phoneticPr fontId="1"/>
  </si>
  <si>
    <t>２　温室効果ガス排出抑制のための基本方針</t>
    <rPh sb="2" eb="4">
      <t>オンシツ</t>
    </rPh>
    <rPh sb="4" eb="6">
      <t>コウカ</t>
    </rPh>
    <rPh sb="8" eb="10">
      <t>ハイシュツ</t>
    </rPh>
    <rPh sb="10" eb="12">
      <t>ヨクセイ</t>
    </rPh>
    <rPh sb="16" eb="18">
      <t>キホン</t>
    </rPh>
    <rPh sb="18" eb="20">
      <t>ホウシン</t>
    </rPh>
    <phoneticPr fontId="4"/>
  </si>
  <si>
    <t>３　温室効果ガス排出抑制のための組織体制</t>
    <rPh sb="2" eb="4">
      <t>オンシツ</t>
    </rPh>
    <rPh sb="4" eb="6">
      <t>コウカ</t>
    </rPh>
    <rPh sb="8" eb="10">
      <t>ハイシュツ</t>
    </rPh>
    <rPh sb="10" eb="12">
      <t>ヨクセイ</t>
    </rPh>
    <rPh sb="16" eb="18">
      <t>ソシキ</t>
    </rPh>
    <rPh sb="18" eb="20">
      <t>タイセイ</t>
    </rPh>
    <phoneticPr fontId="4"/>
  </si>
  <si>
    <t>宿泊業</t>
    <phoneticPr fontId="1"/>
  </si>
  <si>
    <t>３　温室効果ガスの排出抑制に関する取組</t>
    <rPh sb="2" eb="4">
      <t>オンシツ</t>
    </rPh>
    <rPh sb="4" eb="6">
      <t>コウカ</t>
    </rPh>
    <rPh sb="9" eb="11">
      <t>ハイシュツ</t>
    </rPh>
    <rPh sb="11" eb="13">
      <t>ヨクセイ</t>
    </rPh>
    <rPh sb="14" eb="15">
      <t>カン</t>
    </rPh>
    <rPh sb="17" eb="19">
      <t>トリクミ</t>
    </rPh>
    <phoneticPr fontId="4"/>
  </si>
  <si>
    <t>項目</t>
    <rPh sb="0" eb="2">
      <t>コウモク</t>
    </rPh>
    <phoneticPr fontId="1"/>
  </si>
  <si>
    <t>基準年度実施率</t>
    <rPh sb="0" eb="2">
      <t>キジュン</t>
    </rPh>
    <rPh sb="2" eb="4">
      <t>ネンド</t>
    </rPh>
    <rPh sb="4" eb="6">
      <t>ジッシ</t>
    </rPh>
    <rPh sb="6" eb="7">
      <t>リツ</t>
    </rPh>
    <phoneticPr fontId="1"/>
  </si>
  <si>
    <t>目標年度実施率</t>
    <rPh sb="0" eb="2">
      <t>モクヒョウ</t>
    </rPh>
    <rPh sb="2" eb="4">
      <t>ネンド</t>
    </rPh>
    <rPh sb="4" eb="6">
      <t>ジッシ</t>
    </rPh>
    <rPh sb="6" eb="7">
      <t>リツ</t>
    </rPh>
    <phoneticPr fontId="1"/>
  </si>
  <si>
    <t>実施年度</t>
    <rPh sb="0" eb="2">
      <t>ジッシ</t>
    </rPh>
    <rPh sb="2" eb="4">
      <t>ネンド</t>
    </rPh>
    <phoneticPr fontId="1"/>
  </si>
  <si>
    <t>郵便番号</t>
    <rPh sb="0" eb="4">
      <t>ユウビンバンゴウ</t>
    </rPh>
    <phoneticPr fontId="4"/>
  </si>
  <si>
    <t>小分類</t>
    <rPh sb="0" eb="1">
      <t>ショウ</t>
    </rPh>
    <rPh sb="1" eb="3">
      <t>ブンルイ</t>
    </rPh>
    <phoneticPr fontId="5"/>
  </si>
  <si>
    <t>細分類</t>
    <rPh sb="0" eb="3">
      <t>サイブンルイ</t>
    </rPh>
    <phoneticPr fontId="5"/>
  </si>
  <si>
    <t>管理，補助的経済活動を行う事業所（01農業）</t>
  </si>
  <si>
    <t>耕種農業</t>
  </si>
  <si>
    <t>畜産農業</t>
  </si>
  <si>
    <t>農業サービス業（園芸サービス業を除く）</t>
  </si>
  <si>
    <t>管理，補助的経済活動を行う事業所（02林業）</t>
  </si>
  <si>
    <t>特用林産物生産業（きのこ類の栽培を除く）</t>
  </si>
  <si>
    <t>林業サービス業</t>
  </si>
  <si>
    <t>管理，補助的経済活動を行う事業所（03漁業）</t>
  </si>
  <si>
    <t>海面漁業</t>
  </si>
  <si>
    <t>管理，補助的経済活動を行う事業所（04水産養殖業）</t>
  </si>
  <si>
    <t>海面養殖業</t>
  </si>
  <si>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</si>
  <si>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</si>
  <si>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</si>
  <si>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</si>
  <si>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</si>
  <si>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</si>
  <si>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</si>
  <si>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管理，補助的経済活動を行う事業所（06総合工事業）</t>
  </si>
  <si>
    <t>土木工事業（舗装工事業を除く）</t>
  </si>
  <si>
    <t>管理，補助的経済活動を行う事業所（07職別工事業）</t>
  </si>
  <si>
    <t>大工工事業</t>
  </si>
  <si>
    <t>とび・土工・コンクリート工事業</t>
  </si>
  <si>
    <t>鉄骨・鉄筋工事業</t>
  </si>
  <si>
    <t>石工・れんが・タイル・ブロック工事業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</si>
  <si>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</si>
  <si>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</si>
  <si>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</si>
  <si>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</si>
  <si>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</si>
  <si>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</si>
  <si>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</si>
  <si>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</si>
  <si>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</si>
  <si>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</si>
  <si>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</si>
  <si>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</si>
  <si>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</si>
  <si>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</si>
  <si>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</si>
  <si>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</si>
  <si>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</si>
  <si>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</si>
  <si>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</si>
  <si>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</si>
  <si>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</si>
  <si>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酒類製造業</t>
  </si>
  <si>
    <t>茶・コーヒー製造業（清涼飲料を除く）</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</si>
  <si>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</si>
  <si>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</si>
  <si>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</si>
  <si>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</si>
  <si>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</si>
  <si>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</si>
  <si>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</si>
  <si>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</si>
  <si>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</si>
  <si>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</si>
  <si>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</si>
  <si>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</si>
  <si>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</si>
  <si>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</si>
  <si>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</si>
  <si>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</si>
  <si>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</si>
  <si>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</si>
  <si>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</si>
  <si>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その他の家具・装備品製造業</t>
  </si>
  <si>
    <t>管理，補助的経済活動を行う事業所（14パルプ・紙・紙加工品製造業）</t>
  </si>
  <si>
    <t>紙製造業</t>
  </si>
  <si>
    <t>加工紙製造業</t>
  </si>
  <si>
    <t>紙製品製造業</t>
  </si>
  <si>
    <t>紙製容器製造業</t>
  </si>
  <si>
    <t>管理，補助的経済活動を行う事業所（15印刷・同関連業）</t>
  </si>
  <si>
    <t>印刷業</t>
  </si>
  <si>
    <t>製本業，印刷物加工業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</si>
  <si>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</si>
  <si>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</si>
  <si>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</si>
  <si>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</si>
  <si>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</si>
  <si>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</si>
  <si>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</si>
  <si>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</si>
  <si>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</si>
  <si>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</si>
  <si>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</si>
  <si>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</si>
  <si>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</si>
  <si>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</si>
  <si>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</si>
  <si>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</si>
  <si>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</si>
  <si>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</si>
  <si>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</si>
  <si>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</si>
  <si>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</si>
  <si>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</si>
  <si>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袋物製造業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</si>
  <si>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</si>
  <si>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</si>
  <si>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</si>
  <si>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</si>
  <si>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</si>
  <si>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</si>
  <si>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</si>
  <si>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</si>
  <si>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</si>
  <si>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</si>
  <si>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</si>
  <si>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</si>
  <si>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製鋼を行わない鋼材製造業（表面処理鋼材を除く）</t>
  </si>
  <si>
    <t>表面処理鋼材製造業</t>
  </si>
  <si>
    <t>鉄素形材製造業</t>
  </si>
  <si>
    <t>その他の鉄鋼業</t>
  </si>
  <si>
    <t>管理，補助的経済活動を行う事業所（23非鉄金属製造業）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</si>
  <si>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</si>
  <si>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</si>
  <si>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</si>
  <si>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</si>
  <si>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</si>
  <si>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</si>
  <si>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</si>
  <si>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</si>
  <si>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</si>
  <si>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</si>
  <si>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</si>
  <si>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</si>
  <si>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</si>
  <si>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</si>
  <si>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</si>
  <si>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</si>
  <si>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</si>
  <si>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</si>
  <si>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</si>
  <si>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</si>
  <si>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</si>
  <si>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</si>
  <si>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</si>
  <si>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</si>
  <si>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</si>
  <si>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</si>
  <si>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</si>
  <si>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</si>
  <si>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</si>
  <si>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</si>
  <si>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</si>
  <si>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</si>
  <si>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</si>
  <si>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</si>
  <si>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</si>
  <si>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</si>
  <si>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</si>
  <si>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</si>
  <si>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</si>
  <si>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</si>
  <si>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</si>
  <si>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</si>
  <si>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</si>
  <si>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</si>
  <si>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</si>
  <si>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</si>
  <si>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</si>
  <si>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</si>
  <si>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</si>
  <si>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</si>
  <si>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</si>
  <si>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</si>
  <si>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</si>
  <si>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</si>
  <si>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</si>
  <si>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</si>
  <si>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</si>
  <si>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</si>
  <si>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</si>
  <si>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</si>
  <si>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楽器製造業</t>
  </si>
  <si>
    <t>がん具・運動用具製造業</t>
  </si>
  <si>
    <t>ペン・鉛筆・絵画用品・その他の事務用品製造業</t>
  </si>
  <si>
    <t>畳等生活雑貨製品製造業</t>
  </si>
  <si>
    <t>他に分類されない製造業</t>
  </si>
  <si>
    <t>管理，補助的経済活動を行う事業所（33電気業）</t>
  </si>
  <si>
    <t>管理，補助的経済活動を行う事業所（34ガス業）</t>
  </si>
  <si>
    <t>管理，補助的経済活動を行う事業所（35熱供給業）</t>
  </si>
  <si>
    <t>管理，補助的経済活動を行う事業所（36水道業）</t>
  </si>
  <si>
    <t>下水道業</t>
  </si>
  <si>
    <t>管理，補助的経済活動を行う事業所（37通信業）</t>
  </si>
  <si>
    <t>固定電気通信業</t>
  </si>
  <si>
    <t>管理，補助的経済活動を行う事業所（38放送業）</t>
  </si>
  <si>
    <t>民間放送業（有線放送業を除く）</t>
  </si>
  <si>
    <t>有線放送業</t>
  </si>
  <si>
    <t>管理，補助的経済活動を行う事業所（39情報サービス業）</t>
  </si>
  <si>
    <t>ソフトウェア業</t>
  </si>
  <si>
    <t>情報処理・提供サービス業</t>
  </si>
  <si>
    <t>管理，補助的経済活動を行う事業所（40インターネット附随サービス業）</t>
  </si>
  <si>
    <t>管理，補助的経済活動を行う事業所（41映像・音声・文字情報制作業）</t>
  </si>
  <si>
    <t>映像情報制作・配給業</t>
  </si>
  <si>
    <t>音声情報制作業</t>
  </si>
  <si>
    <t>映像・音声・文字情報制作に附帯するサービス業</t>
  </si>
  <si>
    <t>管理，補助的経済活動を行う事業所（42鉄道業）</t>
  </si>
  <si>
    <t>管理，補助的経済活動を行う事業所（43道路旅客運送業）</t>
  </si>
  <si>
    <t>その他の道路旅客運送業</t>
  </si>
  <si>
    <t>管理，補助的経済活動を行う事業所（44道路貨物運送業）</t>
  </si>
  <si>
    <t>一般貨物自動車運送業</t>
  </si>
  <si>
    <t>管理，補助的経済活動を行う事業所（45水運業）</t>
  </si>
  <si>
    <t>外航海運業</t>
  </si>
  <si>
    <t>沿海海運業</t>
  </si>
  <si>
    <t>内陸水運業</t>
  </si>
  <si>
    <t>船舶貸渡業</t>
  </si>
  <si>
    <t>管理，補助的経済活動を行う事業所（46航空運輸業）</t>
  </si>
  <si>
    <t>管理，補助的経済活動を行う事業所（47倉庫業）</t>
  </si>
  <si>
    <t>管理，補助的経済活動を行う事業所（48運輸に附帯するサービス業）</t>
  </si>
  <si>
    <t>貨物運送取扱業（集配利用運送業を除く）</t>
  </si>
  <si>
    <t>こん包業</t>
  </si>
  <si>
    <t>運輸施設提供業</t>
  </si>
  <si>
    <t>その他の運輸に附帯するサービス業</t>
  </si>
  <si>
    <t>管理，補助的経済活動を行う事業所（49郵便業）</t>
  </si>
  <si>
    <t>管理，補助的経済活動を行う事業所（50各種商品卸売業）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</si>
  <si>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</si>
  <si>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</si>
  <si>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</si>
  <si>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</si>
  <si>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</si>
  <si>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</si>
  <si>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</si>
  <si>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</si>
  <si>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</si>
  <si>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</si>
  <si>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</si>
  <si>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</si>
  <si>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</si>
  <si>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</si>
  <si>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</si>
  <si>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</si>
  <si>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</si>
  <si>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</si>
  <si>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</si>
  <si>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</si>
  <si>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</si>
  <si>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</si>
  <si>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</si>
  <si>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</si>
  <si>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</si>
  <si>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管理，補助的経済活動を行う事業所（57織物・衣服・身の回り品小売業）</t>
  </si>
  <si>
    <t>呉服・服地・寝具小売業</t>
  </si>
  <si>
    <t>婦人・子供服小売業</t>
  </si>
  <si>
    <t>靴・履物小売業</t>
  </si>
  <si>
    <t>その他の織物・衣服・身の回り品小売業</t>
  </si>
  <si>
    <t>管理，補助的経済活動を行う事業所（58飲食料品小売業）</t>
  </si>
  <si>
    <t>野菜・果実小売業</t>
  </si>
  <si>
    <t>食肉小売業</t>
  </si>
  <si>
    <t>菓子・パン小売業</t>
  </si>
  <si>
    <t>その他の飲食料品小売業</t>
  </si>
  <si>
    <t>管理，補助的経済活動を行う事業所（59機械器具小売業）</t>
  </si>
  <si>
    <t>自動車小売業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</si>
  <si>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</si>
  <si>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</si>
  <si>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</si>
  <si>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</si>
  <si>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</si>
  <si>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</si>
  <si>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</si>
  <si>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</si>
  <si>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</si>
  <si>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</si>
  <si>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</si>
  <si>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</si>
  <si>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</si>
  <si>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管理，補助的経済活動を行う事業所（62銀行業）</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</si>
  <si>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</si>
  <si>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</si>
  <si>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</si>
  <si>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</si>
  <si>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</si>
  <si>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</si>
  <si>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クレジットカード業，割賦金融業</t>
  </si>
  <si>
    <t>その他の非預金信用機関</t>
  </si>
  <si>
    <t>管理，補助的経済活動を行う事業所（65金融商品取引業，商品先物取引業）</t>
  </si>
  <si>
    <t>金融商品取引業</t>
  </si>
  <si>
    <t>商品先物取引業，商品投資顧問業</t>
  </si>
  <si>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</si>
  <si>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</si>
  <si>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</si>
  <si>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</si>
  <si>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</si>
  <si>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</si>
  <si>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</si>
  <si>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共済事業，少額短期保険業</t>
  </si>
  <si>
    <t>保険媒介代理業</t>
  </si>
  <si>
    <t>保険サービス業</t>
  </si>
  <si>
    <t>管理，補助的経済活動を行う事業所（68不動産取引業）</t>
  </si>
  <si>
    <t>建物売買業，土地売買業</t>
  </si>
  <si>
    <t>管理，補助的経済活動を行う事業所（69不動産賃貸業・管理業）</t>
  </si>
  <si>
    <t>不動産賃貸業（貸家業，貸間業を除く）</t>
  </si>
  <si>
    <t>貸家業，貸間業</t>
  </si>
  <si>
    <t>管理，補助的経済活動を行う事業所（70物品賃貸業）</t>
  </si>
  <si>
    <t>各種物品賃貸業</t>
  </si>
  <si>
    <t>産業用機械器具賃貸業</t>
  </si>
  <si>
    <t>事務用機械器具賃貸業</t>
  </si>
  <si>
    <t>その他の物品賃貸業</t>
  </si>
  <si>
    <t>管理，補助的経済活動を行う事業所（71学術・開発研究機関）</t>
  </si>
  <si>
    <t>自然科学研究所</t>
  </si>
  <si>
    <t>管理，補助的経済活動を行う事業所（72専門サービス業）</t>
  </si>
  <si>
    <t>法律事務所，特許事務所</t>
  </si>
  <si>
    <t>公証人役場，司法書士事務所，土地家屋調査士事務所</t>
  </si>
  <si>
    <t>公認会計士事務所，税理士事務所</t>
  </si>
  <si>
    <t>著述・芸術家業</t>
  </si>
  <si>
    <t>経営コンサルタント業，純粋持株会社</t>
  </si>
  <si>
    <t>その他の専門サービス業</t>
  </si>
  <si>
    <t>管理，補助的経済活動を行う事業所（73広告業）</t>
  </si>
  <si>
    <t>管理，補助的経済活動を行う事業所（74技術サービス業）</t>
  </si>
  <si>
    <t>土木建築サービス業</t>
  </si>
  <si>
    <t>商品・非破壊検査業</t>
  </si>
  <si>
    <t>計量証明業</t>
  </si>
  <si>
    <t>写真業</t>
  </si>
  <si>
    <t>管理，補助的経済活動を行う事業所（75宿泊業）</t>
  </si>
  <si>
    <t>その他の宿泊業</t>
  </si>
  <si>
    <t>管理，補助的経済活動を行う事業所（76飲食店）</t>
  </si>
  <si>
    <t>専門料理店</t>
  </si>
  <si>
    <t>その他の飲食店</t>
  </si>
  <si>
    <t>管理，補助的経済活動を行う事業所（77持ち帰り・配達飲食サービス業）</t>
  </si>
  <si>
    <t>管理，補助的経済活動を行う事業所（78洗濯・理容・美容・浴場業）</t>
  </si>
  <si>
    <t>洗濯業</t>
  </si>
  <si>
    <t>その他の洗濯・理容・美容・浴場業</t>
  </si>
  <si>
    <t>管理，補助的経済活動を行う事業所（79その他の生活関連サービス業）</t>
  </si>
  <si>
    <t>旅行業</t>
  </si>
  <si>
    <t>家事サービス業</t>
  </si>
  <si>
    <t>火葬・墓地管理業</t>
  </si>
  <si>
    <t>冠婚葬祭業</t>
  </si>
  <si>
    <t>他に分類されない生活関連サービス業</t>
  </si>
  <si>
    <t>管理，補助的経済活動を行う事業所（80娯楽業）</t>
  </si>
  <si>
    <t>興行場（別掲を除く），興行団</t>
  </si>
  <si>
    <t>競輪・競馬等の競走場，競技団</t>
  </si>
  <si>
    <t>スポーツ施設提供業</t>
  </si>
  <si>
    <t>公園，遊園地</t>
  </si>
  <si>
    <t>遊戯場</t>
  </si>
  <si>
    <t>その他の娯楽業</t>
  </si>
  <si>
    <t>管理，補助的経済活動を行う事業所（81学校教育）</t>
  </si>
  <si>
    <t>高等学校，中等教育学校</t>
  </si>
  <si>
    <t>高等教育機関</t>
  </si>
  <si>
    <t>専修学校，各種学校</t>
  </si>
  <si>
    <t>幼保連携型認定こども園</t>
  </si>
  <si>
    <t>管理，補助的経済活動を行う事業所（82その他の教育，学習支援業）</t>
  </si>
  <si>
    <t>社会教育</t>
  </si>
  <si>
    <t>職業・教育支援施設</t>
  </si>
  <si>
    <t>教養・技能教授業</t>
  </si>
  <si>
    <t>管理，補助的経済活動を行う事業所（83医療業）</t>
  </si>
  <si>
    <t>病院</t>
  </si>
  <si>
    <t>一般診療所</t>
  </si>
  <si>
    <t>助産・看護業</t>
  </si>
  <si>
    <t>療術業</t>
  </si>
  <si>
    <t>医療に附帯するサービス業</t>
  </si>
  <si>
    <t>管理，補助的経済活動を行う事業所（84保健衛生）</t>
  </si>
  <si>
    <t>健康相談施設</t>
  </si>
  <si>
    <t>その他の保健衛生</t>
  </si>
  <si>
    <t>管理，補助的経済活動を行う事業所（85社会保険・社会福祉・介護事業）</t>
  </si>
  <si>
    <t>児童福祉事業</t>
  </si>
  <si>
    <t>老人福祉・介護事業</t>
  </si>
  <si>
    <t>障害者福祉事業</t>
  </si>
  <si>
    <t>その他の社会保険・社会福祉・介護事業</t>
  </si>
  <si>
    <t>管理，補助的経済活動を行う事業所（86郵便局）</t>
  </si>
  <si>
    <t>郵便局受託業</t>
  </si>
  <si>
    <t>管理，補助的経済活動を行う事業所（87協同組合）</t>
  </si>
  <si>
    <t>農林水産業協同組合（他に分類されないもの）</t>
  </si>
  <si>
    <t>管理，補助的経済活動を行う事業所（88廃棄物処理業）</t>
  </si>
  <si>
    <t>一般廃棄物処理業</t>
  </si>
  <si>
    <t>産業廃棄物処理業</t>
  </si>
  <si>
    <t>その他の廃棄物処理業</t>
  </si>
  <si>
    <t>管理，補助的経済活動を行う事業所（89自動車整備業）</t>
  </si>
  <si>
    <t>管理，補助的経済活動を行う事業所（90機械等修理業）</t>
  </si>
  <si>
    <t>機械修理業（電気機械器具を除く）</t>
  </si>
  <si>
    <t>その他の修理業</t>
  </si>
  <si>
    <t>管理，補助的経済活動を行う事業所（91職業紹介・労働者派遣業）</t>
  </si>
  <si>
    <t>管理，補助的経済活動を行う事業所（92その他の事業サービス業）</t>
  </si>
  <si>
    <t>速記・ワープロ入力・複写業</t>
  </si>
  <si>
    <t>建物サービス業</t>
  </si>
  <si>
    <t>他に分類されない事業サービス業</t>
  </si>
  <si>
    <t>経済団体</t>
  </si>
  <si>
    <t>学術・文化団体</t>
  </si>
  <si>
    <t>神道系宗教</t>
  </si>
  <si>
    <t>仏教系宗教</t>
  </si>
  <si>
    <t>キリスト教系宗教</t>
  </si>
  <si>
    <t>その他の宗教</t>
  </si>
  <si>
    <t>管理，補助的経済活動を行う事業所（95その他のサービス業）</t>
  </si>
  <si>
    <t>010</t>
  </si>
  <si>
    <t>011</t>
  </si>
  <si>
    <t>012</t>
  </si>
  <si>
    <t>013</t>
  </si>
  <si>
    <t>014</t>
  </si>
  <si>
    <t>020</t>
  </si>
  <si>
    <t>021</t>
  </si>
  <si>
    <t>022</t>
  </si>
  <si>
    <t>023</t>
  </si>
  <si>
    <t>024</t>
  </si>
  <si>
    <t>029</t>
  </si>
  <si>
    <t>030</t>
  </si>
  <si>
    <t>031</t>
  </si>
  <si>
    <t>032</t>
  </si>
  <si>
    <t>040</t>
  </si>
  <si>
    <t>041</t>
  </si>
  <si>
    <t>042</t>
  </si>
  <si>
    <t>050</t>
  </si>
  <si>
    <t>051</t>
  </si>
  <si>
    <t>052</t>
  </si>
  <si>
    <t>053</t>
  </si>
  <si>
    <t>054</t>
  </si>
  <si>
    <t>055</t>
  </si>
  <si>
    <t>059</t>
  </si>
  <si>
    <t>060</t>
  </si>
  <si>
    <t>061</t>
  </si>
  <si>
    <t>062</t>
  </si>
  <si>
    <t>063</t>
  </si>
  <si>
    <t>064</t>
  </si>
  <si>
    <t>065</t>
  </si>
  <si>
    <t>066</t>
  </si>
  <si>
    <t>070</t>
  </si>
  <si>
    <t>071</t>
  </si>
  <si>
    <t>072</t>
  </si>
  <si>
    <t>073</t>
  </si>
  <si>
    <t>074</t>
  </si>
  <si>
    <t>075</t>
  </si>
  <si>
    <t>076</t>
  </si>
  <si>
    <t>077</t>
  </si>
  <si>
    <t>078</t>
  </si>
  <si>
    <t>079</t>
  </si>
  <si>
    <t>080</t>
  </si>
  <si>
    <t>081</t>
  </si>
  <si>
    <t>082</t>
  </si>
  <si>
    <t>083</t>
  </si>
  <si>
    <t>084</t>
  </si>
  <si>
    <t>089</t>
  </si>
  <si>
    <t>090</t>
  </si>
  <si>
    <t>091</t>
  </si>
  <si>
    <t>092</t>
  </si>
  <si>
    <t>093</t>
  </si>
  <si>
    <t>094</t>
  </si>
  <si>
    <t>095</t>
  </si>
  <si>
    <t>096</t>
  </si>
  <si>
    <t>097</t>
  </si>
  <si>
    <t>098</t>
  </si>
  <si>
    <t>099</t>
  </si>
  <si>
    <t>主たる業種（中分類）</t>
    <rPh sb="0" eb="1">
      <t>シュ</t>
    </rPh>
    <rPh sb="3" eb="5">
      <t>ギョウシュ</t>
    </rPh>
    <rPh sb="6" eb="9">
      <t>チュウブンルイ</t>
    </rPh>
    <phoneticPr fontId="1"/>
  </si>
  <si>
    <t>小分類</t>
    <rPh sb="0" eb="1">
      <t>ショウ</t>
    </rPh>
    <rPh sb="1" eb="3">
      <t>ブンルイ</t>
    </rPh>
    <phoneticPr fontId="1"/>
  </si>
  <si>
    <t>主たる業種（小分類）</t>
    <rPh sb="0" eb="1">
      <t>シュ</t>
    </rPh>
    <rPh sb="3" eb="5">
      <t>ギョウシュ</t>
    </rPh>
    <rPh sb="6" eb="7">
      <t>ショウ</t>
    </rPh>
    <rPh sb="7" eb="9">
      <t>ブンルイ</t>
    </rPh>
    <phoneticPr fontId="1"/>
  </si>
  <si>
    <t>100</t>
  </si>
  <si>
    <t>101</t>
  </si>
  <si>
    <t>102</t>
  </si>
  <si>
    <t>103</t>
  </si>
  <si>
    <t>104</t>
  </si>
  <si>
    <t>105</t>
  </si>
  <si>
    <t>106</t>
  </si>
  <si>
    <t>110</t>
  </si>
  <si>
    <t>111</t>
  </si>
  <si>
    <t>112</t>
  </si>
  <si>
    <t>113</t>
  </si>
  <si>
    <t>114</t>
  </si>
  <si>
    <t>115</t>
  </si>
  <si>
    <t>116</t>
  </si>
  <si>
    <t>117</t>
  </si>
  <si>
    <t>118</t>
  </si>
  <si>
    <t>119</t>
  </si>
  <si>
    <t>120</t>
  </si>
  <si>
    <t>121</t>
  </si>
  <si>
    <t>122</t>
  </si>
  <si>
    <t>123</t>
  </si>
  <si>
    <t>129</t>
  </si>
  <si>
    <t>130</t>
  </si>
  <si>
    <t>131</t>
  </si>
  <si>
    <t>132</t>
  </si>
  <si>
    <t>133</t>
  </si>
  <si>
    <t>139</t>
  </si>
  <si>
    <t>140</t>
  </si>
  <si>
    <t>141</t>
  </si>
  <si>
    <t>142</t>
  </si>
  <si>
    <t>143</t>
  </si>
  <si>
    <t>144</t>
  </si>
  <si>
    <t>145</t>
  </si>
  <si>
    <t>149</t>
  </si>
  <si>
    <t>150</t>
  </si>
  <si>
    <t>151</t>
  </si>
  <si>
    <t>152</t>
  </si>
  <si>
    <t>153</t>
  </si>
  <si>
    <t>159</t>
  </si>
  <si>
    <t>160</t>
  </si>
  <si>
    <t>161</t>
  </si>
  <si>
    <t>162</t>
  </si>
  <si>
    <t>163</t>
  </si>
  <si>
    <t>164</t>
  </si>
  <si>
    <t>165</t>
  </si>
  <si>
    <t>166</t>
  </si>
  <si>
    <t>169</t>
  </si>
  <si>
    <t>170</t>
  </si>
  <si>
    <t>171</t>
  </si>
  <si>
    <t>172</t>
  </si>
  <si>
    <t>173</t>
  </si>
  <si>
    <t>174</t>
  </si>
  <si>
    <t>179</t>
  </si>
  <si>
    <t>180</t>
  </si>
  <si>
    <t>181</t>
  </si>
  <si>
    <t>182</t>
  </si>
  <si>
    <t>183</t>
  </si>
  <si>
    <t>184</t>
  </si>
  <si>
    <t>185</t>
  </si>
  <si>
    <t>189</t>
  </si>
  <si>
    <t>190</t>
  </si>
  <si>
    <t>191</t>
  </si>
  <si>
    <t>192</t>
  </si>
  <si>
    <t>193</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</si>
  <si>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</si>
  <si>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</si>
  <si>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</si>
  <si>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</si>
  <si>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</si>
  <si>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</si>
  <si>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</si>
  <si>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</si>
  <si>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</si>
  <si>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</si>
  <si>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</si>
  <si>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</si>
  <si>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</si>
  <si>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</si>
  <si>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</si>
  <si>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</si>
  <si>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</si>
  <si>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</si>
  <si>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</si>
  <si>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</si>
  <si>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</si>
  <si>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</si>
  <si>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</si>
  <si>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</si>
  <si>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</si>
  <si>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</si>
  <si>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</si>
  <si>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229</t>
  </si>
  <si>
    <t>230</t>
  </si>
  <si>
    <t>231</t>
  </si>
  <si>
    <t>232</t>
  </si>
  <si>
    <t>233</t>
  </si>
  <si>
    <t>234</t>
  </si>
  <si>
    <t>235</t>
  </si>
  <si>
    <t>239</t>
  </si>
  <si>
    <t>240</t>
  </si>
  <si>
    <t>241</t>
  </si>
  <si>
    <t>242</t>
  </si>
  <si>
    <t>243</t>
  </si>
  <si>
    <t>244</t>
  </si>
  <si>
    <t>245</t>
  </si>
  <si>
    <t>246</t>
  </si>
  <si>
    <t>247</t>
  </si>
  <si>
    <t>248</t>
  </si>
  <si>
    <t>249</t>
  </si>
  <si>
    <t>250</t>
  </si>
  <si>
    <t>251</t>
  </si>
  <si>
    <t>252</t>
  </si>
  <si>
    <t>253</t>
  </si>
  <si>
    <t>259</t>
  </si>
  <si>
    <t>260</t>
  </si>
  <si>
    <t>261</t>
  </si>
  <si>
    <t>262</t>
  </si>
  <si>
    <t>263</t>
  </si>
  <si>
    <t>264</t>
  </si>
  <si>
    <t>265</t>
  </si>
  <si>
    <t>266</t>
  </si>
  <si>
    <t>267</t>
  </si>
  <si>
    <t>269</t>
  </si>
  <si>
    <t>270</t>
  </si>
  <si>
    <t>271</t>
  </si>
  <si>
    <t>272</t>
  </si>
  <si>
    <t>273</t>
  </si>
  <si>
    <t>274</t>
  </si>
  <si>
    <t>275</t>
  </si>
  <si>
    <t>276</t>
  </si>
  <si>
    <t>280</t>
  </si>
  <si>
    <t>281</t>
  </si>
  <si>
    <t>282</t>
  </si>
  <si>
    <t>283</t>
  </si>
  <si>
    <t>284</t>
  </si>
  <si>
    <t>285</t>
  </si>
  <si>
    <t>289</t>
  </si>
  <si>
    <t>290</t>
  </si>
  <si>
    <t>291</t>
  </si>
  <si>
    <t>292</t>
  </si>
  <si>
    <t>293</t>
  </si>
  <si>
    <t>294</t>
  </si>
  <si>
    <t>295</t>
  </si>
  <si>
    <t>296</t>
  </si>
  <si>
    <t>297</t>
  </si>
  <si>
    <t>299</t>
  </si>
  <si>
    <t>300</t>
  </si>
  <si>
    <t>301</t>
  </si>
  <si>
    <t>302</t>
  </si>
  <si>
    <t>303</t>
  </si>
  <si>
    <t>310</t>
  </si>
  <si>
    <t>311</t>
  </si>
  <si>
    <t>312</t>
  </si>
  <si>
    <t>313</t>
  </si>
  <si>
    <t>314</t>
  </si>
  <si>
    <t>315</t>
  </si>
  <si>
    <t>319</t>
  </si>
  <si>
    <t>320</t>
  </si>
  <si>
    <t>321</t>
  </si>
  <si>
    <t>322</t>
  </si>
  <si>
    <t>323</t>
  </si>
  <si>
    <t>324</t>
  </si>
  <si>
    <t>325</t>
  </si>
  <si>
    <t>326</t>
  </si>
  <si>
    <t>327</t>
  </si>
  <si>
    <t>328</t>
  </si>
  <si>
    <t>329</t>
  </si>
  <si>
    <t>330</t>
  </si>
  <si>
    <t>331</t>
  </si>
  <si>
    <t>340</t>
  </si>
  <si>
    <t>341</t>
  </si>
  <si>
    <t>350</t>
  </si>
  <si>
    <t>351</t>
  </si>
  <si>
    <t>360</t>
  </si>
  <si>
    <t>361</t>
  </si>
  <si>
    <t>362</t>
  </si>
  <si>
    <t>363</t>
  </si>
  <si>
    <t>370</t>
  </si>
  <si>
    <t>371</t>
  </si>
  <si>
    <t>372</t>
  </si>
  <si>
    <t>373</t>
  </si>
  <si>
    <t>380</t>
  </si>
  <si>
    <t>381</t>
  </si>
  <si>
    <t>382</t>
  </si>
  <si>
    <t>383</t>
  </si>
  <si>
    <t>390</t>
  </si>
  <si>
    <t>391</t>
  </si>
  <si>
    <t>392</t>
  </si>
  <si>
    <t>400</t>
  </si>
  <si>
    <t>401</t>
  </si>
  <si>
    <t>410</t>
  </si>
  <si>
    <t>411</t>
  </si>
  <si>
    <t>412</t>
  </si>
  <si>
    <t>413</t>
  </si>
  <si>
    <t>414</t>
  </si>
  <si>
    <t>415</t>
  </si>
  <si>
    <t>416</t>
  </si>
  <si>
    <t>420</t>
  </si>
  <si>
    <t>421</t>
  </si>
  <si>
    <t>430</t>
  </si>
  <si>
    <t>431</t>
  </si>
  <si>
    <t>432</t>
  </si>
  <si>
    <t>433</t>
  </si>
  <si>
    <t>439</t>
  </si>
  <si>
    <t>440</t>
  </si>
  <si>
    <t>441</t>
  </si>
  <si>
    <t>442</t>
  </si>
  <si>
    <t>443</t>
  </si>
  <si>
    <t>444</t>
  </si>
  <si>
    <t>449</t>
  </si>
  <si>
    <t>450</t>
  </si>
  <si>
    <t>451</t>
  </si>
  <si>
    <t>452</t>
  </si>
  <si>
    <t>453</t>
  </si>
  <si>
    <t>454</t>
  </si>
  <si>
    <t>460</t>
  </si>
  <si>
    <t>461</t>
  </si>
  <si>
    <t>462</t>
  </si>
  <si>
    <t>470</t>
  </si>
  <si>
    <t>471</t>
  </si>
  <si>
    <t>472</t>
  </si>
  <si>
    <t>480</t>
  </si>
  <si>
    <t>481</t>
  </si>
  <si>
    <t>482</t>
  </si>
  <si>
    <t>483</t>
  </si>
  <si>
    <t>484</t>
  </si>
  <si>
    <t>485</t>
  </si>
  <si>
    <t>489</t>
  </si>
  <si>
    <t>490</t>
  </si>
  <si>
    <t>491</t>
  </si>
  <si>
    <t>500</t>
  </si>
  <si>
    <t>501</t>
  </si>
  <si>
    <t>510</t>
  </si>
  <si>
    <t>511</t>
  </si>
  <si>
    <t>512</t>
  </si>
  <si>
    <t>513</t>
  </si>
  <si>
    <t>520</t>
  </si>
  <si>
    <t>521</t>
  </si>
  <si>
    <t>522</t>
  </si>
  <si>
    <t>530</t>
  </si>
  <si>
    <t>531</t>
  </si>
  <si>
    <t>532</t>
  </si>
  <si>
    <t>533</t>
  </si>
  <si>
    <t>534</t>
  </si>
  <si>
    <t>535</t>
  </si>
  <si>
    <t>536</t>
  </si>
  <si>
    <t>540</t>
  </si>
  <si>
    <t>541</t>
  </si>
  <si>
    <t>542</t>
  </si>
  <si>
    <t>543</t>
  </si>
  <si>
    <t>549</t>
  </si>
  <si>
    <t>550</t>
  </si>
  <si>
    <t>551</t>
  </si>
  <si>
    <t>552</t>
  </si>
  <si>
    <t>553</t>
  </si>
  <si>
    <t>559</t>
  </si>
  <si>
    <t>560</t>
  </si>
  <si>
    <t>561</t>
  </si>
  <si>
    <t>569</t>
  </si>
  <si>
    <t>570</t>
  </si>
  <si>
    <t>571</t>
  </si>
  <si>
    <t>572</t>
  </si>
  <si>
    <t>573</t>
  </si>
  <si>
    <t>574</t>
  </si>
  <si>
    <t>579</t>
  </si>
  <si>
    <t>580</t>
  </si>
  <si>
    <t>581</t>
  </si>
  <si>
    <t>582</t>
  </si>
  <si>
    <t>583</t>
  </si>
  <si>
    <t>584</t>
  </si>
  <si>
    <t>585</t>
  </si>
  <si>
    <t>586</t>
  </si>
  <si>
    <t>589</t>
  </si>
  <si>
    <t>590</t>
  </si>
  <si>
    <t>591</t>
  </si>
  <si>
    <t>592</t>
  </si>
  <si>
    <t>593</t>
  </si>
  <si>
    <t>600</t>
  </si>
  <si>
    <t>601</t>
  </si>
  <si>
    <t>602</t>
  </si>
  <si>
    <t>603</t>
  </si>
  <si>
    <t>604</t>
  </si>
  <si>
    <t>605</t>
  </si>
  <si>
    <t>606</t>
  </si>
  <si>
    <t>607</t>
  </si>
  <si>
    <t>608</t>
  </si>
  <si>
    <t>609</t>
  </si>
  <si>
    <t>610</t>
  </si>
  <si>
    <t>611</t>
  </si>
  <si>
    <t>612</t>
  </si>
  <si>
    <t>619</t>
  </si>
  <si>
    <t>620</t>
  </si>
  <si>
    <t>621</t>
  </si>
  <si>
    <t>622</t>
  </si>
  <si>
    <t>630</t>
  </si>
  <si>
    <t>631</t>
  </si>
  <si>
    <t>632</t>
  </si>
  <si>
    <t>640</t>
  </si>
  <si>
    <t>641</t>
  </si>
  <si>
    <t>642</t>
  </si>
  <si>
    <t>643</t>
  </si>
  <si>
    <t>649</t>
  </si>
  <si>
    <t>650</t>
  </si>
  <si>
    <t>651</t>
  </si>
  <si>
    <t>652</t>
  </si>
  <si>
    <t>660</t>
  </si>
  <si>
    <t>661</t>
  </si>
  <si>
    <t>662</t>
  </si>
  <si>
    <t>663</t>
  </si>
  <si>
    <t>670</t>
  </si>
  <si>
    <t>671</t>
  </si>
  <si>
    <t>672</t>
  </si>
  <si>
    <t>673</t>
  </si>
  <si>
    <t>674</t>
  </si>
  <si>
    <t>675</t>
  </si>
  <si>
    <t>680</t>
  </si>
  <si>
    <t>681</t>
  </si>
  <si>
    <t>682</t>
  </si>
  <si>
    <t>690</t>
  </si>
  <si>
    <t>691</t>
  </si>
  <si>
    <t>692</t>
  </si>
  <si>
    <t>693</t>
  </si>
  <si>
    <t>694</t>
  </si>
  <si>
    <t>700</t>
  </si>
  <si>
    <t>701</t>
  </si>
  <si>
    <t>702</t>
  </si>
  <si>
    <t>703</t>
  </si>
  <si>
    <t>704</t>
  </si>
  <si>
    <t>705</t>
  </si>
  <si>
    <t>709</t>
  </si>
  <si>
    <t>710</t>
  </si>
  <si>
    <t>711</t>
  </si>
  <si>
    <t>712</t>
  </si>
  <si>
    <t>720</t>
  </si>
  <si>
    <t>721</t>
  </si>
  <si>
    <t>722</t>
  </si>
  <si>
    <t>723</t>
  </si>
  <si>
    <t>724</t>
  </si>
  <si>
    <t>725</t>
  </si>
  <si>
    <t>726</t>
  </si>
  <si>
    <t>727</t>
  </si>
  <si>
    <t>728</t>
  </si>
  <si>
    <t>729</t>
  </si>
  <si>
    <t>730</t>
  </si>
  <si>
    <t>731</t>
  </si>
  <si>
    <t>740</t>
  </si>
  <si>
    <t>741</t>
  </si>
  <si>
    <t>742</t>
  </si>
  <si>
    <t>743</t>
  </si>
  <si>
    <t>744</t>
  </si>
  <si>
    <t>745</t>
  </si>
  <si>
    <t>746</t>
  </si>
  <si>
    <t>749</t>
  </si>
  <si>
    <t>750</t>
  </si>
  <si>
    <t>751</t>
  </si>
  <si>
    <t>752</t>
  </si>
  <si>
    <t>753</t>
  </si>
  <si>
    <t>759</t>
  </si>
  <si>
    <t>760</t>
  </si>
  <si>
    <t>761</t>
  </si>
  <si>
    <t>762</t>
  </si>
  <si>
    <t>763</t>
  </si>
  <si>
    <t>764</t>
  </si>
  <si>
    <t>765</t>
  </si>
  <si>
    <t>766</t>
  </si>
  <si>
    <t>767</t>
  </si>
  <si>
    <t>769</t>
  </si>
  <si>
    <t>770</t>
  </si>
  <si>
    <t>771</t>
  </si>
  <si>
    <t>772</t>
  </si>
  <si>
    <t>780</t>
  </si>
  <si>
    <t>781</t>
  </si>
  <si>
    <t>782</t>
  </si>
  <si>
    <t>783</t>
  </si>
  <si>
    <t>784</t>
  </si>
  <si>
    <t>785</t>
  </si>
  <si>
    <t>789</t>
  </si>
  <si>
    <t>790</t>
  </si>
  <si>
    <t>791</t>
  </si>
  <si>
    <t>792</t>
  </si>
  <si>
    <t>793</t>
  </si>
  <si>
    <t>794</t>
  </si>
  <si>
    <t>795</t>
  </si>
  <si>
    <t>796</t>
  </si>
  <si>
    <t>799</t>
  </si>
  <si>
    <t>800</t>
  </si>
  <si>
    <t>801</t>
  </si>
  <si>
    <t>802</t>
  </si>
  <si>
    <t>803</t>
  </si>
  <si>
    <t>804</t>
  </si>
  <si>
    <t>805</t>
  </si>
  <si>
    <t>806</t>
  </si>
  <si>
    <t>809</t>
  </si>
  <si>
    <t>810</t>
  </si>
  <si>
    <t>811</t>
  </si>
  <si>
    <t>812</t>
  </si>
  <si>
    <t>813</t>
  </si>
  <si>
    <t>814</t>
  </si>
  <si>
    <t>815</t>
  </si>
  <si>
    <t>816</t>
  </si>
  <si>
    <t>817</t>
  </si>
  <si>
    <t>818</t>
  </si>
  <si>
    <t>819</t>
  </si>
  <si>
    <t>820</t>
  </si>
  <si>
    <t>821</t>
  </si>
  <si>
    <t>822</t>
  </si>
  <si>
    <t>823</t>
  </si>
  <si>
    <t>824</t>
  </si>
  <si>
    <t>829</t>
  </si>
  <si>
    <t>830</t>
  </si>
  <si>
    <t>831</t>
  </si>
  <si>
    <t>832</t>
  </si>
  <si>
    <t>833</t>
  </si>
  <si>
    <t>834</t>
  </si>
  <si>
    <t>835</t>
  </si>
  <si>
    <t>836</t>
  </si>
  <si>
    <t>840</t>
  </si>
  <si>
    <t>841</t>
  </si>
  <si>
    <t>842</t>
  </si>
  <si>
    <t>849</t>
  </si>
  <si>
    <t>850</t>
  </si>
  <si>
    <t>851</t>
  </si>
  <si>
    <t>852</t>
  </si>
  <si>
    <t>853</t>
  </si>
  <si>
    <t>854</t>
  </si>
  <si>
    <t>855</t>
  </si>
  <si>
    <t>859</t>
  </si>
  <si>
    <t>860</t>
  </si>
  <si>
    <t>861</t>
  </si>
  <si>
    <t>862</t>
  </si>
  <si>
    <t>870</t>
  </si>
  <si>
    <t>871</t>
  </si>
  <si>
    <t>872</t>
  </si>
  <si>
    <t>880</t>
  </si>
  <si>
    <t>881</t>
  </si>
  <si>
    <t>882</t>
  </si>
  <si>
    <t>889</t>
  </si>
  <si>
    <t>890</t>
  </si>
  <si>
    <t>891</t>
  </si>
  <si>
    <t>900</t>
  </si>
  <si>
    <t>901</t>
  </si>
  <si>
    <t>902</t>
  </si>
  <si>
    <t>903</t>
  </si>
  <si>
    <t>909</t>
  </si>
  <si>
    <t>910</t>
  </si>
  <si>
    <t>911</t>
  </si>
  <si>
    <t>912</t>
  </si>
  <si>
    <t>920</t>
  </si>
  <si>
    <t>921</t>
  </si>
  <si>
    <t>922</t>
  </si>
  <si>
    <t>923</t>
  </si>
  <si>
    <t>929</t>
  </si>
  <si>
    <t>931</t>
  </si>
  <si>
    <t>932</t>
  </si>
  <si>
    <t>933</t>
  </si>
  <si>
    <t>934</t>
  </si>
  <si>
    <t>939</t>
  </si>
  <si>
    <t>941</t>
  </si>
  <si>
    <t>942</t>
  </si>
  <si>
    <t>943</t>
  </si>
  <si>
    <t>949</t>
  </si>
  <si>
    <t>950</t>
  </si>
  <si>
    <t>951</t>
  </si>
  <si>
    <t>952</t>
  </si>
  <si>
    <t>959</t>
  </si>
  <si>
    <t>961</t>
  </si>
  <si>
    <t>969</t>
  </si>
  <si>
    <t>971</t>
  </si>
  <si>
    <t>972</t>
  </si>
  <si>
    <t>973</t>
  </si>
  <si>
    <t>981</t>
  </si>
  <si>
    <t>982</t>
  </si>
  <si>
    <t>999</t>
  </si>
  <si>
    <t>エネルギー管理推進体制の整備</t>
  </si>
  <si>
    <t>エネルギー消費機器管理台帳の整備</t>
  </si>
  <si>
    <t>管理標準（管理マニュアル）の整備</t>
  </si>
  <si>
    <t>エネルギー使用量の把握</t>
  </si>
  <si>
    <t>省エネルギー教育の実施</t>
  </si>
  <si>
    <t>ボイラー、工業炉の空気比の把握・管理</t>
  </si>
  <si>
    <t>ボイラーの熱効率の把握・管理</t>
  </si>
  <si>
    <t>蒸気圧力・温度・供給量の管理</t>
  </si>
  <si>
    <t>使用しない蒸気配管の閉止</t>
  </si>
  <si>
    <t>蒸気配管の弁やフランジ等の保温・断熱強化</t>
  </si>
  <si>
    <t>廃熱回収の管理</t>
  </si>
  <si>
    <t>空調設定温度の管理</t>
  </si>
  <si>
    <t>設備運転時間の管理</t>
  </si>
  <si>
    <t>空調機器の保全管理</t>
  </si>
  <si>
    <t>熱源設備に組み込まれた燃焼機器の運転管理</t>
  </si>
  <si>
    <t>熱源設備の運転時間管理</t>
  </si>
  <si>
    <t>冷水出口温度の管理</t>
  </si>
  <si>
    <t>ポンプ、ファン、ブロワの吐出圧力、供給量の管理</t>
  </si>
  <si>
    <t>コンプレッサーの運転圧力の管理</t>
  </si>
  <si>
    <t>非稼働エリアへの圧縮空気供給管理</t>
  </si>
  <si>
    <t>コンプレッサー吸気温度の管理</t>
  </si>
  <si>
    <t>照明器具の点灯時間管理</t>
  </si>
  <si>
    <t>コジェネレーション運転効率の管理</t>
  </si>
  <si>
    <t>給湯器の運転方法管理</t>
  </si>
  <si>
    <t>事務所機器の待機電力管理</t>
  </si>
  <si>
    <t>日射エネルギーに起因する空調負荷の抑制</t>
  </si>
  <si>
    <t>車両の点検整備</t>
  </si>
  <si>
    <t>エコドライブ実践</t>
  </si>
  <si>
    <t>外部機関による省エネ診断</t>
  </si>
  <si>
    <t>生産性管理</t>
  </si>
  <si>
    <t>エネルギー使用量の見える化（前年度比較）</t>
  </si>
  <si>
    <t>エネルギー使用量の見える化（分計による課題発見）</t>
  </si>
  <si>
    <t>ボイラーの運転効率管理</t>
  </si>
  <si>
    <t>蒸気トラップの管理</t>
  </si>
  <si>
    <t>工業炉の断熱性能維持管理</t>
  </si>
  <si>
    <t>再熱除湿運転回避</t>
  </si>
  <si>
    <t>外気冷房</t>
  </si>
  <si>
    <t>熱源設備 冷却水温度の適正管理</t>
  </si>
  <si>
    <t>熱源設備 冷却水の水質管理</t>
  </si>
  <si>
    <t>冷温水ポンプの回転数制御、自動流量制御</t>
  </si>
  <si>
    <t>圧縮空気系統の保全管理</t>
  </si>
  <si>
    <t>ポンプ、給水系統の保全管理</t>
  </si>
  <si>
    <t>ファン、ブロワ、給気系統の保全管理</t>
  </si>
  <si>
    <t>変圧器の負荷率管理</t>
  </si>
  <si>
    <t>デマンド管理</t>
  </si>
  <si>
    <t>負荷平準化</t>
  </si>
  <si>
    <t>窓の断熱性向上</t>
  </si>
  <si>
    <t>壁面緑化</t>
  </si>
  <si>
    <t>再生可能エネルギーの導入</t>
  </si>
  <si>
    <t>商品や原料輸送時の省エネ</t>
  </si>
  <si>
    <t>燃費性能の良い車両の計画的導入</t>
  </si>
  <si>
    <t>エコドライブ教育実施</t>
  </si>
  <si>
    <t>実施状況
（基準年度）</t>
    <rPh sb="0" eb="2">
      <t>ジッシ</t>
    </rPh>
    <rPh sb="2" eb="4">
      <t>ジョウキョウ</t>
    </rPh>
    <rPh sb="6" eb="8">
      <t>キジュン</t>
    </rPh>
    <rPh sb="8" eb="9">
      <t>ネン</t>
    </rPh>
    <rPh sb="9" eb="10">
      <t>ド</t>
    </rPh>
    <phoneticPr fontId="1"/>
  </si>
  <si>
    <t>Eメールアドレス</t>
  </si>
  <si>
    <t>５の１　重点的に実施する取組の実施計画（基本対策）</t>
    <rPh sb="4" eb="7">
      <t>ジュウテンテキ</t>
    </rPh>
    <rPh sb="8" eb="10">
      <t>ジッシ</t>
    </rPh>
    <rPh sb="12" eb="14">
      <t>トリクミ</t>
    </rPh>
    <rPh sb="15" eb="17">
      <t>ジッシ</t>
    </rPh>
    <rPh sb="17" eb="19">
      <t>ケイカク</t>
    </rPh>
    <rPh sb="20" eb="22">
      <t>キホン</t>
    </rPh>
    <rPh sb="22" eb="24">
      <t>タイサク</t>
    </rPh>
    <phoneticPr fontId="4"/>
  </si>
  <si>
    <t>５の２　重点的に実施する取組の実施計画（選択対策）</t>
    <rPh sb="4" eb="7">
      <t>ジュウテンテキ</t>
    </rPh>
    <rPh sb="8" eb="10">
      <t>ジッシ</t>
    </rPh>
    <rPh sb="12" eb="14">
      <t>トリクミ</t>
    </rPh>
    <rPh sb="15" eb="17">
      <t>ジッシ</t>
    </rPh>
    <rPh sb="17" eb="19">
      <t>ケイカク</t>
    </rPh>
    <rPh sb="20" eb="22">
      <t>センタク</t>
    </rPh>
    <rPh sb="22" eb="24">
      <t>タイサク</t>
    </rPh>
    <phoneticPr fontId="4"/>
  </si>
  <si>
    <t>　下記の者を代理人と定め、仙台市地球温暖化対策等の推進に関する条例第10条及び第11条に基づく手続きに関する一切の権限を委任します。</t>
    <rPh sb="1" eb="3">
      <t>カキ</t>
    </rPh>
    <rPh sb="4" eb="5">
      <t>モノ</t>
    </rPh>
    <rPh sb="6" eb="9">
      <t>ダイリニン</t>
    </rPh>
    <rPh sb="10" eb="11">
      <t>サダ</t>
    </rPh>
    <rPh sb="13" eb="24">
      <t>センダイシチキュウオンダンカタイサクナド</t>
    </rPh>
    <rPh sb="25" eb="27">
      <t>スイシン</t>
    </rPh>
    <rPh sb="28" eb="29">
      <t>カン</t>
    </rPh>
    <rPh sb="31" eb="34">
      <t>ジョウレイダイ</t>
    </rPh>
    <rPh sb="36" eb="37">
      <t>ジョウ</t>
    </rPh>
    <rPh sb="37" eb="38">
      <t>オヨ</t>
    </rPh>
    <rPh sb="39" eb="40">
      <t>ダイ</t>
    </rPh>
    <rPh sb="42" eb="43">
      <t>ジョウ</t>
    </rPh>
    <rPh sb="44" eb="45">
      <t>モト</t>
    </rPh>
    <rPh sb="47" eb="49">
      <t>テツヅ</t>
    </rPh>
    <rPh sb="51" eb="52">
      <t>カン</t>
    </rPh>
    <rPh sb="54" eb="56">
      <t>イッサイ</t>
    </rPh>
    <rPh sb="57" eb="59">
      <t>ケンゲン</t>
    </rPh>
    <rPh sb="60" eb="62">
      <t>イニン</t>
    </rPh>
    <phoneticPr fontId="4"/>
  </si>
  <si>
    <t>所在地</t>
    <rPh sb="0" eb="3">
      <t>ショザイチ</t>
    </rPh>
    <phoneticPr fontId="4"/>
  </si>
  <si>
    <t>削減率</t>
    <rPh sb="0" eb="2">
      <t>サクゲン</t>
    </rPh>
    <rPh sb="2" eb="3">
      <t>リツ</t>
    </rPh>
    <phoneticPr fontId="4"/>
  </si>
  <si>
    <t>５の３　重点的に実施する取組の実施計画（その他の対策）</t>
    <rPh sb="4" eb="7">
      <t>ジュウテンテキ</t>
    </rPh>
    <rPh sb="8" eb="10">
      <t>ジッシ</t>
    </rPh>
    <rPh sb="12" eb="14">
      <t>トリクミ</t>
    </rPh>
    <rPh sb="15" eb="17">
      <t>ジッシ</t>
    </rPh>
    <rPh sb="17" eb="19">
      <t>ケイカク</t>
    </rPh>
    <rPh sb="22" eb="23">
      <t>タ</t>
    </rPh>
    <rPh sb="24" eb="26">
      <t>タイサク</t>
    </rPh>
    <phoneticPr fontId="4"/>
  </si>
  <si>
    <t>　仙台市地球温暖化対策等の推進に関する条例第10条第1項の規定により、別紙のとおり事業者温室効果ガス削減計画書を提出します。</t>
    <rPh sb="1" eb="12">
      <t>センダイシチキュウオンダンカタイサクナド</t>
    </rPh>
    <rPh sb="13" eb="15">
      <t>スイシン</t>
    </rPh>
    <rPh sb="16" eb="17">
      <t>カン</t>
    </rPh>
    <rPh sb="19" eb="22">
      <t>ジョウレイダイ</t>
    </rPh>
    <rPh sb="24" eb="25">
      <t>ジョウ</t>
    </rPh>
    <rPh sb="25" eb="26">
      <t>ダイ</t>
    </rPh>
    <rPh sb="27" eb="28">
      <t>コウ</t>
    </rPh>
    <rPh sb="35" eb="37">
      <t>ベッシ</t>
    </rPh>
    <rPh sb="41" eb="48">
      <t>ジギョウシャオンシツコウカ</t>
    </rPh>
    <rPh sb="50" eb="52">
      <t>サクゲン</t>
    </rPh>
    <rPh sb="52" eb="55">
      <t>ケイカクショ</t>
    </rPh>
    <phoneticPr fontId="4"/>
  </si>
  <si>
    <t>削減率</t>
    <rPh sb="0" eb="2">
      <t>サクゲン</t>
    </rPh>
    <rPh sb="2" eb="3">
      <t>リツ</t>
    </rPh>
    <phoneticPr fontId="1"/>
  </si>
  <si>
    <t>温室効果ガス
排出抑制の
ための基本方針</t>
    <phoneticPr fontId="4"/>
  </si>
  <si>
    <t>基準排出量</t>
    <rPh sb="0" eb="2">
      <t>キジュン</t>
    </rPh>
    <phoneticPr fontId="1"/>
  </si>
  <si>
    <t>目標排出量</t>
    <rPh sb="0" eb="2">
      <t>モクヒョウ</t>
    </rPh>
    <phoneticPr fontId="1"/>
  </si>
  <si>
    <t>基準原単位</t>
    <rPh sb="0" eb="2">
      <t>キジュン</t>
    </rPh>
    <phoneticPr fontId="1"/>
  </si>
  <si>
    <t>①原油換算エネルギー使用量が1,500kL以上の事業所
　　（条例第2条第5号イに該当する特定事業者）</t>
    <rPh sb="31" eb="33">
      <t>ジョウレイ</t>
    </rPh>
    <rPh sb="33" eb="34">
      <t>ダイ</t>
    </rPh>
    <rPh sb="35" eb="36">
      <t>ジョウ</t>
    </rPh>
    <rPh sb="36" eb="37">
      <t>ダイ</t>
    </rPh>
    <rPh sb="38" eb="39">
      <t>ゴウ</t>
    </rPh>
    <rPh sb="41" eb="43">
      <t>ガイトウ</t>
    </rPh>
    <rPh sb="45" eb="47">
      <t>トクテイ</t>
    </rPh>
    <rPh sb="47" eb="50">
      <t>ジギョウシャ</t>
    </rPh>
    <phoneticPr fontId="1"/>
  </si>
  <si>
    <t>③市内に100台以上の自動車を所有する運送事業者
　　（条例第2条第5号ハに該当する特定事業者）</t>
    <phoneticPr fontId="1"/>
  </si>
  <si>
    <t>④任意提出事業者
　　（条例第15条第1項に該当する一般事業者）</t>
    <rPh sb="1" eb="3">
      <t>ニンイ</t>
    </rPh>
    <rPh sb="3" eb="5">
      <t>テイシュツ</t>
    </rPh>
    <rPh sb="5" eb="8">
      <t>ジギョウシャ</t>
    </rPh>
    <rPh sb="26" eb="28">
      <t>イッパン</t>
    </rPh>
    <phoneticPr fontId="1"/>
  </si>
  <si>
    <t>月</t>
    <rPh sb="0" eb="1">
      <t>ガツ</t>
    </rPh>
    <phoneticPr fontId="1"/>
  </si>
  <si>
    <t>日</t>
    <rPh sb="0" eb="1">
      <t>ニチ</t>
    </rPh>
    <phoneticPr fontId="1"/>
  </si>
  <si>
    <t>該当要件</t>
    <rPh sb="0" eb="2">
      <t>ガイトウ</t>
    </rPh>
    <rPh sb="2" eb="4">
      <t>ヨウケン</t>
    </rPh>
    <phoneticPr fontId="1"/>
  </si>
  <si>
    <t>条例第２条第５号イ</t>
    <rPh sb="0" eb="2">
      <t>ジョウレイ</t>
    </rPh>
    <rPh sb="2" eb="3">
      <t>ダイ</t>
    </rPh>
    <rPh sb="4" eb="5">
      <t>ジョウ</t>
    </rPh>
    <rPh sb="5" eb="6">
      <t>ダイ</t>
    </rPh>
    <rPh sb="7" eb="8">
      <t>ゴウ</t>
    </rPh>
    <phoneticPr fontId="1"/>
  </si>
  <si>
    <t>条例第２条第５号ロ</t>
    <rPh sb="0" eb="2">
      <t>ジョウレイ</t>
    </rPh>
    <rPh sb="2" eb="3">
      <t>ダイ</t>
    </rPh>
    <rPh sb="4" eb="5">
      <t>ジョウ</t>
    </rPh>
    <rPh sb="5" eb="6">
      <t>ダイ</t>
    </rPh>
    <rPh sb="7" eb="8">
      <t>ゴウ</t>
    </rPh>
    <phoneticPr fontId="1"/>
  </si>
  <si>
    <t>条例第２条第５号ハ</t>
    <rPh sb="0" eb="2">
      <t>ジョウレイ</t>
    </rPh>
    <rPh sb="2" eb="3">
      <t>ダイ</t>
    </rPh>
    <rPh sb="4" eb="5">
      <t>ジョウ</t>
    </rPh>
    <rPh sb="5" eb="6">
      <t>ダイ</t>
    </rPh>
    <rPh sb="7" eb="8">
      <t>ゴウ</t>
    </rPh>
    <phoneticPr fontId="1"/>
  </si>
  <si>
    <t>①原油換算エネルギー使用量が1,500kL以上の事業所
　</t>
    <phoneticPr fontId="1"/>
  </si>
  <si>
    <t>②エネルギー起源CO2を除くいずれかの物質の温室効果ガス排出量が3,000トン以上の事業所</t>
    <phoneticPr fontId="1"/>
  </si>
  <si>
    <t>③市内に100台以上の自動車を所有する運送事業者</t>
    <phoneticPr fontId="1"/>
  </si>
  <si>
    <t>一般事業者</t>
    <rPh sb="0" eb="2">
      <t>イッパン</t>
    </rPh>
    <rPh sb="2" eb="5">
      <t>ジギョウシャ</t>
    </rPh>
    <phoneticPr fontId="1"/>
  </si>
  <si>
    <t>④任意提出事業者</t>
    <rPh sb="1" eb="3">
      <t>ニンイ</t>
    </rPh>
    <rPh sb="3" eb="5">
      <t>テイシュツ</t>
    </rPh>
    <rPh sb="5" eb="8">
      <t>ジギョウシャ</t>
    </rPh>
    <phoneticPr fontId="1"/>
  </si>
  <si>
    <t>条例第2条第5号イに該当する特定事業者</t>
    <rPh sb="0" eb="2">
      <t>ジョウレイ</t>
    </rPh>
    <rPh sb="2" eb="3">
      <t>ダイ</t>
    </rPh>
    <rPh sb="4" eb="5">
      <t>ジョウ</t>
    </rPh>
    <rPh sb="5" eb="6">
      <t>ダイ</t>
    </rPh>
    <rPh sb="7" eb="8">
      <t>ゴウ</t>
    </rPh>
    <rPh sb="10" eb="12">
      <t>ガイトウ</t>
    </rPh>
    <rPh sb="14" eb="16">
      <t>トクテイ</t>
    </rPh>
    <rPh sb="16" eb="19">
      <t>ジギョウシャ</t>
    </rPh>
    <phoneticPr fontId="1"/>
  </si>
  <si>
    <t>条例第15条第1項に該当する一般事業者</t>
    <rPh sb="14" eb="16">
      <t>イッパン</t>
    </rPh>
    <phoneticPr fontId="1"/>
  </si>
  <si>
    <t>事業者の該当要件</t>
    <rPh sb="0" eb="3">
      <t>ジギョウシャ</t>
    </rPh>
    <rPh sb="4" eb="6">
      <t>ガイトウ</t>
    </rPh>
    <rPh sb="6" eb="8">
      <t>ヨウケン</t>
    </rPh>
    <phoneticPr fontId="1"/>
  </si>
  <si>
    <t>条例第2条第5号ロに該当する特定事業者</t>
    <phoneticPr fontId="1"/>
  </si>
  <si>
    <t>条例第2条第5号ハに該当する特定事業者</t>
    <phoneticPr fontId="1"/>
  </si>
  <si>
    <t>その他の対策の
実施計画</t>
    <rPh sb="4" eb="6">
      <t>タイサク</t>
    </rPh>
    <phoneticPr fontId="4"/>
  </si>
  <si>
    <t>b</t>
    <phoneticPr fontId="1"/>
  </si>
  <si>
    <t>c</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</si>
  <si>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</si>
  <si>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</si>
  <si>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</si>
  <si>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</si>
  <si>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</si>
  <si>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</si>
  <si>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</si>
  <si>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</si>
  <si>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</si>
  <si>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</si>
  <si>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計画期間満了時</t>
    <rPh sb="0" eb="2">
      <t>ケイカク</t>
    </rPh>
    <rPh sb="2" eb="4">
      <t>キカン</t>
    </rPh>
    <rPh sb="4" eb="6">
      <t>マンリョウ</t>
    </rPh>
    <rPh sb="6" eb="7">
      <t>ジ</t>
    </rPh>
    <phoneticPr fontId="1"/>
  </si>
  <si>
    <t>事業者温室効果ガス削減計画書　提出書</t>
    <rPh sb="0" eb="3">
      <t>ジギョウシャ</t>
    </rPh>
    <rPh sb="3" eb="5">
      <t>オンシツ</t>
    </rPh>
    <rPh sb="5" eb="7">
      <t>コウカ</t>
    </rPh>
    <rPh sb="9" eb="11">
      <t>サクゲン</t>
    </rPh>
    <rPh sb="11" eb="13">
      <t>ケイカク</t>
    </rPh>
    <rPh sb="13" eb="14">
      <t>ショ</t>
    </rPh>
    <rPh sb="15" eb="17">
      <t>テイシュツ</t>
    </rPh>
    <rPh sb="17" eb="18">
      <t>ショ</t>
    </rPh>
    <phoneticPr fontId="1"/>
  </si>
  <si>
    <t>事業者温室効果ガス削減報告書　提出書</t>
    <rPh sb="0" eb="3">
      <t>ジギョウシャ</t>
    </rPh>
    <rPh sb="3" eb="5">
      <t>オンシツ</t>
    </rPh>
    <rPh sb="5" eb="7">
      <t>コウカ</t>
    </rPh>
    <rPh sb="9" eb="11">
      <t>サクゲン</t>
    </rPh>
    <rPh sb="11" eb="13">
      <t>ホウコク</t>
    </rPh>
    <rPh sb="13" eb="14">
      <t>ショ</t>
    </rPh>
    <rPh sb="15" eb="17">
      <t>テイシュツ</t>
    </rPh>
    <rPh sb="17" eb="18">
      <t>ショ</t>
    </rPh>
    <phoneticPr fontId="1"/>
  </si>
  <si>
    <t>　仙台市地球温暖化対策等の推進に関する条例第11条第1項の規定により、別紙のとおり事業者温室効果ガス削減報告書を提出します。</t>
    <rPh sb="1" eb="12">
      <t>センダイシチキュウオンダンカタイサクナド</t>
    </rPh>
    <rPh sb="13" eb="15">
      <t>スイシン</t>
    </rPh>
    <rPh sb="16" eb="17">
      <t>カン</t>
    </rPh>
    <rPh sb="19" eb="22">
      <t>ジョウレイダイ</t>
    </rPh>
    <rPh sb="24" eb="25">
      <t>ジョウ</t>
    </rPh>
    <rPh sb="25" eb="26">
      <t>ダイ</t>
    </rPh>
    <rPh sb="27" eb="28">
      <t>コウ</t>
    </rPh>
    <rPh sb="35" eb="37">
      <t>ベッシ</t>
    </rPh>
    <rPh sb="41" eb="48">
      <t>ジギョウシャオンシツコウカ</t>
    </rPh>
    <rPh sb="50" eb="52">
      <t>サクゲン</t>
    </rPh>
    <rPh sb="52" eb="55">
      <t>ホウコクショ</t>
    </rPh>
    <phoneticPr fontId="4"/>
  </si>
  <si>
    <t>②エネルギー起源CO2を除くいずれかの物質の温室効果ガス排出量が3,000トン以上の事業所（条例第2条第5号ロに該当する特定事業者）</t>
  </si>
  <si>
    <t>③市内に100台以上の自動車を所有する運送事業者
　　（条例第2条第5号ハに該当する特定事業者）</t>
  </si>
  <si>
    <t>連絡先</t>
    <phoneticPr fontId="4"/>
  </si>
  <si>
    <t>住所</t>
    <rPh sb="0" eb="2">
      <t>ジュウショ</t>
    </rPh>
    <phoneticPr fontId="4"/>
  </si>
  <si>
    <t>電話番号</t>
    <phoneticPr fontId="4"/>
  </si>
  <si>
    <t>ＦＡＸ番号</t>
    <phoneticPr fontId="4"/>
  </si>
  <si>
    <t>メールアドレス</t>
    <phoneticPr fontId="4"/>
  </si>
  <si>
    <t>主たる事業</t>
    <phoneticPr fontId="4"/>
  </si>
  <si>
    <t>２　温室効果ガスの排出状況等</t>
    <rPh sb="2" eb="4">
      <t>オンシツ</t>
    </rPh>
    <rPh sb="4" eb="6">
      <t>コウカ</t>
    </rPh>
    <rPh sb="13" eb="14">
      <t>ナド</t>
    </rPh>
    <phoneticPr fontId="4"/>
  </si>
  <si>
    <t>％</t>
    <phoneticPr fontId="1"/>
  </si>
  <si>
    <t>温室効果ガスの
排出状況</t>
    <rPh sb="0" eb="2">
      <t>オンシツ</t>
    </rPh>
    <rPh sb="2" eb="4">
      <t>コウカ</t>
    </rPh>
    <rPh sb="8" eb="10">
      <t>ハイシュツ</t>
    </rPh>
    <rPh sb="10" eb="12">
      <t>ジョウキョウ</t>
    </rPh>
    <phoneticPr fontId="1"/>
  </si>
  <si>
    <t>第１年度</t>
    <rPh sb="0" eb="1">
      <t>ダイ</t>
    </rPh>
    <rPh sb="2" eb="4">
      <t>ネンド</t>
    </rPh>
    <phoneticPr fontId="1"/>
  </si>
  <si>
    <t>排出量</t>
    <phoneticPr fontId="1"/>
  </si>
  <si>
    <t>排出原単位</t>
    <rPh sb="0" eb="2">
      <t>ハイシュツ</t>
    </rPh>
    <phoneticPr fontId="1"/>
  </si>
  <si>
    <t>排出量等の
増減理由</t>
    <phoneticPr fontId="1"/>
  </si>
  <si>
    <t>排出量等の
増減理由</t>
    <phoneticPr fontId="1"/>
  </si>
  <si>
    <t>第２年度</t>
    <rPh sb="0" eb="1">
      <t>ダイ</t>
    </rPh>
    <rPh sb="2" eb="4">
      <t>ネンド</t>
    </rPh>
    <phoneticPr fontId="1"/>
  </si>
  <si>
    <t>第３年度</t>
    <rPh sb="0" eb="1">
      <t>ダイ</t>
    </rPh>
    <rPh sb="2" eb="4">
      <t>ネンド</t>
    </rPh>
    <phoneticPr fontId="1"/>
  </si>
  <si>
    <t>基準年度</t>
    <rPh sb="0" eb="2">
      <t>キジュン</t>
    </rPh>
    <rPh sb="2" eb="4">
      <t>ネンド</t>
    </rPh>
    <phoneticPr fontId="1"/>
  </si>
  <si>
    <t>第１年度</t>
    <phoneticPr fontId="1"/>
  </si>
  <si>
    <t>実施状況の説明等</t>
    <rPh sb="0" eb="2">
      <t>ジッシ</t>
    </rPh>
    <rPh sb="2" eb="4">
      <t>ジョウキョウ</t>
    </rPh>
    <rPh sb="5" eb="7">
      <t>セツメイ</t>
    </rPh>
    <rPh sb="7" eb="8">
      <t>ナド</t>
    </rPh>
    <phoneticPr fontId="1"/>
  </si>
  <si>
    <t>第２年度</t>
  </si>
  <si>
    <t>第３年度</t>
  </si>
  <si>
    <t>実施状況</t>
    <rPh sb="0" eb="2">
      <t>ジッシ</t>
    </rPh>
    <rPh sb="2" eb="4">
      <t>ジョウキョウ</t>
    </rPh>
    <phoneticPr fontId="1"/>
  </si>
  <si>
    <t>その他の対策の
実施状況</t>
    <rPh sb="4" eb="6">
      <t>タイサク</t>
    </rPh>
    <rPh sb="8" eb="10">
      <t>ジッシ</t>
    </rPh>
    <rPh sb="10" eb="12">
      <t>ジョウキョウ</t>
    </rPh>
    <phoneticPr fontId="4"/>
  </si>
  <si>
    <t>評価点</t>
    <rPh sb="0" eb="2">
      <t>ヒョウカ</t>
    </rPh>
    <rPh sb="2" eb="3">
      <t>テン</t>
    </rPh>
    <phoneticPr fontId="1"/>
  </si>
  <si>
    <t>第1年度</t>
    <rPh sb="0" eb="1">
      <t>ダイ</t>
    </rPh>
    <rPh sb="2" eb="4">
      <t>ネンド</t>
    </rPh>
    <phoneticPr fontId="1"/>
  </si>
  <si>
    <t>第2年度</t>
    <rPh sb="0" eb="1">
      <t>ダイ</t>
    </rPh>
    <rPh sb="2" eb="4">
      <t>ネンド</t>
    </rPh>
    <phoneticPr fontId="1"/>
  </si>
  <si>
    <t>第3年度</t>
    <rPh sb="0" eb="1">
      <t>ダイ</t>
    </rPh>
    <rPh sb="2" eb="4">
      <t>ネンド</t>
    </rPh>
    <phoneticPr fontId="1"/>
  </si>
  <si>
    <t>平均</t>
    <rPh sb="0" eb="2">
      <t>ヘイキン</t>
    </rPh>
    <phoneticPr fontId="1"/>
  </si>
  <si>
    <t>目標削減率</t>
    <rPh sb="0" eb="2">
      <t>モクヒョウ</t>
    </rPh>
    <rPh sb="2" eb="4">
      <t>サクゲン</t>
    </rPh>
    <rPh sb="4" eb="5">
      <t>リツ</t>
    </rPh>
    <phoneticPr fontId="4"/>
  </si>
  <si>
    <t>排出量</t>
    <rPh sb="0" eb="2">
      <t>ハイシュツ</t>
    </rPh>
    <rPh sb="2" eb="3">
      <t>リョウ</t>
    </rPh>
    <phoneticPr fontId="1"/>
  </si>
  <si>
    <t>第１年度</t>
    <rPh sb="0" eb="1">
      <t>ダイ</t>
    </rPh>
    <rPh sb="2" eb="4">
      <t>ネンド</t>
    </rPh>
    <phoneticPr fontId="4"/>
  </si>
  <si>
    <t>排出量</t>
    <rPh sb="0" eb="2">
      <t>ハイシュツ</t>
    </rPh>
    <rPh sb="2" eb="3">
      <t>リョウ</t>
    </rPh>
    <phoneticPr fontId="4"/>
  </si>
  <si>
    <t>原単位</t>
    <rPh sb="0" eb="3">
      <t>ゲンタンイ</t>
    </rPh>
    <phoneticPr fontId="4"/>
  </si>
  <si>
    <t>原単位</t>
    <rPh sb="0" eb="3">
      <t>ゲンタンイ</t>
    </rPh>
    <phoneticPr fontId="1"/>
  </si>
  <si>
    <t>排出量等の
増減理由</t>
    <rPh sb="0" eb="2">
      <t>ハイシュツ</t>
    </rPh>
    <rPh sb="2" eb="4">
      <t>リョウナド</t>
    </rPh>
    <rPh sb="6" eb="8">
      <t>ゾウゲン</t>
    </rPh>
    <rPh sb="8" eb="10">
      <t>リユウ</t>
    </rPh>
    <phoneticPr fontId="4"/>
  </si>
  <si>
    <t>第２年度</t>
    <rPh sb="0" eb="1">
      <t>ダイ</t>
    </rPh>
    <rPh sb="2" eb="4">
      <t>ネンド</t>
    </rPh>
    <phoneticPr fontId="4"/>
  </si>
  <si>
    <t>第３年度</t>
    <rPh sb="0" eb="1">
      <t>ダイ</t>
    </rPh>
    <rPh sb="2" eb="4">
      <t>ネンド</t>
    </rPh>
    <phoneticPr fontId="4"/>
  </si>
  <si>
    <t>５の１　重点的に実施する取組の実施状況（基本対策）</t>
    <rPh sb="4" eb="7">
      <t>ジュウテンテキ</t>
    </rPh>
    <rPh sb="8" eb="10">
      <t>ジッシ</t>
    </rPh>
    <rPh sb="12" eb="14">
      <t>トリクミ</t>
    </rPh>
    <rPh sb="15" eb="17">
      <t>ジッシ</t>
    </rPh>
    <rPh sb="17" eb="19">
      <t>ジョウキョウ</t>
    </rPh>
    <rPh sb="20" eb="22">
      <t>キホン</t>
    </rPh>
    <rPh sb="22" eb="24">
      <t>タイサク</t>
    </rPh>
    <phoneticPr fontId="4"/>
  </si>
  <si>
    <t>基本対策の実施状況に関する説明・特記事項など</t>
    <rPh sb="0" eb="2">
      <t>キホン</t>
    </rPh>
    <rPh sb="2" eb="4">
      <t>タイサク</t>
    </rPh>
    <rPh sb="5" eb="9">
      <t>ジッシジョウキョウ</t>
    </rPh>
    <rPh sb="10" eb="11">
      <t>カン</t>
    </rPh>
    <rPh sb="13" eb="15">
      <t>セツメイ</t>
    </rPh>
    <rPh sb="16" eb="18">
      <t>トッキ</t>
    </rPh>
    <rPh sb="18" eb="20">
      <t>ジコウ</t>
    </rPh>
    <phoneticPr fontId="1"/>
  </si>
  <si>
    <t>５の２　重点的に実施する取組の実施状況（選択対策）</t>
    <rPh sb="4" eb="7">
      <t>ジュウテンテキ</t>
    </rPh>
    <rPh sb="8" eb="10">
      <t>ジッシ</t>
    </rPh>
    <rPh sb="12" eb="14">
      <t>トリクミ</t>
    </rPh>
    <rPh sb="15" eb="17">
      <t>ジッシ</t>
    </rPh>
    <rPh sb="17" eb="19">
      <t>ジョウキョウ</t>
    </rPh>
    <rPh sb="20" eb="22">
      <t>センタク</t>
    </rPh>
    <rPh sb="22" eb="24">
      <t>タイサク</t>
    </rPh>
    <phoneticPr fontId="4"/>
  </si>
  <si>
    <t>５の３　重点的に実施する取組の実施状況（その他の対策）</t>
    <rPh sb="4" eb="7">
      <t>ジュウテンテキ</t>
    </rPh>
    <rPh sb="8" eb="10">
      <t>ジッシ</t>
    </rPh>
    <rPh sb="12" eb="14">
      <t>トリクミ</t>
    </rPh>
    <rPh sb="15" eb="17">
      <t>ジッシ</t>
    </rPh>
    <rPh sb="17" eb="19">
      <t>ジョウキョウ</t>
    </rPh>
    <rPh sb="22" eb="23">
      <t>タ</t>
    </rPh>
    <rPh sb="24" eb="26">
      <t>タイサク</t>
    </rPh>
    <phoneticPr fontId="4"/>
  </si>
  <si>
    <t>GJ</t>
    <phoneticPr fontId="1"/>
  </si>
  <si>
    <t>報告書</t>
    <rPh sb="0" eb="3">
      <t>ホウコクショ</t>
    </rPh>
    <phoneticPr fontId="1"/>
  </si>
  <si>
    <t>提出対象年度</t>
    <rPh sb="0" eb="2">
      <t>テイシュツ</t>
    </rPh>
    <rPh sb="2" eb="4">
      <t>タイショウ</t>
    </rPh>
    <rPh sb="4" eb="6">
      <t>ネンド</t>
    </rPh>
    <phoneticPr fontId="1"/>
  </si>
  <si>
    <t>第</t>
    <rPh sb="0" eb="1">
      <t>ダイ</t>
    </rPh>
    <phoneticPr fontId="1"/>
  </si>
  <si>
    <t>年度</t>
    <rPh sb="0" eb="1">
      <t>ネン</t>
    </rPh>
    <rPh sb="1" eb="2">
      <t>ド</t>
    </rPh>
    <phoneticPr fontId="1"/>
  </si>
  <si>
    <t>提出年月日</t>
    <rPh sb="0" eb="2">
      <t>テイシュツ</t>
    </rPh>
    <rPh sb="2" eb="5">
      <t>ネンガッピ</t>
    </rPh>
    <phoneticPr fontId="1"/>
  </si>
  <si>
    <t>基本対策</t>
    <rPh sb="0" eb="2">
      <t>キホン</t>
    </rPh>
    <rPh sb="2" eb="4">
      <t>タイサク</t>
    </rPh>
    <phoneticPr fontId="1"/>
  </si>
  <si>
    <t>選択対策</t>
    <rPh sb="0" eb="2">
      <t>センタク</t>
    </rPh>
    <rPh sb="2" eb="4">
      <t>タイサク</t>
    </rPh>
    <phoneticPr fontId="1"/>
  </si>
  <si>
    <t>環境マネジメントシステムの導入</t>
  </si>
  <si>
    <t>従業員の自動車利用の抑制、公共交通機関の利用促進</t>
  </si>
  <si>
    <t>廃棄物削減対策の実施</t>
  </si>
  <si>
    <t>森林の保全・緑化の推進</t>
  </si>
  <si>
    <t>グリーン調達の実施</t>
  </si>
  <si>
    <t>カーボンオフセットの実施</t>
  </si>
  <si>
    <t>ヒートアイランド対策の実施</t>
  </si>
  <si>
    <t>計画期間以前の温室効果ガスの大幅な削減</t>
  </si>
  <si>
    <t>市が実施する環境関連事業への参画</t>
  </si>
  <si>
    <t>その他地球温暖化を防止する対策の実施</t>
  </si>
  <si>
    <t>目標年度</t>
    <rPh sb="0" eb="2">
      <t>モクヒョウ</t>
    </rPh>
    <rPh sb="2" eb="4">
      <t>ネンド</t>
    </rPh>
    <phoneticPr fontId="1"/>
  </si>
  <si>
    <t>定量項目</t>
    <rPh sb="0" eb="2">
      <t>テイリョウ</t>
    </rPh>
    <rPh sb="2" eb="4">
      <t>コウモク</t>
    </rPh>
    <phoneticPr fontId="1"/>
  </si>
  <si>
    <t>定性項目</t>
    <rPh sb="0" eb="4">
      <t>テイセイコウモク</t>
    </rPh>
    <phoneticPr fontId="1"/>
  </si>
  <si>
    <t>その他対策</t>
    <rPh sb="2" eb="5">
      <t>タタイサク</t>
    </rPh>
    <phoneticPr fontId="1"/>
  </si>
  <si>
    <t>配点（最大）</t>
    <rPh sb="0" eb="2">
      <t>ハイテン</t>
    </rPh>
    <rPh sb="3" eb="5">
      <t>サイダイ</t>
    </rPh>
    <phoneticPr fontId="1"/>
  </si>
  <si>
    <t>50
（うち、その他対策25）</t>
    <rPh sb="9" eb="10">
      <t>タ</t>
    </rPh>
    <rPh sb="10" eb="12">
      <t>タイサク</t>
    </rPh>
    <phoneticPr fontId="1"/>
  </si>
  <si>
    <t>評価項目</t>
    <rPh sb="0" eb="2">
      <t>ヒョウカ</t>
    </rPh>
    <rPh sb="2" eb="4">
      <t>コウモク</t>
    </rPh>
    <phoneticPr fontId="1"/>
  </si>
  <si>
    <t>評価</t>
    <rPh sb="0" eb="2">
      <t>ヒョウカ</t>
    </rPh>
    <phoneticPr fontId="1"/>
  </si>
  <si>
    <t>S</t>
    <phoneticPr fontId="1"/>
  </si>
  <si>
    <t>A</t>
    <phoneticPr fontId="1"/>
  </si>
  <si>
    <t>B</t>
    <phoneticPr fontId="1"/>
  </si>
  <si>
    <t>以上</t>
    <rPh sb="0" eb="2">
      <t>イジョウ</t>
    </rPh>
    <phoneticPr fontId="1"/>
  </si>
  <si>
    <t>未満</t>
    <rPh sb="0" eb="2">
      <t>ミマン</t>
    </rPh>
    <phoneticPr fontId="1"/>
  </si>
  <si>
    <t>（内訳）</t>
    <rPh sb="1" eb="3">
      <t>ウチワケ</t>
    </rPh>
    <phoneticPr fontId="1"/>
  </si>
  <si>
    <t>整理番号</t>
    <rPh sb="0" eb="2">
      <t>セイリ</t>
    </rPh>
    <rPh sb="2" eb="4">
      <t>バンゴウ</t>
    </rPh>
    <phoneticPr fontId="1"/>
  </si>
  <si>
    <t>番号</t>
    <rPh sb="0" eb="2">
      <t>バンゴウ</t>
    </rPh>
    <phoneticPr fontId="4"/>
  </si>
  <si>
    <t>対策内容</t>
    <rPh sb="0" eb="2">
      <t>タイサク</t>
    </rPh>
    <rPh sb="2" eb="4">
      <t>ナイヨウ</t>
    </rPh>
    <phoneticPr fontId="4"/>
  </si>
  <si>
    <t>実施年度</t>
    <rPh sb="0" eb="2">
      <t>ジッシ</t>
    </rPh>
    <rPh sb="2" eb="4">
      <t>ネンド</t>
    </rPh>
    <phoneticPr fontId="4"/>
  </si>
  <si>
    <t>参考２　計画期間内に実施を予定している削減対策（詳細）</t>
    <rPh sb="0" eb="2">
      <t>サンコウ</t>
    </rPh>
    <rPh sb="4" eb="6">
      <t>ケイカク</t>
    </rPh>
    <rPh sb="6" eb="8">
      <t>キカン</t>
    </rPh>
    <rPh sb="8" eb="9">
      <t>ナイ</t>
    </rPh>
    <rPh sb="10" eb="12">
      <t>ジッシ</t>
    </rPh>
    <rPh sb="13" eb="15">
      <t>ヨテイ</t>
    </rPh>
    <rPh sb="19" eb="21">
      <t>サクゲン</t>
    </rPh>
    <rPh sb="21" eb="23">
      <t>タイサク</t>
    </rPh>
    <rPh sb="24" eb="26">
      <t>ショウサイ</t>
    </rPh>
    <phoneticPr fontId="4"/>
  </si>
  <si>
    <t>参考１　これまで実施した削減対策の実績（詳細）</t>
    <rPh sb="0" eb="2">
      <t>サンコウ</t>
    </rPh>
    <rPh sb="8" eb="10">
      <t>ジッシ</t>
    </rPh>
    <rPh sb="12" eb="14">
      <t>サクゲン</t>
    </rPh>
    <rPh sb="14" eb="16">
      <t>タイサク</t>
    </rPh>
    <rPh sb="17" eb="19">
      <t>ジッセキ</t>
    </rPh>
    <rPh sb="20" eb="22">
      <t>ショウサイ</t>
    </rPh>
    <phoneticPr fontId="4"/>
  </si>
  <si>
    <t>参考１　計画期間内に実施した削減対策（詳細）</t>
    <rPh sb="0" eb="2">
      <t>サンコウ</t>
    </rPh>
    <rPh sb="4" eb="6">
      <t>ケイカク</t>
    </rPh>
    <rPh sb="6" eb="8">
      <t>キカン</t>
    </rPh>
    <rPh sb="8" eb="9">
      <t>ナイ</t>
    </rPh>
    <rPh sb="10" eb="12">
      <t>ジッシ</t>
    </rPh>
    <rPh sb="14" eb="16">
      <t>サクゲン</t>
    </rPh>
    <rPh sb="16" eb="18">
      <t>タイサク</t>
    </rPh>
    <rPh sb="19" eb="21">
      <t>ショウサイ</t>
    </rPh>
    <phoneticPr fontId="4"/>
  </si>
  <si>
    <t>実施予定
年度</t>
    <rPh sb="0" eb="2">
      <t>ジッシ</t>
    </rPh>
    <rPh sb="2" eb="4">
      <t>ヨテイ</t>
    </rPh>
    <rPh sb="5" eb="7">
      <t>ネンド</t>
    </rPh>
    <phoneticPr fontId="4"/>
  </si>
  <si>
    <t>実施済</t>
  </si>
  <si>
    <t>基本対策</t>
    <phoneticPr fontId="1"/>
  </si>
  <si>
    <t>合計</t>
    <phoneticPr fontId="1"/>
  </si>
  <si>
    <t>選択対策</t>
    <phoneticPr fontId="1"/>
  </si>
  <si>
    <t>その他の対策</t>
    <phoneticPr fontId="1"/>
  </si>
  <si>
    <t>項目欄行数</t>
    <rPh sb="0" eb="2">
      <t>コウモク</t>
    </rPh>
    <rPh sb="2" eb="3">
      <t>ラン</t>
    </rPh>
    <rPh sb="3" eb="4">
      <t>ギョウ</t>
    </rPh>
    <rPh sb="4" eb="5">
      <t>スウ</t>
    </rPh>
    <phoneticPr fontId="1"/>
  </si>
  <si>
    <t>項目数</t>
    <rPh sb="0" eb="3">
      <t>コウモクスウ</t>
    </rPh>
    <phoneticPr fontId="1"/>
  </si>
  <si>
    <t>項目空白欄</t>
    <rPh sb="0" eb="2">
      <t>コウモク</t>
    </rPh>
    <rPh sb="2" eb="5">
      <t>クウハクラン</t>
    </rPh>
    <phoneticPr fontId="1"/>
  </si>
  <si>
    <t>回答白欄</t>
    <rPh sb="0" eb="2">
      <t>カイトウ</t>
    </rPh>
    <rPh sb="2" eb="3">
      <t>シロ</t>
    </rPh>
    <rPh sb="3" eb="4">
      <t>ラン</t>
    </rPh>
    <phoneticPr fontId="1"/>
  </si>
  <si>
    <t>実施状況</t>
    <rPh sb="0" eb="2">
      <t>ジッシ</t>
    </rPh>
    <rPh sb="2" eb="4">
      <t>ジョウキョウ</t>
    </rPh>
    <phoneticPr fontId="1"/>
  </si>
  <si>
    <t>空欄</t>
    <rPh sb="0" eb="2">
      <t>クウラン</t>
    </rPh>
    <phoneticPr fontId="1"/>
  </si>
  <si>
    <t>第2年度</t>
    <phoneticPr fontId="1"/>
  </si>
  <si>
    <t>第3年度</t>
    <phoneticPr fontId="1"/>
  </si>
  <si>
    <t>項目エクセル</t>
    <rPh sb="0" eb="2">
      <t>コウモク</t>
    </rPh>
    <phoneticPr fontId="4"/>
  </si>
  <si>
    <t>元シート</t>
    <rPh sb="0" eb="1">
      <t>モト</t>
    </rPh>
    <phoneticPr fontId="1"/>
  </si>
  <si>
    <t>元セル</t>
    <rPh sb="0" eb="1">
      <t>モト</t>
    </rPh>
    <phoneticPr fontId="1"/>
  </si>
  <si>
    <t>転記先シート名</t>
    <rPh sb="0" eb="2">
      <t>テンキ</t>
    </rPh>
    <rPh sb="2" eb="3">
      <t>サキ</t>
    </rPh>
    <rPh sb="6" eb="7">
      <t>メイ</t>
    </rPh>
    <phoneticPr fontId="4"/>
  </si>
  <si>
    <t>セル</t>
  </si>
  <si>
    <t>値区分</t>
    <rPh sb="0" eb="1">
      <t>アタイ</t>
    </rPh>
    <rPh sb="1" eb="3">
      <t>クブン</t>
    </rPh>
    <phoneticPr fontId="1"/>
  </si>
  <si>
    <t>指定工場項目</t>
    <rPh sb="0" eb="2">
      <t>シテイ</t>
    </rPh>
    <rPh sb="2" eb="4">
      <t>コウジョウ</t>
    </rPh>
    <rPh sb="4" eb="6">
      <t>コウモク</t>
    </rPh>
    <phoneticPr fontId="1"/>
  </si>
  <si>
    <t>はじめに</t>
  </si>
  <si>
    <t>Shitei_Kojyo_No</t>
    <phoneticPr fontId="1"/>
  </si>
  <si>
    <t>Shitei_Kojyo_Address</t>
    <phoneticPr fontId="1"/>
  </si>
  <si>
    <t>Shitei_JigyoName</t>
    <phoneticPr fontId="1"/>
  </si>
  <si>
    <t>Shitei_SaibunruiNo</t>
    <phoneticPr fontId="1"/>
  </si>
  <si>
    <t>MenjyoNo</t>
    <phoneticPr fontId="1"/>
  </si>
  <si>
    <t>Group</t>
    <phoneticPr fontId="1"/>
  </si>
  <si>
    <t>Kansan_Tani</t>
    <phoneticPr fontId="1"/>
  </si>
  <si>
    <t>Hiru</t>
    <phoneticPr fontId="1"/>
  </si>
  <si>
    <t>E5</t>
  </si>
  <si>
    <t>原油のうちコンデンセート</t>
  </si>
  <si>
    <t>E6</t>
  </si>
  <si>
    <t>E7</t>
  </si>
  <si>
    <t>E8</t>
  </si>
  <si>
    <t>Baiden</t>
    <phoneticPr fontId="1"/>
  </si>
  <si>
    <t>E9</t>
  </si>
  <si>
    <t>Gaiyo</t>
    <phoneticPr fontId="1"/>
  </si>
  <si>
    <t>E10</t>
  </si>
  <si>
    <t>Kado</t>
    <phoneticPr fontId="1"/>
  </si>
  <si>
    <t>E11</t>
  </si>
  <si>
    <t>Shinsetsu</t>
    <phoneticPr fontId="1"/>
  </si>
  <si>
    <t>E12</t>
  </si>
  <si>
    <t>Setsubi2_Array</t>
    <phoneticPr fontId="1"/>
  </si>
  <si>
    <t>E13</t>
  </si>
  <si>
    <t>Shitei_08_Kbn</t>
    <phoneticPr fontId="1"/>
  </si>
  <si>
    <t>E14</t>
  </si>
  <si>
    <t>Settei</t>
    <phoneticPr fontId="1"/>
  </si>
  <si>
    <t>E15</t>
  </si>
  <si>
    <t>Shinchoku</t>
    <phoneticPr fontId="1"/>
  </si>
  <si>
    <t>E16</t>
  </si>
  <si>
    <t>Jisshi</t>
    <phoneticPr fontId="1"/>
  </si>
  <si>
    <t>E17</t>
  </si>
  <si>
    <t>E18</t>
  </si>
  <si>
    <t>E19</t>
  </si>
  <si>
    <t>E20</t>
  </si>
  <si>
    <t>E21</t>
  </si>
  <si>
    <t>E22</t>
  </si>
  <si>
    <t>E23</t>
  </si>
  <si>
    <t>E24</t>
  </si>
  <si>
    <t>E25</t>
  </si>
  <si>
    <t>E26</t>
  </si>
  <si>
    <t>E27</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</si>
  <si>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</si>
  <si>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</si>
  <si>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</si>
  <si>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</si>
  <si>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</si>
  <si>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</si>
  <si>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</si>
  <si>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</si>
  <si>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</si>
  <si>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</si>
  <si>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</si>
  <si>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</si>
  <si>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</si>
  <si>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</si>
  <si>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</si>
  <si>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</si>
  <si>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</si>
  <si>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</si>
  <si>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</si>
  <si>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</si>
  <si>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</si>
  <si>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</si>
  <si>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</si>
  <si>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E42</t>
  </si>
  <si>
    <t>E43</t>
  </si>
  <si>
    <t>E44</t>
  </si>
  <si>
    <t>E45</t>
  </si>
  <si>
    <t>F42</t>
  </si>
  <si>
    <t>F43</t>
  </si>
  <si>
    <t>F44</t>
  </si>
  <si>
    <t>F45</t>
  </si>
  <si>
    <t>L50</t>
  </si>
  <si>
    <t>L51</t>
  </si>
  <si>
    <t>L52</t>
  </si>
  <si>
    <t>M50</t>
  </si>
  <si>
    <t>M51</t>
  </si>
  <si>
    <t>M52</t>
  </si>
  <si>
    <t>N50</t>
  </si>
  <si>
    <t>N51</t>
  </si>
  <si>
    <t>N52</t>
  </si>
  <si>
    <t>D80</t>
  </si>
  <si>
    <t>D81</t>
  </si>
  <si>
    <t>L49</t>
  </si>
  <si>
    <t>M49</t>
  </si>
  <si>
    <t>N49</t>
  </si>
  <si>
    <t>M65</t>
  </si>
  <si>
    <t>M62</t>
  </si>
  <si>
    <t>基本対策</t>
    <rPh sb="0" eb="2">
      <t>キホン</t>
    </rPh>
    <rPh sb="2" eb="4">
      <t>タイサク</t>
    </rPh>
    <phoneticPr fontId="2"/>
  </si>
  <si>
    <t>エネルギー管理推進体制が整備されている。エネルギー管理推進体制の中で、エネルギー管理が推進されている。</t>
  </si>
  <si>
    <t>主要なエネルギー消費機器について管理台帳が整備されている。管理台帳が随時更新されている。</t>
  </si>
  <si>
    <t>主要なエネルギー消費機器について管理標準が整備されている。主要なエネルギー消費機器が管理標準に基づき運用され、必要な記録がある。管理標準が必要により更新されている。</t>
  </si>
  <si>
    <t>主要なエネルギー使用先のエネルギー使用量を、エネルギー種類別に計測している。計測結果が集計され、記録されている。</t>
  </si>
  <si>
    <t>省エネルギー、地球温暖化防止に関する研修、教育を定期的に実施し、実施記録を残している。</t>
  </si>
  <si>
    <t>燃焼設備の空気比が定期的に把握され、基準空気比の範囲内で管理されている。空気比管理の記録が残されている。</t>
  </si>
  <si>
    <t>ボイラーの熱効率が定期的に計算され記録されている。ボイラーの熱効率を高く維持する運用・管理がされている。</t>
  </si>
  <si>
    <t>事業所内で使用する蒸気の必要な圧力、供給量を把握している。ボイラーを必要な圧力、供給量が確保できるよう運用・管理している。</t>
  </si>
  <si>
    <t>事業所内の蒸気配管系統図を整備している。不要な蒸気を送らないように蒸気バルブを閉止している。</t>
  </si>
  <si>
    <t>蒸気配管、蒸気配管の弁やフランジ部分が保温されている。保温状態を定期的に確認している。</t>
  </si>
  <si>
    <t>事業所内に設置した工業炉やボイラーの排ガスから廃熱を回収して利用している。工業炉やボイラーの排ガスから廃熱を回収する等により、排ガス温度を下げている。</t>
  </si>
  <si>
    <t>空調設定温度が管理標準（管理マニュアル）で定められている。空調を使用している場所の温度が記録されている。</t>
  </si>
  <si>
    <t>設備の運転時間が管理標準（管理マニュアル）で定められている。設備の運転時間が管理標準（管理マニュアル）に基づき管理されている。</t>
  </si>
  <si>
    <t>空調機器、換気設備のフィルターを定期的に清掃・交換している。空調機器、換気設備のフィルターの清掃・交換記録がある。</t>
  </si>
  <si>
    <t>熱源設備、熱搬送設備の起動・停止時間が季節毎に設定されている。設定に基づき、熱源設備、熱搬送設備の起動・停止時間が適切に管理されている。</t>
  </si>
  <si>
    <t>ポンプ、ファン、ブロワの必要圧力、必要供給量が把握されている。必要圧力、必要供給量に合わせ制御（インバータ制御、台数制御等）している。</t>
  </si>
  <si>
    <t>圧縮空気配管系統図が整備されている。配管系統の圧力損失（圧縮空気供給側と需要側の圧力差）が最小となるように管理されている。</t>
  </si>
  <si>
    <t>主な稼働エリア毎に圧縮空気供給元弁が設置されている。非稼働エリアへの圧縮空気供給元弁が閉止されている。</t>
  </si>
  <si>
    <t>空冷式コンプレッサーの排気が、吸気温度に影響しない対策をしている。コンプレッサーの吸気温度が外気温度より高くならない対策をしている。</t>
  </si>
  <si>
    <t>コジェネレーション設備の発電効率、排熱回収効率の目標値を定めている。コジェネレーション設備の発電効率、排熱回収効率を計測・記録し、管理している。</t>
  </si>
  <si>
    <t>給湯器の運転時間、季節毎の設定温度がルール化されている。給湯器がルールに従って運転されている。</t>
  </si>
  <si>
    <t>PC、OA機器等の事務所機器が省エネモードに設定されており、長時間不使用の場合には電源を切ることがルール化されている。PC、OA機器等の事務所機器がルールに従って運転されている。</t>
  </si>
  <si>
    <t>庇、ブラインド、カーテン等を季節や日射量に合わせ調整することがルール化されている。庇、ブラインド、カーテン等がルールに従って調整されている。</t>
  </si>
  <si>
    <t>定期的に車両の点検整備を行い、その記録がある。必要により整備管理者が選任されている。</t>
  </si>
  <si>
    <t>車両を運転する可能性のある全ての担当者を対象としてエコドライブ教育を実施し、その記録がある。「エコドライブ実践状況チェックシート」を運用している。</t>
  </si>
  <si>
    <t>選択対策</t>
    <rPh sb="0" eb="2">
      <t>センタク</t>
    </rPh>
    <rPh sb="2" eb="4">
      <t>タイサク</t>
    </rPh>
    <phoneticPr fontId="2"/>
  </si>
  <si>
    <t>外部機関による省エネ診断を受診している。提案された対策の一部又は全部を実施している。</t>
  </si>
  <si>
    <t>生産歩留まり改善のための検討や、業務の生産性改善のための検討を継続して実施している。</t>
  </si>
  <si>
    <t>事業所のエネルギー使用量を計量し、グラフ化している。エネルギー使用量変化の理由を省エネ対策毎に分析し、対策効果の確認や更なる課題の発掘に活用している。</t>
  </si>
  <si>
    <t>事業所のエネルギー使用量を、設備別、エネルギー種類別に計量し、グラフ化しており、エネルギー使用量変化の理由を分析して、省エネ対策の検討や対策効果の確認に利用している。</t>
  </si>
  <si>
    <t>同一の蒸気配管系統に接続する複数のボイラーを台数制御運転するにあたり、高効率ボイラーに負荷を集約して運転している。ボイラー群のシステム効率を評価している。</t>
  </si>
  <si>
    <t>ボイラー補給水の水質をJIS水質基準（JISB8223:2006)等に準じて管理している。水質に合わせ、適切なブローを行っている。</t>
  </si>
  <si>
    <t>蒸気トラップを定期的に点検し、メンテナンスしている。</t>
  </si>
  <si>
    <t>工業炉の外壁温度を定期的に測定している。工業炉の外壁温度を目標値以下に保てるよう断熱材を補修・管理している。</t>
  </si>
  <si>
    <t>可能な場合は再熱除湿運転を行わない空調運転が行われている。</t>
  </si>
  <si>
    <t>可能な場合には、外気を取入れて冷房を行っている。</t>
  </si>
  <si>
    <t>冷却水温度を計測している。冷却水温度を適正な範囲に調整している。</t>
  </si>
  <si>
    <t>冷却水の水質を定期的に調査している。冷却水の水質を適正な範囲に調整している。</t>
  </si>
  <si>
    <t>空調の運転において、冷温水の行き・戻り温度差が適切になるように冷温水ポンプの流量制御を行っている。</t>
  </si>
  <si>
    <t>圧縮空気配管系統を構成する機器、配管の保全管理マニュアルが整備されている。管理マニュアルに基づき、漏れ・詰まり等の点検が実施されている。</t>
  </si>
  <si>
    <t>給水系統を構成する機器、配管の保全管理マニュアルが整備されている。管理マニュアルに基づき、漏れ・詰まりの点検・補修が実施されている。</t>
  </si>
  <si>
    <t>給気系統を構成する機器、配管等の保全管理マニュアルが整備されている。管理マニュアルに基づき、漏れ・詰まりの点検・補修が実施されている。</t>
  </si>
  <si>
    <t>事業者内にある全ての変圧器の負荷率が把握されている。省エネ対策の結果、負荷が減った変圧器を統合し負荷の小さな変圧器を停止している。</t>
  </si>
  <si>
    <t>事業所が消費する受電電力を連続的に監視している。受電電力が、目標値を超えないよう電力消費機器の運転管理をしている。</t>
  </si>
  <si>
    <t>購入電力の昼夜間負荷平準化運用管理を行っている。</t>
  </si>
  <si>
    <t>窓の断熱性能の向上（二重窓、複層ガラス、断熱フィルム等）対策を実施している。</t>
  </si>
  <si>
    <t>壁面緑化や屋上緑化を実施している。</t>
  </si>
  <si>
    <t>事業所内に太陽光発電、太陽熱利用システム、地中熱利用システム等の再生可能エネルギーが導入されている。</t>
  </si>
  <si>
    <t>商品や原料の搬出入を行う者（外部輸送事業者を含む）に対して、使用する車両をエコカーに更新するよう要請している。輸送時の省エネを考慮して発送・荷受けの日時を指示している。</t>
  </si>
  <si>
    <t>環境性能の優れた車両を計画的に導入している。</t>
  </si>
  <si>
    <t>エコドライブ推進担当者を設置している。車両を運転する全社員に対するエコドライブ教育を定期的に実施している。</t>
  </si>
  <si>
    <t>その他対策</t>
    <rPh sb="2" eb="3">
      <t>タ</t>
    </rPh>
    <rPh sb="3" eb="5">
      <t>タイサク</t>
    </rPh>
    <phoneticPr fontId="2"/>
  </si>
  <si>
    <t>SBTやRE100等の国際的な気候変動イニシアティブなど脱炭素経営への取組</t>
  </si>
  <si>
    <t>環境教育・学習の実施（従業員以外を対象にしたもの）</t>
  </si>
  <si>
    <t>燃焼機器の負荷が蒸発量や空調負荷に応じて調整されている。燃焼機器の空気比が負荷変更の範囲内で適切に調整されている。熱源機器のメンテナンス記録及び運転管理記録がある。</t>
  </si>
  <si>
    <t>d</t>
    <phoneticPr fontId="1"/>
  </si>
  <si>
    <t>ver.6</t>
    <phoneticPr fontId="1"/>
  </si>
  <si>
    <t>全選択項目</t>
    <rPh sb="0" eb="3">
      <t>ゼンセンタク</t>
    </rPh>
    <rPh sb="3" eb="5">
      <t>コウモク</t>
    </rPh>
    <phoneticPr fontId="1"/>
  </si>
  <si>
    <t>リスト候補</t>
    <rPh sb="3" eb="5">
      <t>コウホ</t>
    </rPh>
    <phoneticPr fontId="1"/>
  </si>
  <si>
    <t>第3年度選択項目</t>
    <rPh sb="0" eb="1">
      <t>ダイ</t>
    </rPh>
    <rPh sb="2" eb="4">
      <t>ネンド</t>
    </rPh>
    <rPh sb="4" eb="8">
      <t>センタクコウモク</t>
    </rPh>
    <phoneticPr fontId="1"/>
  </si>
  <si>
    <t>第2年度選択項目</t>
    <rPh sb="0" eb="1">
      <t>ダイ</t>
    </rPh>
    <rPh sb="2" eb="4">
      <t>ネンド</t>
    </rPh>
    <rPh sb="4" eb="8">
      <t>センタクコウモク</t>
    </rPh>
    <phoneticPr fontId="1"/>
  </si>
  <si>
    <t>第1年度選択項目</t>
    <rPh sb="0" eb="1">
      <t>ダイ</t>
    </rPh>
    <rPh sb="2" eb="4">
      <t>ネンド</t>
    </rPh>
    <rPh sb="4" eb="8">
      <t>センタクコウモク</t>
    </rPh>
    <phoneticPr fontId="1"/>
  </si>
  <si>
    <t>一部実施済</t>
  </si>
  <si>
    <t>未実施</t>
  </si>
  <si>
    <t>第１年度追加（選択対策）</t>
    <rPh sb="0" eb="1">
      <t>ダイ</t>
    </rPh>
    <rPh sb="2" eb="4">
      <t>ネンド</t>
    </rPh>
    <rPh sb="4" eb="6">
      <t>ツイカ</t>
    </rPh>
    <rPh sb="7" eb="9">
      <t>センタク</t>
    </rPh>
    <rPh sb="9" eb="11">
      <t>タイサク</t>
    </rPh>
    <phoneticPr fontId="1"/>
  </si>
  <si>
    <t>第１年度追加（その他の対策）</t>
    <rPh sb="0" eb="1">
      <t>ダイ</t>
    </rPh>
    <rPh sb="2" eb="4">
      <t>ネンド</t>
    </rPh>
    <rPh sb="4" eb="6">
      <t>ツイカ</t>
    </rPh>
    <rPh sb="9" eb="10">
      <t>タ</t>
    </rPh>
    <rPh sb="11" eb="13">
      <t>タイサク</t>
    </rPh>
    <phoneticPr fontId="1"/>
  </si>
  <si>
    <t>第２年度追加（選択対策）</t>
    <rPh sb="0" eb="1">
      <t>ダイ</t>
    </rPh>
    <rPh sb="2" eb="4">
      <t>ネンド</t>
    </rPh>
    <rPh sb="4" eb="6">
      <t>ツイカ</t>
    </rPh>
    <rPh sb="7" eb="9">
      <t>センタク</t>
    </rPh>
    <rPh sb="9" eb="11">
      <t>タイサク</t>
    </rPh>
    <phoneticPr fontId="1"/>
  </si>
  <si>
    <t>第２年度追加（その他の対策）</t>
    <rPh sb="0" eb="1">
      <t>ダイ</t>
    </rPh>
    <rPh sb="2" eb="4">
      <t>ネンド</t>
    </rPh>
    <rPh sb="4" eb="6">
      <t>ツイカ</t>
    </rPh>
    <rPh sb="9" eb="10">
      <t>タ</t>
    </rPh>
    <rPh sb="11" eb="13">
      <t>タイサク</t>
    </rPh>
    <phoneticPr fontId="1"/>
  </si>
  <si>
    <t>第３年度追加（選択対策）</t>
    <rPh sb="0" eb="1">
      <t>ダイ</t>
    </rPh>
    <rPh sb="2" eb="4">
      <t>ネンド</t>
    </rPh>
    <rPh sb="4" eb="6">
      <t>ツイカ</t>
    </rPh>
    <rPh sb="7" eb="9">
      <t>センタク</t>
    </rPh>
    <rPh sb="9" eb="11">
      <t>タイサク</t>
    </rPh>
    <phoneticPr fontId="1"/>
  </si>
  <si>
    <t>第３年度追加（その他の対策）</t>
    <rPh sb="0" eb="1">
      <t>ダイ</t>
    </rPh>
    <rPh sb="2" eb="4">
      <t>ネンド</t>
    </rPh>
    <rPh sb="4" eb="6">
      <t>ツイカ</t>
    </rPh>
    <rPh sb="9" eb="10">
      <t>タ</t>
    </rPh>
    <rPh sb="11" eb="13">
      <t>タイサク</t>
    </rPh>
    <phoneticPr fontId="1"/>
  </si>
  <si>
    <t>第2年度</t>
  </si>
  <si>
    <t>第3年度</t>
  </si>
  <si>
    <t>全その他項目</t>
    <rPh sb="0" eb="1">
      <t>ゼン</t>
    </rPh>
    <rPh sb="3" eb="4">
      <t>タ</t>
    </rPh>
    <rPh sb="4" eb="6">
      <t>コウモク</t>
    </rPh>
    <phoneticPr fontId="1"/>
  </si>
  <si>
    <t>第3年度その他項目</t>
    <rPh sb="0" eb="1">
      <t>ダイ</t>
    </rPh>
    <rPh sb="2" eb="4">
      <t>ネンド</t>
    </rPh>
    <rPh sb="6" eb="7">
      <t>タ</t>
    </rPh>
    <rPh sb="7" eb="9">
      <t>コウモク</t>
    </rPh>
    <phoneticPr fontId="1"/>
  </si>
  <si>
    <t>第2年度その他項目</t>
    <rPh sb="0" eb="1">
      <t>ダイ</t>
    </rPh>
    <rPh sb="2" eb="4">
      <t>ネンド</t>
    </rPh>
    <rPh sb="6" eb="7">
      <t>タ</t>
    </rPh>
    <rPh sb="7" eb="9">
      <t>コウモク</t>
    </rPh>
    <phoneticPr fontId="1"/>
  </si>
  <si>
    <t>第1年度その他項目</t>
    <rPh sb="0" eb="1">
      <t>ダイ</t>
    </rPh>
    <rPh sb="2" eb="4">
      <t>ネンド</t>
    </rPh>
    <rPh sb="6" eb="7">
      <t>タ</t>
    </rPh>
    <rPh sb="7" eb="9">
      <t>コウモク</t>
    </rPh>
    <phoneticPr fontId="1"/>
  </si>
  <si>
    <t>第1年度</t>
  </si>
  <si>
    <t>-</t>
  </si>
  <si>
    <t>第３年度状況</t>
  </si>
  <si>
    <t>項目数</t>
  </si>
  <si>
    <t>評価指標</t>
  </si>
  <si>
    <t>実施状況</t>
  </si>
  <si>
    <t>非該当</t>
  </si>
  <si>
    <t>合計</t>
  </si>
  <si>
    <t>平均</t>
  </si>
  <si>
    <t>最終年度</t>
  </si>
  <si>
    <t>状況</t>
  </si>
  <si>
    <t>評価点</t>
  </si>
  <si>
    <t>最終年度
評価点</t>
  </si>
  <si>
    <t>提出年月日1</t>
    <rPh sb="0" eb="2">
      <t>テイシュツ</t>
    </rPh>
    <rPh sb="2" eb="5">
      <t>ネンガッピ</t>
    </rPh>
    <phoneticPr fontId="23"/>
  </si>
  <si>
    <t>提出年月日2</t>
    <rPh sb="0" eb="2">
      <t>テイシュツ</t>
    </rPh>
    <rPh sb="2" eb="5">
      <t>ネンガッピ</t>
    </rPh>
    <phoneticPr fontId="23"/>
  </si>
  <si>
    <t>G5</t>
  </si>
  <si>
    <t>提出年月日3</t>
    <rPh sb="0" eb="2">
      <t>テイシュツ</t>
    </rPh>
    <rPh sb="2" eb="5">
      <t>ネンガッピ</t>
    </rPh>
    <phoneticPr fontId="23"/>
  </si>
  <si>
    <t>I5</t>
  </si>
  <si>
    <t>郵便番号1</t>
    <rPh sb="0" eb="4">
      <t>ユウビンバンゴウ</t>
    </rPh>
    <phoneticPr fontId="2"/>
  </si>
  <si>
    <t>郵便番号2</t>
    <rPh sb="0" eb="4">
      <t>ユウビンバンゴウ</t>
    </rPh>
    <phoneticPr fontId="2"/>
  </si>
  <si>
    <t>H15</t>
  </si>
  <si>
    <t>産業分類番号1</t>
  </si>
  <si>
    <t>産業分類番号2</t>
  </si>
  <si>
    <t>産業分類番号3</t>
  </si>
  <si>
    <t>G17</t>
  </si>
  <si>
    <t>産業分類番号4</t>
  </si>
  <si>
    <t>H17</t>
  </si>
  <si>
    <t>郵便番号3</t>
    <rPh sb="0" eb="4">
      <t>ユウビンバンゴウ</t>
    </rPh>
    <phoneticPr fontId="2"/>
  </si>
  <si>
    <t>郵便番号4</t>
    <rPh sb="0" eb="4">
      <t>ユウビンバンゴウ</t>
    </rPh>
    <phoneticPr fontId="2"/>
  </si>
  <si>
    <t>H22</t>
  </si>
  <si>
    <t>２．基本方針</t>
    <rPh sb="2" eb="4">
      <t>キホン</t>
    </rPh>
    <rPh sb="4" eb="6">
      <t>ホウシン</t>
    </rPh>
    <phoneticPr fontId="2"/>
  </si>
  <si>
    <t>計画書①（事業所概要・目標）</t>
  </si>
  <si>
    <t>A13</t>
  </si>
  <si>
    <t>３．組織体制</t>
    <rPh sb="2" eb="6">
      <t>ソシキタイセイ</t>
    </rPh>
    <phoneticPr fontId="2"/>
  </si>
  <si>
    <t>A16</t>
  </si>
  <si>
    <t>４．目標排出量</t>
    <rPh sb="2" eb="4">
      <t>モクヒョウ</t>
    </rPh>
    <rPh sb="4" eb="7">
      <t>ハイシュツリョウ</t>
    </rPh>
    <phoneticPr fontId="2"/>
  </si>
  <si>
    <t>H25</t>
  </si>
  <si>
    <t>４．目標原単位</t>
    <rPh sb="2" eb="4">
      <t>モクヒョウ</t>
    </rPh>
    <rPh sb="4" eb="7">
      <t>ゲンタンイ</t>
    </rPh>
    <phoneticPr fontId="2"/>
  </si>
  <si>
    <t>M25</t>
  </si>
  <si>
    <t>４．目標設置の考え方</t>
    <rPh sb="2" eb="4">
      <t>モクヒョウ</t>
    </rPh>
    <rPh sb="4" eb="6">
      <t>セッチ</t>
    </rPh>
    <rPh sb="7" eb="8">
      <t>カンガ</t>
    </rPh>
    <rPh sb="9" eb="10">
      <t>カタ</t>
    </rPh>
    <phoneticPr fontId="2"/>
  </si>
  <si>
    <t>５の１（基本対策）状況1</t>
    <rPh sb="9" eb="11">
      <t>ジョウキョウ</t>
    </rPh>
    <phoneticPr fontId="2"/>
  </si>
  <si>
    <t>計画書② (取組）</t>
  </si>
  <si>
    <t>５の１（基本対策）状況2</t>
    <rPh sb="9" eb="11">
      <t>ジョウキョウ</t>
    </rPh>
    <phoneticPr fontId="2"/>
  </si>
  <si>
    <t>５の１（基本対策）状況3</t>
    <rPh sb="9" eb="11">
      <t>ジョウキョウ</t>
    </rPh>
    <phoneticPr fontId="2"/>
  </si>
  <si>
    <t>５の１（基本対策）状況4</t>
    <rPh sb="9" eb="11">
      <t>ジョウキョウ</t>
    </rPh>
    <phoneticPr fontId="2"/>
  </si>
  <si>
    <t>５の１（基本対策）状況5</t>
    <rPh sb="9" eb="11">
      <t>ジョウキョウ</t>
    </rPh>
    <phoneticPr fontId="2"/>
  </si>
  <si>
    <t>５の１（基本対策）状況6</t>
    <rPh sb="9" eb="11">
      <t>ジョウキョウ</t>
    </rPh>
    <phoneticPr fontId="2"/>
  </si>
  <si>
    <t>５の１（基本対策）状況7</t>
    <rPh sb="9" eb="11">
      <t>ジョウキョウ</t>
    </rPh>
    <phoneticPr fontId="2"/>
  </si>
  <si>
    <t>５の１（基本対策）状況8</t>
    <rPh sb="9" eb="11">
      <t>ジョウキョウ</t>
    </rPh>
    <phoneticPr fontId="2"/>
  </si>
  <si>
    <t>５の１（基本対策）状況9</t>
    <rPh sb="9" eb="11">
      <t>ジョウキョウ</t>
    </rPh>
    <phoneticPr fontId="2"/>
  </si>
  <si>
    <t>５の１（基本対策）状況10</t>
    <rPh sb="9" eb="11">
      <t>ジョウキョウ</t>
    </rPh>
    <phoneticPr fontId="2"/>
  </si>
  <si>
    <t>５の１（基本対策）状況11</t>
    <rPh sb="9" eb="11">
      <t>ジョウキョウ</t>
    </rPh>
    <phoneticPr fontId="2"/>
  </si>
  <si>
    <t>５の１（基本対策）状況12</t>
    <rPh sb="9" eb="11">
      <t>ジョウキョウ</t>
    </rPh>
    <phoneticPr fontId="2"/>
  </si>
  <si>
    <t>５の１（基本対策）状況13</t>
    <rPh sb="9" eb="11">
      <t>ジョウキョウ</t>
    </rPh>
    <phoneticPr fontId="2"/>
  </si>
  <si>
    <t>５の１（基本対策）状況14</t>
    <rPh sb="9" eb="11">
      <t>ジョウキョウ</t>
    </rPh>
    <phoneticPr fontId="2"/>
  </si>
  <si>
    <t>５の１（基本対策）状況15</t>
    <rPh sb="9" eb="11">
      <t>ジョウキョウ</t>
    </rPh>
    <phoneticPr fontId="2"/>
  </si>
  <si>
    <t>５の１（基本対策）状況16</t>
    <rPh sb="9" eb="11">
      <t>ジョウキョウ</t>
    </rPh>
    <phoneticPr fontId="2"/>
  </si>
  <si>
    <t>５の１（基本対策）状況17</t>
    <rPh sb="9" eb="11">
      <t>ジョウキョウ</t>
    </rPh>
    <phoneticPr fontId="2"/>
  </si>
  <si>
    <t>５の１（基本対策）状況18</t>
    <rPh sb="9" eb="11">
      <t>ジョウキョウ</t>
    </rPh>
    <phoneticPr fontId="2"/>
  </si>
  <si>
    <t>５の１（基本対策）状況19</t>
    <rPh sb="9" eb="11">
      <t>ジョウキョウ</t>
    </rPh>
    <phoneticPr fontId="2"/>
  </si>
  <si>
    <t>５の１（基本対策）状況20</t>
    <rPh sb="9" eb="11">
      <t>ジョウキョウ</t>
    </rPh>
    <phoneticPr fontId="2"/>
  </si>
  <si>
    <t>５の１（基本対策）状況21</t>
    <rPh sb="9" eb="11">
      <t>ジョウキョウ</t>
    </rPh>
    <phoneticPr fontId="2"/>
  </si>
  <si>
    <t>５の１（基本対策）状況22</t>
    <rPh sb="9" eb="11">
      <t>ジョウキョウ</t>
    </rPh>
    <phoneticPr fontId="2"/>
  </si>
  <si>
    <t>５の１（基本対策）状況23</t>
    <rPh sb="9" eb="11">
      <t>ジョウキョウ</t>
    </rPh>
    <phoneticPr fontId="2"/>
  </si>
  <si>
    <t>５の１（基本対策）状況24</t>
    <rPh sb="9" eb="11">
      <t>ジョウキョウ</t>
    </rPh>
    <phoneticPr fontId="2"/>
  </si>
  <si>
    <t>E28</t>
  </si>
  <si>
    <t>５の１（基本対策）状況25</t>
    <rPh sb="9" eb="11">
      <t>ジョウキョウ</t>
    </rPh>
    <phoneticPr fontId="2"/>
  </si>
  <si>
    <t>E29</t>
  </si>
  <si>
    <t>５の１（基本対策）状況26</t>
    <rPh sb="9" eb="11">
      <t>ジョウキョウ</t>
    </rPh>
    <phoneticPr fontId="2"/>
  </si>
  <si>
    <t>E30</t>
  </si>
  <si>
    <t>５の１（基本対策）状況27</t>
    <rPh sb="9" eb="11">
      <t>ジョウキョウ</t>
    </rPh>
    <phoneticPr fontId="2"/>
  </si>
  <si>
    <t>E31</t>
  </si>
  <si>
    <t>５の１（基本対策）状況28</t>
    <rPh sb="9" eb="11">
      <t>ジョウキョウ</t>
    </rPh>
    <phoneticPr fontId="2"/>
  </si>
  <si>
    <t>E32</t>
  </si>
  <si>
    <t>５の１（基本対策）状況29</t>
    <rPh sb="9" eb="11">
      <t>ジョウキョウ</t>
    </rPh>
    <phoneticPr fontId="2"/>
  </si>
  <si>
    <t>E33</t>
  </si>
  <si>
    <t>５の１（基本対策）状況30</t>
    <rPh sb="9" eb="11">
      <t>ジョウキョウ</t>
    </rPh>
    <phoneticPr fontId="2"/>
  </si>
  <si>
    <t>E34</t>
  </si>
  <si>
    <t>５の１（基本対策）予定1</t>
    <rPh sb="9" eb="11">
      <t>ヨテイ</t>
    </rPh>
    <phoneticPr fontId="2"/>
  </si>
  <si>
    <t>５の１（基本対策）予定2</t>
    <rPh sb="9" eb="11">
      <t>ヨテイ</t>
    </rPh>
    <phoneticPr fontId="2"/>
  </si>
  <si>
    <t>５の１（基本対策）予定3</t>
    <rPh sb="9" eb="11">
      <t>ヨテイ</t>
    </rPh>
    <phoneticPr fontId="2"/>
  </si>
  <si>
    <t>５の１（基本対策）予定4</t>
    <rPh sb="9" eb="11">
      <t>ヨテイ</t>
    </rPh>
    <phoneticPr fontId="2"/>
  </si>
  <si>
    <t>５の１（基本対策）予定5</t>
    <rPh sb="9" eb="11">
      <t>ヨテイ</t>
    </rPh>
    <phoneticPr fontId="2"/>
  </si>
  <si>
    <t>５の１（基本対策）予定6</t>
    <rPh sb="9" eb="11">
      <t>ヨテイ</t>
    </rPh>
    <phoneticPr fontId="2"/>
  </si>
  <si>
    <t>５の１（基本対策）予定7</t>
    <rPh sb="9" eb="11">
      <t>ヨテイ</t>
    </rPh>
    <phoneticPr fontId="2"/>
  </si>
  <si>
    <t>５の１（基本対策）予定8</t>
    <rPh sb="9" eb="11">
      <t>ヨテイ</t>
    </rPh>
    <phoneticPr fontId="2"/>
  </si>
  <si>
    <t>５の１（基本対策）予定9</t>
    <rPh sb="9" eb="11">
      <t>ヨテイ</t>
    </rPh>
    <phoneticPr fontId="2"/>
  </si>
  <si>
    <t>５の１（基本対策）予定10</t>
    <rPh sb="9" eb="11">
      <t>ヨテイ</t>
    </rPh>
    <phoneticPr fontId="2"/>
  </si>
  <si>
    <t>５の１（基本対策）予定11</t>
    <rPh sb="9" eb="11">
      <t>ヨテイ</t>
    </rPh>
    <phoneticPr fontId="2"/>
  </si>
  <si>
    <t>５の１（基本対策）予定12</t>
    <rPh sb="9" eb="11">
      <t>ヨテイ</t>
    </rPh>
    <phoneticPr fontId="2"/>
  </si>
  <si>
    <t>５の１（基本対策）予定13</t>
    <rPh sb="9" eb="11">
      <t>ヨテイ</t>
    </rPh>
    <phoneticPr fontId="2"/>
  </si>
  <si>
    <t>５の１（基本対策）予定14</t>
    <rPh sb="9" eb="11">
      <t>ヨテイ</t>
    </rPh>
    <phoneticPr fontId="2"/>
  </si>
  <si>
    <t>５の１（基本対策）予定15</t>
    <rPh sb="9" eb="11">
      <t>ヨテイ</t>
    </rPh>
    <phoneticPr fontId="2"/>
  </si>
  <si>
    <t>５の１（基本対策）予定16</t>
    <rPh sb="9" eb="11">
      <t>ヨテイ</t>
    </rPh>
    <phoneticPr fontId="2"/>
  </si>
  <si>
    <t>５の１（基本対策）予定17</t>
    <rPh sb="9" eb="11">
      <t>ヨテイ</t>
    </rPh>
    <phoneticPr fontId="2"/>
  </si>
  <si>
    <t>５の１（基本対策）予定18</t>
    <rPh sb="9" eb="11">
      <t>ヨテイ</t>
    </rPh>
    <phoneticPr fontId="2"/>
  </si>
  <si>
    <t>５の１（基本対策）予定19</t>
    <rPh sb="9" eb="11">
      <t>ヨテイ</t>
    </rPh>
    <phoneticPr fontId="2"/>
  </si>
  <si>
    <t>５の１（基本対策）予定20</t>
    <rPh sb="9" eb="11">
      <t>ヨテイ</t>
    </rPh>
    <phoneticPr fontId="2"/>
  </si>
  <si>
    <t>５の１（基本対策）予定21</t>
    <rPh sb="9" eb="11">
      <t>ヨテイ</t>
    </rPh>
    <phoneticPr fontId="2"/>
  </si>
  <si>
    <t>５の１（基本対策）予定22</t>
    <rPh sb="9" eb="11">
      <t>ヨテイ</t>
    </rPh>
    <phoneticPr fontId="2"/>
  </si>
  <si>
    <t>５の１（基本対策）予定23</t>
    <rPh sb="9" eb="11">
      <t>ヨテイ</t>
    </rPh>
    <phoneticPr fontId="2"/>
  </si>
  <si>
    <t>５の１（基本対策）予定24</t>
    <rPh sb="9" eb="11">
      <t>ヨテイ</t>
    </rPh>
    <phoneticPr fontId="2"/>
  </si>
  <si>
    <t>F28</t>
  </si>
  <si>
    <t>５の１（基本対策）予定25</t>
    <rPh sb="9" eb="11">
      <t>ヨテイ</t>
    </rPh>
    <phoneticPr fontId="2"/>
  </si>
  <si>
    <t>F29</t>
  </si>
  <si>
    <t>５の１（基本対策）予定26</t>
    <rPh sb="9" eb="11">
      <t>ヨテイ</t>
    </rPh>
    <phoneticPr fontId="2"/>
  </si>
  <si>
    <t>F30</t>
  </si>
  <si>
    <t>５の１（基本対策）予定27</t>
    <rPh sb="9" eb="11">
      <t>ヨテイ</t>
    </rPh>
    <phoneticPr fontId="2"/>
  </si>
  <si>
    <t>F31</t>
  </si>
  <si>
    <t>５の１（基本対策）予定28</t>
    <rPh sb="9" eb="11">
      <t>ヨテイ</t>
    </rPh>
    <phoneticPr fontId="2"/>
  </si>
  <si>
    <t>F32</t>
  </si>
  <si>
    <t>５の１（基本対策）予定29</t>
    <rPh sb="9" eb="11">
      <t>ヨテイ</t>
    </rPh>
    <phoneticPr fontId="2"/>
  </si>
  <si>
    <t>F33</t>
  </si>
  <si>
    <t>５の１（基本対策）予定30</t>
    <rPh sb="9" eb="11">
      <t>ヨテイ</t>
    </rPh>
    <phoneticPr fontId="2"/>
  </si>
  <si>
    <t>F34</t>
  </si>
  <si>
    <t>５の２（選択対策）項目1</t>
    <rPh sb="9" eb="11">
      <t>コウモク</t>
    </rPh>
    <phoneticPr fontId="2"/>
  </si>
  <si>
    <t>C39</t>
  </si>
  <si>
    <t>５の２（選択対策）項目2</t>
    <rPh sb="9" eb="11">
      <t>コウモク</t>
    </rPh>
    <phoneticPr fontId="2"/>
  </si>
  <si>
    <t>C40</t>
  </si>
  <si>
    <t>５の２（選択対策）項目3</t>
    <rPh sb="9" eb="11">
      <t>コウモク</t>
    </rPh>
    <phoneticPr fontId="2"/>
  </si>
  <si>
    <t>C41</t>
  </si>
  <si>
    <t>５の２（選択対策）項目4</t>
    <rPh sb="9" eb="11">
      <t>コウモク</t>
    </rPh>
    <phoneticPr fontId="2"/>
  </si>
  <si>
    <t>C42</t>
  </si>
  <si>
    <t>５の２（選択対策）項目5</t>
    <rPh sb="9" eb="11">
      <t>コウモク</t>
    </rPh>
    <phoneticPr fontId="2"/>
  </si>
  <si>
    <t>C43</t>
  </si>
  <si>
    <t>５の２（選択対策）項目6</t>
    <rPh sb="9" eb="11">
      <t>コウモク</t>
    </rPh>
    <phoneticPr fontId="2"/>
  </si>
  <si>
    <t>C44</t>
  </si>
  <si>
    <t>５の２（選択対策）項目7</t>
    <rPh sb="9" eb="11">
      <t>コウモク</t>
    </rPh>
    <phoneticPr fontId="2"/>
  </si>
  <si>
    <t>C45</t>
  </si>
  <si>
    <t>５の２（選択対策）項目8</t>
    <rPh sb="9" eb="11">
      <t>コウモク</t>
    </rPh>
    <phoneticPr fontId="2"/>
  </si>
  <si>
    <t>C46</t>
  </si>
  <si>
    <t>５の２（選択対策）項目9</t>
    <rPh sb="9" eb="11">
      <t>コウモク</t>
    </rPh>
    <phoneticPr fontId="2"/>
  </si>
  <si>
    <t>C47</t>
  </si>
  <si>
    <t>５の２（選択対策）項目10</t>
    <rPh sb="9" eb="11">
      <t>コウモク</t>
    </rPh>
    <phoneticPr fontId="2"/>
  </si>
  <si>
    <t>C48</t>
  </si>
  <si>
    <t>５の２（選択対策）項目11</t>
    <rPh sb="9" eb="11">
      <t>コウモク</t>
    </rPh>
    <phoneticPr fontId="2"/>
  </si>
  <si>
    <t>C49</t>
  </si>
  <si>
    <t>５の２（選択対策）項目12</t>
    <rPh sb="9" eb="11">
      <t>コウモク</t>
    </rPh>
    <phoneticPr fontId="2"/>
  </si>
  <si>
    <t>C50</t>
  </si>
  <si>
    <t>５の２（選択対策）項目13</t>
    <rPh sb="9" eb="11">
      <t>コウモク</t>
    </rPh>
    <phoneticPr fontId="2"/>
  </si>
  <si>
    <t>C51</t>
  </si>
  <si>
    <t>５の２（選択対策）項目14</t>
    <rPh sb="9" eb="11">
      <t>コウモク</t>
    </rPh>
    <phoneticPr fontId="2"/>
  </si>
  <si>
    <t>C52</t>
  </si>
  <si>
    <t>５の２（選択対策）項目15</t>
    <rPh sb="9" eb="11">
      <t>コウモク</t>
    </rPh>
    <phoneticPr fontId="2"/>
  </si>
  <si>
    <t>C53</t>
  </si>
  <si>
    <t>５の２（選択対策）項目16</t>
    <rPh sb="9" eb="11">
      <t>コウモク</t>
    </rPh>
    <phoneticPr fontId="2"/>
  </si>
  <si>
    <t>C54</t>
  </si>
  <si>
    <t>５の２（選択対策）項目17</t>
    <rPh sb="9" eb="11">
      <t>コウモク</t>
    </rPh>
    <phoneticPr fontId="2"/>
  </si>
  <si>
    <t>C55</t>
  </si>
  <si>
    <t>５の２（選択対策）項目18</t>
    <rPh sb="9" eb="11">
      <t>コウモク</t>
    </rPh>
    <phoneticPr fontId="2"/>
  </si>
  <si>
    <t>C56</t>
  </si>
  <si>
    <t>５の２（選択対策）項目19</t>
    <rPh sb="9" eb="11">
      <t>コウモク</t>
    </rPh>
    <phoneticPr fontId="2"/>
  </si>
  <si>
    <t>C57</t>
  </si>
  <si>
    <t>５の２（選択対策）項目20</t>
    <rPh sb="9" eb="11">
      <t>コウモク</t>
    </rPh>
    <phoneticPr fontId="2"/>
  </si>
  <si>
    <t>C58</t>
  </si>
  <si>
    <t>５の２（選択対策）状況1</t>
    <rPh sb="9" eb="11">
      <t>ジョウキョウ</t>
    </rPh>
    <phoneticPr fontId="2"/>
  </si>
  <si>
    <t>E39</t>
  </si>
  <si>
    <t>５の２（選択対策）状況2</t>
    <rPh sb="9" eb="11">
      <t>ジョウキョウ</t>
    </rPh>
    <phoneticPr fontId="2"/>
  </si>
  <si>
    <t>E40</t>
  </si>
  <si>
    <t>５の２（選択対策）状況3</t>
    <rPh sb="9" eb="11">
      <t>ジョウキョウ</t>
    </rPh>
    <phoneticPr fontId="2"/>
  </si>
  <si>
    <t>E41</t>
  </si>
  <si>
    <t>５の２（選択対策）状況4</t>
    <rPh sb="9" eb="11">
      <t>ジョウキョウ</t>
    </rPh>
    <phoneticPr fontId="2"/>
  </si>
  <si>
    <t>５の２（選択対策）状況5</t>
    <rPh sb="9" eb="11">
      <t>ジョウキョウ</t>
    </rPh>
    <phoneticPr fontId="2"/>
  </si>
  <si>
    <t>５の２（選択対策）状況6</t>
    <rPh sb="9" eb="11">
      <t>ジョウキョウ</t>
    </rPh>
    <phoneticPr fontId="2"/>
  </si>
  <si>
    <t>５の２（選択対策）状況7</t>
    <rPh sb="9" eb="11">
      <t>ジョウキョウ</t>
    </rPh>
    <phoneticPr fontId="2"/>
  </si>
  <si>
    <t>５の２（選択対策）状況8</t>
    <rPh sb="9" eb="11">
      <t>ジョウキョウ</t>
    </rPh>
    <phoneticPr fontId="2"/>
  </si>
  <si>
    <t>E46</t>
  </si>
  <si>
    <t>５の２（選択対策）状況9</t>
    <rPh sb="9" eb="11">
      <t>ジョウキョウ</t>
    </rPh>
    <phoneticPr fontId="2"/>
  </si>
  <si>
    <t>E47</t>
  </si>
  <si>
    <t>５の２（選択対策）状況10</t>
    <rPh sb="9" eb="11">
      <t>ジョウキョウ</t>
    </rPh>
    <phoneticPr fontId="2"/>
  </si>
  <si>
    <t>E48</t>
  </si>
  <si>
    <t>５の２（選択対策）状況11</t>
    <rPh sb="9" eb="11">
      <t>ジョウキョウ</t>
    </rPh>
    <phoneticPr fontId="2"/>
  </si>
  <si>
    <t>E49</t>
  </si>
  <si>
    <t>５の２（選択対策）状況12</t>
    <rPh sb="9" eb="11">
      <t>ジョウキョウ</t>
    </rPh>
    <phoneticPr fontId="2"/>
  </si>
  <si>
    <t>E50</t>
  </si>
  <si>
    <t>５の２（選択対策）状況13</t>
    <rPh sb="9" eb="11">
      <t>ジョウキョウ</t>
    </rPh>
    <phoneticPr fontId="2"/>
  </si>
  <si>
    <t>E51</t>
  </si>
  <si>
    <t>５の２（選択対策）状況14</t>
    <rPh sb="9" eb="11">
      <t>ジョウキョウ</t>
    </rPh>
    <phoneticPr fontId="2"/>
  </si>
  <si>
    <t>E52</t>
  </si>
  <si>
    <t>５の２（選択対策）状況15</t>
    <rPh sb="9" eb="11">
      <t>ジョウキョウ</t>
    </rPh>
    <phoneticPr fontId="2"/>
  </si>
  <si>
    <t>E53</t>
  </si>
  <si>
    <t>５の２（選択対策）状況16</t>
    <rPh sb="9" eb="11">
      <t>ジョウキョウ</t>
    </rPh>
    <phoneticPr fontId="2"/>
  </si>
  <si>
    <t>E54</t>
  </si>
  <si>
    <t>５の２（選択対策）状況17</t>
    <rPh sb="9" eb="11">
      <t>ジョウキョウ</t>
    </rPh>
    <phoneticPr fontId="2"/>
  </si>
  <si>
    <t>E55</t>
  </si>
  <si>
    <t>５の２（選択対策）状況18</t>
    <rPh sb="9" eb="11">
      <t>ジョウキョウ</t>
    </rPh>
    <phoneticPr fontId="2"/>
  </si>
  <si>
    <t>E56</t>
  </si>
  <si>
    <t>５の２（選択対策）状況19</t>
    <rPh sb="9" eb="11">
      <t>ジョウキョウ</t>
    </rPh>
    <phoneticPr fontId="2"/>
  </si>
  <si>
    <t>E57</t>
  </si>
  <si>
    <t>５の２（選択対策）状況20</t>
    <rPh sb="9" eb="11">
      <t>ジョウキョウ</t>
    </rPh>
    <phoneticPr fontId="2"/>
  </si>
  <si>
    <t>E58</t>
  </si>
  <si>
    <t>５の２（選択対策）予定1</t>
    <rPh sb="9" eb="11">
      <t>ヨテイ</t>
    </rPh>
    <phoneticPr fontId="2"/>
  </si>
  <si>
    <t>F39</t>
  </si>
  <si>
    <t>５の２（選択対策）予定2</t>
    <rPh sb="9" eb="11">
      <t>ヨテイ</t>
    </rPh>
    <phoneticPr fontId="2"/>
  </si>
  <si>
    <t>F40</t>
  </si>
  <si>
    <t>５の２（選択対策）予定3</t>
    <rPh sb="9" eb="11">
      <t>ヨテイ</t>
    </rPh>
    <phoneticPr fontId="2"/>
  </si>
  <si>
    <t>F41</t>
  </si>
  <si>
    <t>５の２（選択対策）予定4</t>
    <rPh sb="9" eb="11">
      <t>ヨテイ</t>
    </rPh>
    <phoneticPr fontId="2"/>
  </si>
  <si>
    <t>５の２（選択対策）予定5</t>
    <rPh sb="9" eb="11">
      <t>ヨテイ</t>
    </rPh>
    <phoneticPr fontId="2"/>
  </si>
  <si>
    <t>５の２（選択対策）予定6</t>
    <rPh sb="9" eb="11">
      <t>ヨテイ</t>
    </rPh>
    <phoneticPr fontId="2"/>
  </si>
  <si>
    <t>５の２（選択対策）予定7</t>
    <rPh sb="9" eb="11">
      <t>ヨテイ</t>
    </rPh>
    <phoneticPr fontId="2"/>
  </si>
  <si>
    <t>５の２（選択対策）予定8</t>
    <rPh sb="9" eb="11">
      <t>ヨテイ</t>
    </rPh>
    <phoneticPr fontId="2"/>
  </si>
  <si>
    <t>F46</t>
  </si>
  <si>
    <t>５の２（選択対策）予定9</t>
    <rPh sb="9" eb="11">
      <t>ヨテイ</t>
    </rPh>
    <phoneticPr fontId="2"/>
  </si>
  <si>
    <t>F47</t>
  </si>
  <si>
    <t>５の２（選択対策）予定10</t>
    <rPh sb="9" eb="11">
      <t>ヨテイ</t>
    </rPh>
    <phoneticPr fontId="2"/>
  </si>
  <si>
    <t>F48</t>
  </si>
  <si>
    <t>５の２（選択対策）予定11</t>
    <rPh sb="9" eb="11">
      <t>ヨテイ</t>
    </rPh>
    <phoneticPr fontId="2"/>
  </si>
  <si>
    <t>F49</t>
  </si>
  <si>
    <t>５の２（選択対策）予定12</t>
    <rPh sb="9" eb="11">
      <t>ヨテイ</t>
    </rPh>
    <phoneticPr fontId="2"/>
  </si>
  <si>
    <t>F50</t>
  </si>
  <si>
    <t>５の２（選択対策）予定13</t>
    <rPh sb="9" eb="11">
      <t>ヨテイ</t>
    </rPh>
    <phoneticPr fontId="2"/>
  </si>
  <si>
    <t>F51</t>
  </si>
  <si>
    <t>５の２（選択対策）予定14</t>
    <rPh sb="9" eb="11">
      <t>ヨテイ</t>
    </rPh>
    <phoneticPr fontId="2"/>
  </si>
  <si>
    <t>F52</t>
  </si>
  <si>
    <t>５の２（選択対策）予定15</t>
    <rPh sb="9" eb="11">
      <t>ヨテイ</t>
    </rPh>
    <phoneticPr fontId="2"/>
  </si>
  <si>
    <t>F53</t>
  </si>
  <si>
    <t>５の２（選択対策）予定16</t>
    <rPh sb="9" eb="11">
      <t>ヨテイ</t>
    </rPh>
    <phoneticPr fontId="2"/>
  </si>
  <si>
    <t>F54</t>
  </si>
  <si>
    <t>５の２（選択対策）予定17</t>
    <rPh sb="9" eb="11">
      <t>ヨテイ</t>
    </rPh>
    <phoneticPr fontId="2"/>
  </si>
  <si>
    <t>F55</t>
  </si>
  <si>
    <t>５の２（選択対策）予定18</t>
    <rPh sb="9" eb="11">
      <t>ヨテイ</t>
    </rPh>
    <phoneticPr fontId="2"/>
  </si>
  <si>
    <t>F56</t>
  </si>
  <si>
    <t>５の２（選択対策）予定19</t>
    <rPh sb="9" eb="11">
      <t>ヨテイ</t>
    </rPh>
    <phoneticPr fontId="2"/>
  </si>
  <si>
    <t>F57</t>
  </si>
  <si>
    <t>５の２（選択対策）予定20</t>
    <rPh sb="9" eb="11">
      <t>ヨテイ</t>
    </rPh>
    <phoneticPr fontId="2"/>
  </si>
  <si>
    <t>F58</t>
  </si>
  <si>
    <t>５の３（その他の対策）項目1</t>
    <rPh sb="11" eb="13">
      <t>コウモク</t>
    </rPh>
    <phoneticPr fontId="2"/>
  </si>
  <si>
    <t>C63</t>
  </si>
  <si>
    <t>５の３（その他の対策）項目2</t>
    <rPh sb="11" eb="13">
      <t>コウモク</t>
    </rPh>
    <phoneticPr fontId="2"/>
  </si>
  <si>
    <t>C64</t>
  </si>
  <si>
    <t>５の３（その他の対策）項目3</t>
    <rPh sb="11" eb="13">
      <t>コウモク</t>
    </rPh>
    <phoneticPr fontId="2"/>
  </si>
  <si>
    <t>C65</t>
  </si>
  <si>
    <t>５の３（その他の対策）項目4</t>
    <rPh sb="11" eb="13">
      <t>コウモク</t>
    </rPh>
    <phoneticPr fontId="2"/>
  </si>
  <si>
    <t>C66</t>
  </si>
  <si>
    <t>５の３（その他の対策）項目5</t>
    <rPh sb="11" eb="13">
      <t>コウモク</t>
    </rPh>
    <phoneticPr fontId="2"/>
  </si>
  <si>
    <t>C67</t>
  </si>
  <si>
    <t>５の３（その他の対策）項目6</t>
    <rPh sb="11" eb="13">
      <t>コウモク</t>
    </rPh>
    <phoneticPr fontId="2"/>
  </si>
  <si>
    <t>C68</t>
  </si>
  <si>
    <t>５の３（その他の対策）項目7</t>
    <rPh sb="11" eb="13">
      <t>コウモク</t>
    </rPh>
    <phoneticPr fontId="2"/>
  </si>
  <si>
    <t>C69</t>
  </si>
  <si>
    <t>５の３（その他の対策）項目8</t>
    <rPh sb="11" eb="13">
      <t>コウモク</t>
    </rPh>
    <phoneticPr fontId="2"/>
  </si>
  <si>
    <t>C70</t>
  </si>
  <si>
    <t>５の３（その他の対策）項目9</t>
    <rPh sb="11" eb="13">
      <t>コウモク</t>
    </rPh>
    <phoneticPr fontId="2"/>
  </si>
  <si>
    <t>C71</t>
  </si>
  <si>
    <t>５の３（その他の対策）項目10</t>
    <rPh sb="11" eb="13">
      <t>コウモク</t>
    </rPh>
    <phoneticPr fontId="2"/>
  </si>
  <si>
    <t>C72</t>
  </si>
  <si>
    <t>５の３（その他の対策）取組1</t>
    <rPh sb="11" eb="13">
      <t>トリクミ</t>
    </rPh>
    <phoneticPr fontId="2"/>
  </si>
  <si>
    <t>D63</t>
  </si>
  <si>
    <t>５の３（その他の対策）取組2</t>
    <rPh sb="11" eb="13">
      <t>トリクミ</t>
    </rPh>
    <phoneticPr fontId="2"/>
  </si>
  <si>
    <t>D64</t>
  </si>
  <si>
    <t>５の３（その他の対策）取組3</t>
    <rPh sb="11" eb="13">
      <t>トリクミ</t>
    </rPh>
    <phoneticPr fontId="2"/>
  </si>
  <si>
    <t>D65</t>
  </si>
  <si>
    <t>５の３（その他の対策）取組4</t>
    <rPh sb="11" eb="13">
      <t>トリクミ</t>
    </rPh>
    <phoneticPr fontId="2"/>
  </si>
  <si>
    <t>D66</t>
  </si>
  <si>
    <t>５の３（その他の対策）取組5</t>
    <rPh sb="11" eb="13">
      <t>トリクミ</t>
    </rPh>
    <phoneticPr fontId="2"/>
  </si>
  <si>
    <t>D67</t>
  </si>
  <si>
    <t>５の３（その他の対策）取組6</t>
    <rPh sb="11" eb="13">
      <t>トリクミ</t>
    </rPh>
    <phoneticPr fontId="2"/>
  </si>
  <si>
    <t>D68</t>
  </si>
  <si>
    <t>５の３（その他の対策）取組7</t>
    <rPh sb="11" eb="13">
      <t>トリクミ</t>
    </rPh>
    <phoneticPr fontId="2"/>
  </si>
  <si>
    <t>D69</t>
  </si>
  <si>
    <t>５の３（その他の対策）取組8</t>
    <rPh sb="11" eb="13">
      <t>トリクミ</t>
    </rPh>
    <phoneticPr fontId="2"/>
  </si>
  <si>
    <t>D70</t>
  </si>
  <si>
    <t>５の３（その他の対策）取組9</t>
    <rPh sb="11" eb="13">
      <t>トリクミ</t>
    </rPh>
    <phoneticPr fontId="2"/>
  </si>
  <si>
    <t>D71</t>
  </si>
  <si>
    <t>５の３（その他の対策）取組10</t>
    <rPh sb="11" eb="13">
      <t>トリクミ</t>
    </rPh>
    <phoneticPr fontId="2"/>
  </si>
  <si>
    <t>D72</t>
  </si>
  <si>
    <t>５の３（その他の対策）状況1</t>
    <rPh sb="11" eb="13">
      <t>ジョウキョウ</t>
    </rPh>
    <phoneticPr fontId="2"/>
  </si>
  <si>
    <t>E63</t>
  </si>
  <si>
    <t>５の３（その他の対策）状況2</t>
    <rPh sb="11" eb="13">
      <t>ジョウキョウ</t>
    </rPh>
    <phoneticPr fontId="2"/>
  </si>
  <si>
    <t>E64</t>
  </si>
  <si>
    <t>５の３（その他の対策）状況3</t>
    <rPh sb="11" eb="13">
      <t>ジョウキョウ</t>
    </rPh>
    <phoneticPr fontId="2"/>
  </si>
  <si>
    <t>E65</t>
  </si>
  <si>
    <t>５の３（その他の対策）状況4</t>
    <rPh sb="11" eb="13">
      <t>ジョウキョウ</t>
    </rPh>
    <phoneticPr fontId="2"/>
  </si>
  <si>
    <t>E66</t>
  </si>
  <si>
    <t>５の３（その他の対策）状況5</t>
    <rPh sb="11" eb="13">
      <t>ジョウキョウ</t>
    </rPh>
    <phoneticPr fontId="2"/>
  </si>
  <si>
    <t>E67</t>
  </si>
  <si>
    <t>５の３（その他の対策）状況6</t>
    <rPh sb="11" eb="13">
      <t>ジョウキョウ</t>
    </rPh>
    <phoneticPr fontId="2"/>
  </si>
  <si>
    <t>E68</t>
  </si>
  <si>
    <t>５の３（その他の対策）状況7</t>
    <rPh sb="11" eb="13">
      <t>ジョウキョウ</t>
    </rPh>
    <phoneticPr fontId="2"/>
  </si>
  <si>
    <t>E69</t>
  </si>
  <si>
    <t>５の３（その他の対策）状況8</t>
    <rPh sb="11" eb="13">
      <t>ジョウキョウ</t>
    </rPh>
    <phoneticPr fontId="2"/>
  </si>
  <si>
    <t>E70</t>
  </si>
  <si>
    <t>５の３（その他の対策）状況9</t>
    <rPh sb="11" eb="13">
      <t>ジョウキョウ</t>
    </rPh>
    <phoneticPr fontId="2"/>
  </si>
  <si>
    <t>E71</t>
  </si>
  <si>
    <t>５の３（その他の対策）状況10</t>
    <rPh sb="11" eb="13">
      <t>ジョウキョウ</t>
    </rPh>
    <phoneticPr fontId="2"/>
  </si>
  <si>
    <t>E72</t>
  </si>
  <si>
    <t>５の３（その他の対策）予定1</t>
    <rPh sb="11" eb="13">
      <t>ヨテイ</t>
    </rPh>
    <phoneticPr fontId="2"/>
  </si>
  <si>
    <t>F63</t>
  </si>
  <si>
    <t>５の３（その他の対策）予定2</t>
    <rPh sb="11" eb="13">
      <t>ヨテイ</t>
    </rPh>
    <phoneticPr fontId="2"/>
  </si>
  <si>
    <t>F64</t>
  </si>
  <si>
    <t>５の３（その他の対策）予定3</t>
    <rPh sb="11" eb="13">
      <t>ヨテイ</t>
    </rPh>
    <phoneticPr fontId="2"/>
  </si>
  <si>
    <t>F65</t>
  </si>
  <si>
    <t>５の３（その他の対策）予定4</t>
    <rPh sb="11" eb="13">
      <t>ヨテイ</t>
    </rPh>
    <phoneticPr fontId="2"/>
  </si>
  <si>
    <t>F66</t>
  </si>
  <si>
    <t>５の３（その他の対策）予定5</t>
    <rPh sb="11" eb="13">
      <t>ヨテイ</t>
    </rPh>
    <phoneticPr fontId="2"/>
  </si>
  <si>
    <t>F67</t>
  </si>
  <si>
    <t>５の３（その他の対策）予定6</t>
    <rPh sb="11" eb="13">
      <t>ヨテイ</t>
    </rPh>
    <phoneticPr fontId="2"/>
  </si>
  <si>
    <t>F68</t>
  </si>
  <si>
    <t>５の３（その他の対策）予定7</t>
    <rPh sb="11" eb="13">
      <t>ヨテイ</t>
    </rPh>
    <phoneticPr fontId="2"/>
  </si>
  <si>
    <t>F69</t>
  </si>
  <si>
    <t>５の３（その他の対策）予定8</t>
    <rPh sb="11" eb="13">
      <t>ヨテイ</t>
    </rPh>
    <phoneticPr fontId="2"/>
  </si>
  <si>
    <t>F70</t>
  </si>
  <si>
    <t>５の３（その他の対策）予定9</t>
    <rPh sb="11" eb="13">
      <t>ヨテイ</t>
    </rPh>
    <phoneticPr fontId="2"/>
  </si>
  <si>
    <t>F71</t>
  </si>
  <si>
    <t>５の３（その他の対策）予定10</t>
    <rPh sb="11" eb="13">
      <t>ヨテイ</t>
    </rPh>
    <phoneticPr fontId="2"/>
  </si>
  <si>
    <t>F72</t>
  </si>
  <si>
    <t>参考１（詳細）対策1</t>
    <rPh sb="0" eb="2">
      <t>サンコウ</t>
    </rPh>
    <rPh sb="4" eb="6">
      <t>ショウサイ</t>
    </rPh>
    <rPh sb="7" eb="9">
      <t>タイサク</t>
    </rPh>
    <phoneticPr fontId="2"/>
  </si>
  <si>
    <t>計画書③（任意記載）</t>
  </si>
  <si>
    <t>B4</t>
  </si>
  <si>
    <t>参考１（詳細）対策2</t>
    <rPh sb="0" eb="2">
      <t>サンコウ</t>
    </rPh>
    <rPh sb="4" eb="6">
      <t>ショウサイ</t>
    </rPh>
    <rPh sb="7" eb="9">
      <t>タイサク</t>
    </rPh>
    <phoneticPr fontId="2"/>
  </si>
  <si>
    <t>B5</t>
  </si>
  <si>
    <t>参考１（詳細）対策3</t>
    <rPh sb="0" eb="2">
      <t>サンコウ</t>
    </rPh>
    <rPh sb="4" eb="6">
      <t>ショウサイ</t>
    </rPh>
    <rPh sb="7" eb="9">
      <t>タイサク</t>
    </rPh>
    <phoneticPr fontId="2"/>
  </si>
  <si>
    <t>B6</t>
  </si>
  <si>
    <t>参考１（詳細）対策4</t>
    <rPh sb="0" eb="2">
      <t>サンコウ</t>
    </rPh>
    <rPh sb="4" eb="6">
      <t>ショウサイ</t>
    </rPh>
    <rPh sb="7" eb="9">
      <t>タイサク</t>
    </rPh>
    <phoneticPr fontId="2"/>
  </si>
  <si>
    <t>B7</t>
  </si>
  <si>
    <t>参考１（詳細）対策5</t>
    <rPh sb="0" eb="2">
      <t>サンコウ</t>
    </rPh>
    <rPh sb="4" eb="6">
      <t>ショウサイ</t>
    </rPh>
    <rPh sb="7" eb="9">
      <t>タイサク</t>
    </rPh>
    <phoneticPr fontId="2"/>
  </si>
  <si>
    <t>B8</t>
  </si>
  <si>
    <t>参考１（詳細）対策6</t>
    <rPh sb="0" eb="2">
      <t>サンコウ</t>
    </rPh>
    <rPh sb="4" eb="6">
      <t>ショウサイ</t>
    </rPh>
    <rPh sb="7" eb="9">
      <t>タイサク</t>
    </rPh>
    <phoneticPr fontId="2"/>
  </si>
  <si>
    <t>B9</t>
  </si>
  <si>
    <t>参考１（詳細）対策7</t>
    <rPh sb="0" eb="2">
      <t>サンコウ</t>
    </rPh>
    <rPh sb="4" eb="6">
      <t>ショウサイ</t>
    </rPh>
    <rPh sb="7" eb="9">
      <t>タイサク</t>
    </rPh>
    <phoneticPr fontId="2"/>
  </si>
  <si>
    <t>B10</t>
  </si>
  <si>
    <t>参考１（詳細）対策8</t>
    <rPh sb="0" eb="2">
      <t>サンコウ</t>
    </rPh>
    <rPh sb="4" eb="6">
      <t>ショウサイ</t>
    </rPh>
    <rPh sb="7" eb="9">
      <t>タイサク</t>
    </rPh>
    <phoneticPr fontId="2"/>
  </si>
  <si>
    <t>B11</t>
  </si>
  <si>
    <t>参考１（詳細）対策9</t>
    <rPh sb="0" eb="2">
      <t>サンコウ</t>
    </rPh>
    <rPh sb="4" eb="6">
      <t>ショウサイ</t>
    </rPh>
    <rPh sb="7" eb="9">
      <t>タイサク</t>
    </rPh>
    <phoneticPr fontId="2"/>
  </si>
  <si>
    <t>B12</t>
  </si>
  <si>
    <t>参考１（詳細）対策10</t>
    <rPh sb="0" eb="2">
      <t>サンコウ</t>
    </rPh>
    <rPh sb="4" eb="6">
      <t>ショウサイ</t>
    </rPh>
    <rPh sb="7" eb="9">
      <t>タイサク</t>
    </rPh>
    <phoneticPr fontId="2"/>
  </si>
  <si>
    <t>B13</t>
  </si>
  <si>
    <t>参考１（詳細）実施年度1</t>
    <rPh sb="0" eb="2">
      <t>サンコウ</t>
    </rPh>
    <rPh sb="4" eb="6">
      <t>ショウサイ</t>
    </rPh>
    <rPh sb="7" eb="9">
      <t>ジッシ</t>
    </rPh>
    <rPh sb="9" eb="11">
      <t>ネンド</t>
    </rPh>
    <phoneticPr fontId="2"/>
  </si>
  <si>
    <t>C4</t>
  </si>
  <si>
    <t>参考１（詳細）実施年度2</t>
    <rPh sb="0" eb="2">
      <t>サンコウ</t>
    </rPh>
    <rPh sb="4" eb="6">
      <t>ショウサイ</t>
    </rPh>
    <rPh sb="7" eb="9">
      <t>ジッシ</t>
    </rPh>
    <rPh sb="9" eb="11">
      <t>ネンド</t>
    </rPh>
    <phoneticPr fontId="2"/>
  </si>
  <si>
    <t>C5</t>
  </si>
  <si>
    <t>参考１（詳細）実施年度3</t>
    <rPh sb="0" eb="2">
      <t>サンコウ</t>
    </rPh>
    <rPh sb="4" eb="6">
      <t>ショウサイ</t>
    </rPh>
    <rPh sb="7" eb="9">
      <t>ジッシ</t>
    </rPh>
    <rPh sb="9" eb="11">
      <t>ネンド</t>
    </rPh>
    <phoneticPr fontId="2"/>
  </si>
  <si>
    <t>C6</t>
  </si>
  <si>
    <t>参考１（詳細）実施年度4</t>
    <rPh sb="0" eb="2">
      <t>サンコウ</t>
    </rPh>
    <rPh sb="4" eb="6">
      <t>ショウサイ</t>
    </rPh>
    <rPh sb="7" eb="9">
      <t>ジッシ</t>
    </rPh>
    <rPh sb="9" eb="11">
      <t>ネンド</t>
    </rPh>
    <phoneticPr fontId="2"/>
  </si>
  <si>
    <t>C7</t>
  </si>
  <si>
    <t>参考１（詳細）実施年度5</t>
    <rPh sb="0" eb="2">
      <t>サンコウ</t>
    </rPh>
    <rPh sb="4" eb="6">
      <t>ショウサイ</t>
    </rPh>
    <rPh sb="7" eb="9">
      <t>ジッシ</t>
    </rPh>
    <rPh sb="9" eb="11">
      <t>ネンド</t>
    </rPh>
    <phoneticPr fontId="2"/>
  </si>
  <si>
    <t>C8</t>
  </si>
  <si>
    <t>参考１（詳細）実施年度6</t>
    <rPh sb="0" eb="2">
      <t>サンコウ</t>
    </rPh>
    <rPh sb="4" eb="6">
      <t>ショウサイ</t>
    </rPh>
    <rPh sb="7" eb="9">
      <t>ジッシ</t>
    </rPh>
    <rPh sb="9" eb="11">
      <t>ネンド</t>
    </rPh>
    <phoneticPr fontId="2"/>
  </si>
  <si>
    <t>C9</t>
  </si>
  <si>
    <t>参考１（詳細）実施年度7</t>
    <rPh sb="0" eb="2">
      <t>サンコウ</t>
    </rPh>
    <rPh sb="4" eb="6">
      <t>ショウサイ</t>
    </rPh>
    <rPh sb="7" eb="9">
      <t>ジッシ</t>
    </rPh>
    <rPh sb="9" eb="11">
      <t>ネンド</t>
    </rPh>
    <phoneticPr fontId="2"/>
  </si>
  <si>
    <t>C10</t>
  </si>
  <si>
    <t>参考１（詳細）実施年度8</t>
    <rPh sb="0" eb="2">
      <t>サンコウ</t>
    </rPh>
    <rPh sb="4" eb="6">
      <t>ショウサイ</t>
    </rPh>
    <rPh sb="7" eb="9">
      <t>ジッシ</t>
    </rPh>
    <rPh sb="9" eb="11">
      <t>ネンド</t>
    </rPh>
    <phoneticPr fontId="2"/>
  </si>
  <si>
    <t>C11</t>
  </si>
  <si>
    <t>参考１（詳細）実施年度9</t>
    <rPh sb="0" eb="2">
      <t>サンコウ</t>
    </rPh>
    <rPh sb="4" eb="6">
      <t>ショウサイ</t>
    </rPh>
    <rPh sb="7" eb="9">
      <t>ジッシ</t>
    </rPh>
    <rPh sb="9" eb="11">
      <t>ネンド</t>
    </rPh>
    <phoneticPr fontId="2"/>
  </si>
  <si>
    <t>C12</t>
  </si>
  <si>
    <t>参考１（詳細）実施年度10</t>
    <rPh sb="0" eb="2">
      <t>サンコウ</t>
    </rPh>
    <rPh sb="4" eb="6">
      <t>ショウサイ</t>
    </rPh>
    <rPh sb="7" eb="9">
      <t>ジッシ</t>
    </rPh>
    <rPh sb="9" eb="11">
      <t>ネンド</t>
    </rPh>
    <phoneticPr fontId="2"/>
  </si>
  <si>
    <t>C13</t>
  </si>
  <si>
    <t>参考１（詳細）推計削減量1</t>
    <rPh sb="0" eb="2">
      <t>サンコウ</t>
    </rPh>
    <rPh sb="4" eb="6">
      <t>ショウサイ</t>
    </rPh>
    <rPh sb="7" eb="9">
      <t>スイケイ</t>
    </rPh>
    <rPh sb="9" eb="11">
      <t>サクゲン</t>
    </rPh>
    <rPh sb="11" eb="12">
      <t>リョウ</t>
    </rPh>
    <phoneticPr fontId="2"/>
  </si>
  <si>
    <t>D4</t>
  </si>
  <si>
    <t>参考１（詳細）推計削減量2</t>
    <rPh sb="0" eb="2">
      <t>サンコウ</t>
    </rPh>
    <rPh sb="4" eb="6">
      <t>ショウサイ</t>
    </rPh>
    <rPh sb="7" eb="9">
      <t>スイケイ</t>
    </rPh>
    <rPh sb="9" eb="11">
      <t>サクゲン</t>
    </rPh>
    <rPh sb="11" eb="12">
      <t>リョウ</t>
    </rPh>
    <phoneticPr fontId="2"/>
  </si>
  <si>
    <t>D5</t>
  </si>
  <si>
    <t>参考１（詳細）推計削減量3</t>
    <rPh sb="0" eb="2">
      <t>サンコウ</t>
    </rPh>
    <rPh sb="4" eb="6">
      <t>ショウサイ</t>
    </rPh>
    <rPh sb="7" eb="9">
      <t>スイケイ</t>
    </rPh>
    <rPh sb="9" eb="11">
      <t>サクゲン</t>
    </rPh>
    <rPh sb="11" eb="12">
      <t>リョウ</t>
    </rPh>
    <phoneticPr fontId="2"/>
  </si>
  <si>
    <t>D6</t>
  </si>
  <si>
    <t>参考１（詳細）推計削減量4</t>
    <rPh sb="0" eb="2">
      <t>サンコウ</t>
    </rPh>
    <rPh sb="4" eb="6">
      <t>ショウサイ</t>
    </rPh>
    <rPh sb="7" eb="9">
      <t>スイケイ</t>
    </rPh>
    <rPh sb="9" eb="11">
      <t>サクゲン</t>
    </rPh>
    <rPh sb="11" eb="12">
      <t>リョウ</t>
    </rPh>
    <phoneticPr fontId="2"/>
  </si>
  <si>
    <t>D7</t>
  </si>
  <si>
    <t>参考１（詳細）推計削減量5</t>
    <rPh sb="0" eb="2">
      <t>サンコウ</t>
    </rPh>
    <rPh sb="4" eb="6">
      <t>ショウサイ</t>
    </rPh>
    <rPh sb="7" eb="9">
      <t>スイケイ</t>
    </rPh>
    <rPh sb="9" eb="11">
      <t>サクゲン</t>
    </rPh>
    <rPh sb="11" eb="12">
      <t>リョウ</t>
    </rPh>
    <phoneticPr fontId="2"/>
  </si>
  <si>
    <t>D8</t>
  </si>
  <si>
    <t>参考１（詳細）推計削減量6</t>
    <rPh sb="0" eb="2">
      <t>サンコウ</t>
    </rPh>
    <rPh sb="4" eb="6">
      <t>ショウサイ</t>
    </rPh>
    <rPh sb="7" eb="9">
      <t>スイケイ</t>
    </rPh>
    <rPh sb="9" eb="11">
      <t>サクゲン</t>
    </rPh>
    <rPh sb="11" eb="12">
      <t>リョウ</t>
    </rPh>
    <phoneticPr fontId="2"/>
  </si>
  <si>
    <t>D9</t>
  </si>
  <si>
    <t>参考１（詳細）推計削減量7</t>
    <rPh sb="0" eb="2">
      <t>サンコウ</t>
    </rPh>
    <rPh sb="4" eb="6">
      <t>ショウサイ</t>
    </rPh>
    <rPh sb="7" eb="9">
      <t>スイケイ</t>
    </rPh>
    <rPh sb="9" eb="11">
      <t>サクゲン</t>
    </rPh>
    <rPh sb="11" eb="12">
      <t>リョウ</t>
    </rPh>
    <phoneticPr fontId="2"/>
  </si>
  <si>
    <t>D10</t>
  </si>
  <si>
    <t>参考１（詳細）推計削減量8</t>
    <rPh sb="0" eb="2">
      <t>サンコウ</t>
    </rPh>
    <rPh sb="4" eb="6">
      <t>ショウサイ</t>
    </rPh>
    <rPh sb="7" eb="9">
      <t>スイケイ</t>
    </rPh>
    <rPh sb="9" eb="11">
      <t>サクゲン</t>
    </rPh>
    <rPh sb="11" eb="12">
      <t>リョウ</t>
    </rPh>
    <phoneticPr fontId="2"/>
  </si>
  <si>
    <t>D11</t>
  </si>
  <si>
    <t>参考１（詳細）推計削減量9</t>
    <rPh sb="0" eb="2">
      <t>サンコウ</t>
    </rPh>
    <rPh sb="4" eb="6">
      <t>ショウサイ</t>
    </rPh>
    <rPh sb="7" eb="9">
      <t>スイケイ</t>
    </rPh>
    <rPh sb="9" eb="11">
      <t>サクゲン</t>
    </rPh>
    <rPh sb="11" eb="12">
      <t>リョウ</t>
    </rPh>
    <phoneticPr fontId="2"/>
  </si>
  <si>
    <t>D12</t>
  </si>
  <si>
    <t>参考１（詳細）推計削減量10</t>
    <rPh sb="0" eb="2">
      <t>サンコウ</t>
    </rPh>
    <rPh sb="4" eb="6">
      <t>ショウサイ</t>
    </rPh>
    <rPh sb="7" eb="9">
      <t>スイケイ</t>
    </rPh>
    <rPh sb="9" eb="11">
      <t>サクゲン</t>
    </rPh>
    <rPh sb="11" eb="12">
      <t>リョウ</t>
    </rPh>
    <phoneticPr fontId="2"/>
  </si>
  <si>
    <t>D13</t>
  </si>
  <si>
    <t>参考２（詳細）対策1</t>
    <rPh sb="0" eb="2">
      <t>サンコウ</t>
    </rPh>
    <rPh sb="4" eb="6">
      <t>ショウサイ</t>
    </rPh>
    <rPh sb="7" eb="9">
      <t>タイサク</t>
    </rPh>
    <phoneticPr fontId="2"/>
  </si>
  <si>
    <t>B17</t>
  </si>
  <si>
    <t>参考２（詳細）対策2</t>
    <rPh sb="0" eb="2">
      <t>サンコウ</t>
    </rPh>
    <rPh sb="4" eb="6">
      <t>ショウサイ</t>
    </rPh>
    <rPh sb="7" eb="9">
      <t>タイサク</t>
    </rPh>
    <phoneticPr fontId="2"/>
  </si>
  <si>
    <t>B18</t>
  </si>
  <si>
    <t>参考２（詳細）対策3</t>
    <rPh sb="0" eb="2">
      <t>サンコウ</t>
    </rPh>
    <rPh sb="4" eb="6">
      <t>ショウサイ</t>
    </rPh>
    <rPh sb="7" eb="9">
      <t>タイサク</t>
    </rPh>
    <phoneticPr fontId="2"/>
  </si>
  <si>
    <t>B19</t>
  </si>
  <si>
    <t>参考２（詳細）対策4</t>
    <rPh sb="0" eb="2">
      <t>サンコウ</t>
    </rPh>
    <rPh sb="4" eb="6">
      <t>ショウサイ</t>
    </rPh>
    <rPh sb="7" eb="9">
      <t>タイサク</t>
    </rPh>
    <phoneticPr fontId="2"/>
  </si>
  <si>
    <t>B20</t>
  </si>
  <si>
    <t>参考２（詳細）対策5</t>
    <rPh sb="0" eb="2">
      <t>サンコウ</t>
    </rPh>
    <rPh sb="4" eb="6">
      <t>ショウサイ</t>
    </rPh>
    <rPh sb="7" eb="9">
      <t>タイサク</t>
    </rPh>
    <phoneticPr fontId="2"/>
  </si>
  <si>
    <t>B21</t>
  </si>
  <si>
    <t>参考２（詳細）対策6</t>
    <rPh sb="0" eb="2">
      <t>サンコウ</t>
    </rPh>
    <rPh sb="4" eb="6">
      <t>ショウサイ</t>
    </rPh>
    <rPh sb="7" eb="9">
      <t>タイサク</t>
    </rPh>
    <phoneticPr fontId="2"/>
  </si>
  <si>
    <t>B22</t>
  </si>
  <si>
    <t>参考２（詳細）対策7</t>
    <rPh sb="0" eb="2">
      <t>サンコウ</t>
    </rPh>
    <rPh sb="4" eb="6">
      <t>ショウサイ</t>
    </rPh>
    <rPh sb="7" eb="9">
      <t>タイサク</t>
    </rPh>
    <phoneticPr fontId="2"/>
  </si>
  <si>
    <t>B23</t>
  </si>
  <si>
    <t>参考２（詳細）対策8</t>
    <rPh sb="0" eb="2">
      <t>サンコウ</t>
    </rPh>
    <rPh sb="4" eb="6">
      <t>ショウサイ</t>
    </rPh>
    <rPh sb="7" eb="9">
      <t>タイサク</t>
    </rPh>
    <phoneticPr fontId="2"/>
  </si>
  <si>
    <t>B24</t>
  </si>
  <si>
    <t>参考２（詳細）対策9</t>
    <rPh sb="0" eb="2">
      <t>サンコウ</t>
    </rPh>
    <rPh sb="4" eb="6">
      <t>ショウサイ</t>
    </rPh>
    <rPh sb="7" eb="9">
      <t>タイサク</t>
    </rPh>
    <phoneticPr fontId="2"/>
  </si>
  <si>
    <t>B25</t>
  </si>
  <si>
    <t>参考２（詳細）対策10</t>
    <rPh sb="0" eb="2">
      <t>サンコウ</t>
    </rPh>
    <rPh sb="4" eb="6">
      <t>ショウサイ</t>
    </rPh>
    <rPh sb="7" eb="9">
      <t>タイサク</t>
    </rPh>
    <phoneticPr fontId="2"/>
  </si>
  <si>
    <t>B26</t>
  </si>
  <si>
    <t>参考２（詳細）実施年度1</t>
    <rPh sb="0" eb="2">
      <t>サンコウ</t>
    </rPh>
    <rPh sb="4" eb="6">
      <t>ショウサイ</t>
    </rPh>
    <rPh sb="7" eb="9">
      <t>ジッシ</t>
    </rPh>
    <rPh sb="9" eb="11">
      <t>ネンド</t>
    </rPh>
    <phoneticPr fontId="2"/>
  </si>
  <si>
    <t>C17</t>
  </si>
  <si>
    <t>参考２（詳細）実施年度2</t>
    <rPh sb="0" eb="2">
      <t>サンコウ</t>
    </rPh>
    <rPh sb="4" eb="6">
      <t>ショウサイ</t>
    </rPh>
    <rPh sb="7" eb="9">
      <t>ジッシ</t>
    </rPh>
    <rPh sb="9" eb="11">
      <t>ネンド</t>
    </rPh>
    <phoneticPr fontId="2"/>
  </si>
  <si>
    <t>C18</t>
  </si>
  <si>
    <t>参考２（詳細）実施年度3</t>
    <rPh sb="0" eb="2">
      <t>サンコウ</t>
    </rPh>
    <rPh sb="4" eb="6">
      <t>ショウサイ</t>
    </rPh>
    <rPh sb="7" eb="9">
      <t>ジッシ</t>
    </rPh>
    <rPh sb="9" eb="11">
      <t>ネンド</t>
    </rPh>
    <phoneticPr fontId="2"/>
  </si>
  <si>
    <t>C19</t>
  </si>
  <si>
    <t>参考２（詳細）実施年度4</t>
    <rPh sb="0" eb="2">
      <t>サンコウ</t>
    </rPh>
    <rPh sb="4" eb="6">
      <t>ショウサイ</t>
    </rPh>
    <rPh sb="7" eb="9">
      <t>ジッシ</t>
    </rPh>
    <rPh sb="9" eb="11">
      <t>ネンド</t>
    </rPh>
    <phoneticPr fontId="2"/>
  </si>
  <si>
    <t>C20</t>
  </si>
  <si>
    <t>参考２（詳細）実施年度5</t>
    <rPh sb="0" eb="2">
      <t>サンコウ</t>
    </rPh>
    <rPh sb="4" eb="6">
      <t>ショウサイ</t>
    </rPh>
    <rPh sb="7" eb="9">
      <t>ジッシ</t>
    </rPh>
    <rPh sb="9" eb="11">
      <t>ネンド</t>
    </rPh>
    <phoneticPr fontId="2"/>
  </si>
  <si>
    <t>C21</t>
  </si>
  <si>
    <t>参考２（詳細）実施年度6</t>
    <rPh sb="0" eb="2">
      <t>サンコウ</t>
    </rPh>
    <rPh sb="4" eb="6">
      <t>ショウサイ</t>
    </rPh>
    <rPh sb="7" eb="9">
      <t>ジッシ</t>
    </rPh>
    <rPh sb="9" eb="11">
      <t>ネンド</t>
    </rPh>
    <phoneticPr fontId="2"/>
  </si>
  <si>
    <t>C22</t>
  </si>
  <si>
    <t>参考２（詳細）実施年度7</t>
    <rPh sb="0" eb="2">
      <t>サンコウ</t>
    </rPh>
    <rPh sb="4" eb="6">
      <t>ショウサイ</t>
    </rPh>
    <rPh sb="7" eb="9">
      <t>ジッシ</t>
    </rPh>
    <rPh sb="9" eb="11">
      <t>ネンド</t>
    </rPh>
    <phoneticPr fontId="2"/>
  </si>
  <si>
    <t>C23</t>
  </si>
  <si>
    <t>参考２（詳細）実施年度8</t>
    <rPh sb="0" eb="2">
      <t>サンコウ</t>
    </rPh>
    <rPh sb="4" eb="6">
      <t>ショウサイ</t>
    </rPh>
    <rPh sb="7" eb="9">
      <t>ジッシ</t>
    </rPh>
    <rPh sb="9" eb="11">
      <t>ネンド</t>
    </rPh>
    <phoneticPr fontId="2"/>
  </si>
  <si>
    <t>C24</t>
  </si>
  <si>
    <t>参考２（詳細）実施年度9</t>
    <rPh sb="0" eb="2">
      <t>サンコウ</t>
    </rPh>
    <rPh sb="4" eb="6">
      <t>ショウサイ</t>
    </rPh>
    <rPh sb="7" eb="9">
      <t>ジッシ</t>
    </rPh>
    <rPh sb="9" eb="11">
      <t>ネンド</t>
    </rPh>
    <phoneticPr fontId="2"/>
  </si>
  <si>
    <t>C25</t>
  </si>
  <si>
    <t>参考２（詳細）実施年度10</t>
    <rPh sb="0" eb="2">
      <t>サンコウ</t>
    </rPh>
    <rPh sb="4" eb="6">
      <t>ショウサイ</t>
    </rPh>
    <rPh sb="7" eb="9">
      <t>ジッシ</t>
    </rPh>
    <rPh sb="9" eb="11">
      <t>ネンド</t>
    </rPh>
    <phoneticPr fontId="2"/>
  </si>
  <si>
    <t>C26</t>
  </si>
  <si>
    <t>参考２（詳細）推計削減量1</t>
    <rPh sb="0" eb="2">
      <t>サンコウ</t>
    </rPh>
    <rPh sb="4" eb="6">
      <t>ショウサイ</t>
    </rPh>
    <rPh sb="7" eb="9">
      <t>スイケイ</t>
    </rPh>
    <rPh sb="9" eb="11">
      <t>サクゲン</t>
    </rPh>
    <rPh sb="11" eb="12">
      <t>リョウ</t>
    </rPh>
    <phoneticPr fontId="2"/>
  </si>
  <si>
    <t>D17</t>
  </si>
  <si>
    <t>参考２（詳細）推計削減量2</t>
    <rPh sb="0" eb="2">
      <t>サンコウ</t>
    </rPh>
    <rPh sb="4" eb="6">
      <t>ショウサイ</t>
    </rPh>
    <rPh sb="7" eb="9">
      <t>スイケイ</t>
    </rPh>
    <rPh sb="9" eb="11">
      <t>サクゲン</t>
    </rPh>
    <rPh sb="11" eb="12">
      <t>リョウ</t>
    </rPh>
    <phoneticPr fontId="2"/>
  </si>
  <si>
    <t>D18</t>
  </si>
  <si>
    <t>参考２（詳細）推計削減量3</t>
    <rPh sb="0" eb="2">
      <t>サンコウ</t>
    </rPh>
    <rPh sb="4" eb="6">
      <t>ショウサイ</t>
    </rPh>
    <rPh sb="7" eb="9">
      <t>スイケイ</t>
    </rPh>
    <rPh sb="9" eb="11">
      <t>サクゲン</t>
    </rPh>
    <rPh sb="11" eb="12">
      <t>リョウ</t>
    </rPh>
    <phoneticPr fontId="2"/>
  </si>
  <si>
    <t>D19</t>
  </si>
  <si>
    <t>参考２（詳細）推計削減量4</t>
    <rPh sb="0" eb="2">
      <t>サンコウ</t>
    </rPh>
    <rPh sb="4" eb="6">
      <t>ショウサイ</t>
    </rPh>
    <rPh sb="7" eb="9">
      <t>スイケイ</t>
    </rPh>
    <rPh sb="9" eb="11">
      <t>サクゲン</t>
    </rPh>
    <rPh sb="11" eb="12">
      <t>リョウ</t>
    </rPh>
    <phoneticPr fontId="2"/>
  </si>
  <si>
    <t>D20</t>
  </si>
  <si>
    <t>参考２（詳細）推計削減量5</t>
    <rPh sb="0" eb="2">
      <t>サンコウ</t>
    </rPh>
    <rPh sb="4" eb="6">
      <t>ショウサイ</t>
    </rPh>
    <rPh sb="7" eb="9">
      <t>スイケイ</t>
    </rPh>
    <rPh sb="9" eb="11">
      <t>サクゲン</t>
    </rPh>
    <rPh sb="11" eb="12">
      <t>リョウ</t>
    </rPh>
    <phoneticPr fontId="2"/>
  </si>
  <si>
    <t>D21</t>
  </si>
  <si>
    <t>参考２（詳細）推計削減量6</t>
    <rPh sb="0" eb="2">
      <t>サンコウ</t>
    </rPh>
    <rPh sb="4" eb="6">
      <t>ショウサイ</t>
    </rPh>
    <rPh sb="7" eb="9">
      <t>スイケイ</t>
    </rPh>
    <rPh sb="9" eb="11">
      <t>サクゲン</t>
    </rPh>
    <rPh sb="11" eb="12">
      <t>リョウ</t>
    </rPh>
    <phoneticPr fontId="2"/>
  </si>
  <si>
    <t>D22</t>
  </si>
  <si>
    <t>参考２（詳細）推計削減量7</t>
    <rPh sb="0" eb="2">
      <t>サンコウ</t>
    </rPh>
    <rPh sb="4" eb="6">
      <t>ショウサイ</t>
    </rPh>
    <rPh sb="7" eb="9">
      <t>スイケイ</t>
    </rPh>
    <rPh sb="9" eb="11">
      <t>サクゲン</t>
    </rPh>
    <rPh sb="11" eb="12">
      <t>リョウ</t>
    </rPh>
    <phoneticPr fontId="2"/>
  </si>
  <si>
    <t>D23</t>
  </si>
  <si>
    <t>参考２（詳細）推計削減量8</t>
    <rPh sb="0" eb="2">
      <t>サンコウ</t>
    </rPh>
    <rPh sb="4" eb="6">
      <t>ショウサイ</t>
    </rPh>
    <rPh sb="7" eb="9">
      <t>スイケイ</t>
    </rPh>
    <rPh sb="9" eb="11">
      <t>サクゲン</t>
    </rPh>
    <rPh sb="11" eb="12">
      <t>リョウ</t>
    </rPh>
    <phoneticPr fontId="2"/>
  </si>
  <si>
    <t>D24</t>
  </si>
  <si>
    <t>参考２（詳細）推計削減量9</t>
    <rPh sb="0" eb="2">
      <t>サンコウ</t>
    </rPh>
    <rPh sb="4" eb="6">
      <t>ショウサイ</t>
    </rPh>
    <rPh sb="7" eb="9">
      <t>スイケイ</t>
    </rPh>
    <rPh sb="9" eb="11">
      <t>サクゲン</t>
    </rPh>
    <rPh sb="11" eb="12">
      <t>リョウ</t>
    </rPh>
    <phoneticPr fontId="2"/>
  </si>
  <si>
    <t>D25</t>
  </si>
  <si>
    <t>参考２（詳細）推計削減量10</t>
    <rPh sb="0" eb="2">
      <t>サンコウ</t>
    </rPh>
    <rPh sb="4" eb="6">
      <t>ショウサイ</t>
    </rPh>
    <rPh sb="7" eb="9">
      <t>スイケイ</t>
    </rPh>
    <rPh sb="9" eb="11">
      <t>サクゲン</t>
    </rPh>
    <rPh sb="11" eb="12">
      <t>リョウ</t>
    </rPh>
    <phoneticPr fontId="2"/>
  </si>
  <si>
    <t>D26</t>
  </si>
  <si>
    <t>使用量_原油（コンデンセートを除く。）</t>
  </si>
  <si>
    <t>使用量_原油のうちコンデンセート(NGL)</t>
  </si>
  <si>
    <t>使用量_揮発油</t>
  </si>
  <si>
    <t>使用量_ナフサ</t>
  </si>
  <si>
    <t>使用量_灯油</t>
  </si>
  <si>
    <t>使用量_軽油</t>
  </si>
  <si>
    <t>使用量_Ａ重油</t>
  </si>
  <si>
    <t>使用量_Ｂ・Ｃ重油</t>
  </si>
  <si>
    <t>使用量_石油アスファルト</t>
  </si>
  <si>
    <t>使用量_石油コークス</t>
  </si>
  <si>
    <t>使用量_液化石油ガス     (LPG)</t>
  </si>
  <si>
    <t>使用量_石油系炭化水素ガス</t>
  </si>
  <si>
    <t>使用量_液化天然ガス     (LNG)</t>
  </si>
  <si>
    <t>使用量_その他可燃性天然ガス</t>
  </si>
  <si>
    <t>使用量_原料炭</t>
  </si>
  <si>
    <t>使用量_一般炭</t>
  </si>
  <si>
    <t>使用量_無煙炭</t>
  </si>
  <si>
    <t>使用量_石炭コークス</t>
  </si>
  <si>
    <t>使用量_コールタール</t>
  </si>
  <si>
    <t>使用量_コークス炉ガス</t>
  </si>
  <si>
    <t>使用量_高炉ガス</t>
  </si>
  <si>
    <t>使用量_転炉ガス</t>
  </si>
  <si>
    <t>使用量_都市ガス</t>
  </si>
  <si>
    <t>使用量_テナント空調等推計値</t>
  </si>
  <si>
    <t>使用量_その他の燃料 （ジェット燃料油）</t>
  </si>
  <si>
    <t>使用量_その他の燃料 （)</t>
  </si>
  <si>
    <t>外部
供給量_原油（コンデンセートを除く。）</t>
  </si>
  <si>
    <t>外部
供給量_原油のうちコンデンセート(NGL)</t>
  </si>
  <si>
    <t>外部
供給量_揮発油</t>
  </si>
  <si>
    <t>外部
供給量_ナフサ</t>
  </si>
  <si>
    <t>外部
供給量_灯油</t>
  </si>
  <si>
    <t>外部
供給量_軽油</t>
  </si>
  <si>
    <t>外部
供給量_Ａ重油</t>
  </si>
  <si>
    <t>外部
供給量_Ｂ・Ｃ重油</t>
  </si>
  <si>
    <t>外部
供給量_石油アスファルト</t>
  </si>
  <si>
    <t>外部
供給量_石油コークス</t>
  </si>
  <si>
    <t>外部
供給量_液化石油ガス     (LPG)</t>
  </si>
  <si>
    <t>外部
供給量_石油系炭化水素ガス</t>
  </si>
  <si>
    <t>外部
供給量_液化天然ガス     (LNG)</t>
  </si>
  <si>
    <t>外部
供給量_その他可燃性天然ガス</t>
  </si>
  <si>
    <t>外部
供給量_原料炭</t>
  </si>
  <si>
    <t>外部
供給量_一般炭</t>
  </si>
  <si>
    <t>外部
供給量_無煙炭</t>
  </si>
  <si>
    <t>外部
供給量_石炭コークス</t>
  </si>
  <si>
    <t>外部
供給量_コールタール</t>
  </si>
  <si>
    <t>外部
供給量_コークス炉ガス</t>
  </si>
  <si>
    <t>外部
供給量_高炉ガス</t>
  </si>
  <si>
    <t>外部
供給量_転炉ガス</t>
  </si>
  <si>
    <t>外部
供給量_都市ガス</t>
  </si>
  <si>
    <t>外部
供給量_テナント空調等推計値</t>
  </si>
  <si>
    <t>外部
供給量_その他の燃料 （ジェット燃料油）</t>
  </si>
  <si>
    <t>外部
供給量_その他の燃料 （)</t>
  </si>
  <si>
    <t>単位_その他の燃料 （)</t>
  </si>
  <si>
    <t>H30</t>
  </si>
  <si>
    <t>熱量
(GJ)_その他の燃料 （)</t>
  </si>
  <si>
    <t>I30</t>
  </si>
  <si>
    <t>排出量
(t-CO2)_その他の燃料 （)</t>
  </si>
  <si>
    <t>J30</t>
  </si>
  <si>
    <t>その他の燃料の名称</t>
  </si>
  <si>
    <t>L30</t>
  </si>
  <si>
    <t>その他の燃料の換算係数</t>
  </si>
  <si>
    <t>M30</t>
  </si>
  <si>
    <t>その他の燃料の排出係数</t>
  </si>
  <si>
    <t>N30</t>
  </si>
  <si>
    <t>使用量_産業用蒸気</t>
  </si>
  <si>
    <t>使用量_産業用以外の蒸気</t>
  </si>
  <si>
    <t>使用量_温水</t>
  </si>
  <si>
    <t>使用量_冷水</t>
  </si>
  <si>
    <t>外部供給量_産業用蒸気</t>
  </si>
  <si>
    <t>外部供給量_産業用以外の蒸気</t>
  </si>
  <si>
    <t>外部供給量_温水</t>
  </si>
  <si>
    <t>外部供給量_冷水</t>
  </si>
  <si>
    <r>
      <t>非エネルギー起源二酸化炭素（CO</t>
    </r>
    <r>
      <rPr>
        <vertAlign val="subscript"/>
        <sz val="10"/>
        <rFont val="ＭＳ Ｐゴシック"/>
        <family val="3"/>
        <charset val="128"/>
      </rPr>
      <t>2</t>
    </r>
    <r>
      <rPr>
        <sz val="10"/>
        <rFont val="ＭＳ Ｐゴシック"/>
        <family val="3"/>
        <charset val="128"/>
      </rPr>
      <t>）</t>
    </r>
    <rPh sb="0" eb="1">
      <t>ヒ</t>
    </rPh>
    <rPh sb="6" eb="8">
      <t>キゲン</t>
    </rPh>
    <rPh sb="8" eb="11">
      <t>ニサンカ</t>
    </rPh>
    <rPh sb="11" eb="13">
      <t>タンソ</t>
    </rPh>
    <phoneticPr fontId="3"/>
  </si>
  <si>
    <t>メタン（CH4）</t>
  </si>
  <si>
    <r>
      <t>一酸化二窒素（N</t>
    </r>
    <r>
      <rPr>
        <vertAlign val="subscript"/>
        <sz val="10"/>
        <rFont val="ＭＳ Ｐゴシック"/>
        <family val="3"/>
        <charset val="128"/>
      </rPr>
      <t>2</t>
    </r>
    <r>
      <rPr>
        <sz val="10"/>
        <rFont val="ＭＳ Ｐゴシック"/>
        <family val="3"/>
        <charset val="128"/>
      </rPr>
      <t>O）</t>
    </r>
    <rPh sb="0" eb="3">
      <t>イッサンカ</t>
    </rPh>
    <rPh sb="3" eb="4">
      <t>ニ</t>
    </rPh>
    <rPh sb="4" eb="6">
      <t>チッソ</t>
    </rPh>
    <phoneticPr fontId="6"/>
  </si>
  <si>
    <t>E59</t>
  </si>
  <si>
    <t>ハイドロフルオロカーボン（HFC）</t>
  </si>
  <si>
    <t>E60</t>
  </si>
  <si>
    <t>パーフルオロカーボン（PFC）</t>
  </si>
  <si>
    <t>E61</t>
  </si>
  <si>
    <r>
      <t>六フッ化硫黄（SF</t>
    </r>
    <r>
      <rPr>
        <vertAlign val="subscript"/>
        <sz val="10"/>
        <rFont val="ＭＳ Ｐゴシック"/>
        <family val="3"/>
        <charset val="128"/>
      </rPr>
      <t>6</t>
    </r>
    <r>
      <rPr>
        <sz val="10"/>
        <rFont val="ＭＳ Ｐゴシック"/>
        <family val="3"/>
        <charset val="128"/>
      </rPr>
      <t>）</t>
    </r>
    <rPh sb="0" eb="1">
      <t>ロク</t>
    </rPh>
    <rPh sb="3" eb="4">
      <t>カ</t>
    </rPh>
    <rPh sb="4" eb="6">
      <t>イオウ</t>
    </rPh>
    <phoneticPr fontId="6"/>
  </si>
  <si>
    <t>E62</t>
  </si>
  <si>
    <r>
      <t>三フッ化窒素（NF</t>
    </r>
    <r>
      <rPr>
        <vertAlign val="subscript"/>
        <sz val="10"/>
        <rFont val="ＭＳ Ｐゴシック"/>
        <family val="3"/>
        <charset val="128"/>
      </rPr>
      <t>3</t>
    </r>
    <r>
      <rPr>
        <sz val="10"/>
        <rFont val="ＭＳ Ｐゴシック"/>
        <family val="3"/>
        <charset val="128"/>
      </rPr>
      <t>）</t>
    </r>
    <rPh sb="0" eb="1">
      <t>サン</t>
    </rPh>
    <rPh sb="3" eb="4">
      <t>カ</t>
    </rPh>
    <rPh sb="4" eb="6">
      <t>チッソ</t>
    </rPh>
    <phoneticPr fontId="6"/>
  </si>
  <si>
    <t>電気事業者名１</t>
    <rPh sb="5" eb="6">
      <t>メイ</t>
    </rPh>
    <phoneticPr fontId="5"/>
  </si>
  <si>
    <t>電気事業者名２</t>
    <rPh sb="5" eb="6">
      <t>メイ</t>
    </rPh>
    <phoneticPr fontId="5"/>
  </si>
  <si>
    <t>電気事業者名３</t>
    <rPh sb="5" eb="6">
      <t>メイ</t>
    </rPh>
    <phoneticPr fontId="5"/>
  </si>
  <si>
    <t>電気事業者名４</t>
    <rPh sb="5" eb="6">
      <t>メイ</t>
    </rPh>
    <phoneticPr fontId="5"/>
  </si>
  <si>
    <t>昼間買電量(千kWh)１</t>
  </si>
  <si>
    <t>昼間買電量(千kWh)２</t>
  </si>
  <si>
    <t>昼間買電量(千kWh)３</t>
  </si>
  <si>
    <t>昼間買電量(千kWh)４</t>
  </si>
  <si>
    <t>夜間買電量(千kWh)１</t>
  </si>
  <si>
    <t>夜間買電量(千kWh)２</t>
  </si>
  <si>
    <t>夜間買電量(千kWh)３</t>
  </si>
  <si>
    <t>夜間買電量(千kWh)４</t>
  </si>
  <si>
    <t>自家発電_売電量(千kWh)</t>
    <rPh sb="5" eb="7">
      <t>バイデン</t>
    </rPh>
    <rPh sb="7" eb="8">
      <t>リョウ</t>
    </rPh>
    <phoneticPr fontId="6"/>
  </si>
  <si>
    <t>自家発電_換算係数(GJ/千ｋWh)</t>
    <rPh sb="5" eb="7">
      <t>カンサン</t>
    </rPh>
    <rPh sb="7" eb="9">
      <t>ケイスウ</t>
    </rPh>
    <phoneticPr fontId="6"/>
  </si>
  <si>
    <t>N62</t>
  </si>
  <si>
    <t>自家発電_排出係数(tCO2/千kWh)</t>
  </si>
  <si>
    <t>O62</t>
  </si>
  <si>
    <t>その他買電１</t>
    <rPh sb="2" eb="3">
      <t>タ</t>
    </rPh>
    <rPh sb="3" eb="5">
      <t>バイデン</t>
    </rPh>
    <phoneticPr fontId="5"/>
  </si>
  <si>
    <t>L65</t>
  </si>
  <si>
    <t>その他買電２</t>
    <rPh sb="2" eb="3">
      <t>タ</t>
    </rPh>
    <rPh sb="3" eb="5">
      <t>バイデン</t>
    </rPh>
    <phoneticPr fontId="5"/>
  </si>
  <si>
    <t>L66</t>
  </si>
  <si>
    <t>その他買電_買電量(千kWh)１</t>
  </si>
  <si>
    <t>その他買電_買電量(千kWh)２</t>
  </si>
  <si>
    <t>M66</t>
  </si>
  <si>
    <t>その他買電_排出係数(tCO2/千kWh)１</t>
  </si>
  <si>
    <t>N65</t>
  </si>
  <si>
    <t>その他買電_排出係数(tCO2/千kWh)２</t>
  </si>
  <si>
    <t>N66</t>
  </si>
  <si>
    <t>クレジット等の種類１</t>
    <rPh sb="5" eb="6">
      <t>ナド</t>
    </rPh>
    <rPh sb="7" eb="9">
      <t>シュルイ</t>
    </rPh>
    <phoneticPr fontId="3"/>
  </si>
  <si>
    <t>クレジット等の種類２</t>
    <rPh sb="5" eb="6">
      <t>ナド</t>
    </rPh>
    <rPh sb="7" eb="9">
      <t>シュルイ</t>
    </rPh>
    <phoneticPr fontId="3"/>
  </si>
  <si>
    <t>クレジット等の種類３</t>
    <rPh sb="5" eb="6">
      <t>ナド</t>
    </rPh>
    <rPh sb="7" eb="9">
      <t>シュルイ</t>
    </rPh>
    <phoneticPr fontId="3"/>
  </si>
  <si>
    <t>クレジット等の種類４</t>
    <rPh sb="5" eb="6">
      <t>ナド</t>
    </rPh>
    <rPh sb="7" eb="9">
      <t>シュルイ</t>
    </rPh>
    <phoneticPr fontId="3"/>
  </si>
  <si>
    <t>クレジット等の種類５</t>
    <rPh sb="5" eb="6">
      <t>ナド</t>
    </rPh>
    <rPh sb="7" eb="9">
      <t>シュルイ</t>
    </rPh>
    <phoneticPr fontId="3"/>
  </si>
  <si>
    <t>クレジット等の種類６</t>
    <rPh sb="5" eb="6">
      <t>ナド</t>
    </rPh>
    <rPh sb="7" eb="9">
      <t>シュルイ</t>
    </rPh>
    <phoneticPr fontId="3"/>
  </si>
  <si>
    <t>C73</t>
  </si>
  <si>
    <t>クレジット等の種類７</t>
    <rPh sb="5" eb="6">
      <t>ナド</t>
    </rPh>
    <rPh sb="7" eb="9">
      <t>シュルイ</t>
    </rPh>
    <phoneticPr fontId="3"/>
  </si>
  <si>
    <t>C74</t>
  </si>
  <si>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１</t>
    </r>
    <rPh sb="7" eb="9">
      <t>サクゲン</t>
    </rPh>
    <rPh sb="9" eb="10">
      <t>リョウ</t>
    </rPh>
    <phoneticPr fontId="5"/>
  </si>
  <si>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２</t>
    </r>
    <r>
      <rPr>
        <sz val="11"/>
        <color theme="1"/>
        <rFont val="ＭＳ Ｐゴシック"/>
        <family val="2"/>
        <charset val="128"/>
      </rPr>
      <t/>
    </r>
    <rPh sb="7" eb="9">
      <t>サクゲン</t>
    </rPh>
    <rPh sb="9" eb="10">
      <t>リョウ</t>
    </rPh>
    <phoneticPr fontId="5"/>
  </si>
  <si>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３</t>
    </r>
    <r>
      <rPr>
        <sz val="11"/>
        <color theme="1"/>
        <rFont val="ＭＳ Ｐゴシック"/>
        <family val="2"/>
        <charset val="128"/>
      </rPr>
      <t/>
    </r>
    <rPh sb="7" eb="9">
      <t>サクゲン</t>
    </rPh>
    <rPh sb="9" eb="10">
      <t>リョウ</t>
    </rPh>
    <phoneticPr fontId="5"/>
  </si>
  <si>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４</t>
    </r>
    <r>
      <rPr>
        <sz val="11"/>
        <color theme="1"/>
        <rFont val="ＭＳ Ｐゴシック"/>
        <family val="2"/>
        <charset val="128"/>
      </rPr>
      <t/>
    </r>
    <rPh sb="7" eb="9">
      <t>サクゲン</t>
    </rPh>
    <rPh sb="9" eb="10">
      <t>リョウ</t>
    </rPh>
    <phoneticPr fontId="5"/>
  </si>
  <si>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５</t>
    </r>
    <r>
      <rPr>
        <sz val="11"/>
        <color theme="1"/>
        <rFont val="ＭＳ Ｐゴシック"/>
        <family val="2"/>
        <charset val="128"/>
      </rPr>
      <t/>
    </r>
    <rPh sb="7" eb="9">
      <t>サクゲン</t>
    </rPh>
    <rPh sb="9" eb="10">
      <t>リョウ</t>
    </rPh>
    <phoneticPr fontId="5"/>
  </si>
  <si>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６</t>
    </r>
    <r>
      <rPr>
        <sz val="11"/>
        <color theme="1"/>
        <rFont val="ＭＳ Ｐゴシック"/>
        <family val="2"/>
        <charset val="128"/>
      </rPr>
      <t/>
    </r>
    <rPh sb="7" eb="9">
      <t>サクゲン</t>
    </rPh>
    <rPh sb="9" eb="10">
      <t>リョウ</t>
    </rPh>
    <phoneticPr fontId="5"/>
  </si>
  <si>
    <t>E73</t>
  </si>
  <si>
    <r>
      <t>クレジット等の削減量</t>
    </r>
    <r>
      <rPr>
        <sz val="10"/>
        <rFont val="Arial"/>
        <family val="2"/>
      </rPr>
      <t>(t-CO</t>
    </r>
    <r>
      <rPr>
        <vertAlign val="subscript"/>
        <sz val="10"/>
        <rFont val="Arial"/>
        <family val="2"/>
      </rPr>
      <t>2</t>
    </r>
    <r>
      <rPr>
        <sz val="10"/>
        <rFont val="Arial"/>
        <family val="2"/>
      </rPr>
      <t>)</t>
    </r>
    <r>
      <rPr>
        <sz val="10"/>
        <rFont val="游ゴシック"/>
        <family val="2"/>
        <charset val="128"/>
      </rPr>
      <t>７</t>
    </r>
    <r>
      <rPr>
        <sz val="11"/>
        <color theme="1"/>
        <rFont val="ＭＳ Ｐゴシック"/>
        <family val="2"/>
        <charset val="128"/>
      </rPr>
      <t/>
    </r>
    <rPh sb="7" eb="9">
      <t>サクゲン</t>
    </rPh>
    <rPh sb="9" eb="10">
      <t>リョウ</t>
    </rPh>
    <phoneticPr fontId="5"/>
  </si>
  <si>
    <t>E74</t>
  </si>
  <si>
    <t>原単位の名称</t>
    <rPh sb="4" eb="6">
      <t>メイショウ</t>
    </rPh>
    <phoneticPr fontId="5"/>
  </si>
  <si>
    <t>D79</t>
  </si>
  <si>
    <t>原単位の単位</t>
  </si>
  <si>
    <t>原単位の数値</t>
  </si>
  <si>
    <t>写真</t>
    <rPh sb="0" eb="2">
      <t>シャシン</t>
    </rPh>
    <phoneticPr fontId="1"/>
  </si>
  <si>
    <t>写真</t>
    <rPh sb="0" eb="2">
      <t>シャシン</t>
    </rPh>
    <phoneticPr fontId="1"/>
  </si>
  <si>
    <t xml:space="preserve"> </t>
    <phoneticPr fontId="1"/>
  </si>
  <si>
    <t>‡</t>
    <phoneticPr fontId="1"/>
  </si>
  <si>
    <t>🗡</t>
    <phoneticPr fontId="1"/>
  </si>
  <si>
    <t>第3年度その他取組内容</t>
    <rPh sb="0" eb="1">
      <t>ダイ</t>
    </rPh>
    <rPh sb="2" eb="4">
      <t>ネンド</t>
    </rPh>
    <rPh sb="6" eb="7">
      <t>タ</t>
    </rPh>
    <rPh sb="7" eb="9">
      <t>トリクミ</t>
    </rPh>
    <rPh sb="9" eb="11">
      <t>ナイヨウ</t>
    </rPh>
    <phoneticPr fontId="1"/>
  </si>
  <si>
    <t>第2年度その他取組内容</t>
    <rPh sb="0" eb="1">
      <t>ダイ</t>
    </rPh>
    <rPh sb="2" eb="4">
      <t>ネンド</t>
    </rPh>
    <rPh sb="6" eb="7">
      <t>タ</t>
    </rPh>
    <rPh sb="7" eb="9">
      <t>トリクミ</t>
    </rPh>
    <rPh sb="9" eb="11">
      <t>ナイヨウ</t>
    </rPh>
    <phoneticPr fontId="1"/>
  </si>
  <si>
    <t>第1年度その他取組内容</t>
    <rPh sb="0" eb="1">
      <t>ダイ</t>
    </rPh>
    <rPh sb="2" eb="4">
      <t>ネンド</t>
    </rPh>
    <rPh sb="6" eb="7">
      <t>タ</t>
    </rPh>
    <rPh sb="7" eb="9">
      <t>トリクミ</t>
    </rPh>
    <rPh sb="9" eb="11">
      <t>ナイヨウ</t>
    </rPh>
    <phoneticPr fontId="1"/>
  </si>
  <si>
    <t>実施状況第3年度</t>
    <phoneticPr fontId="1"/>
  </si>
  <si>
    <t>実施状況第1年度</t>
  </si>
  <si>
    <t>実施状況第2年度</t>
  </si>
  <si>
    <t>実施状況第基準年度</t>
    <rPh sb="5" eb="7">
      <t>キジュン</t>
    </rPh>
    <phoneticPr fontId="1"/>
  </si>
  <si>
    <t>基本対策の
実施計画</t>
    <rPh sb="0" eb="2">
      <t>キホン</t>
    </rPh>
    <rPh sb="2" eb="4">
      <t>タイサク</t>
    </rPh>
    <rPh sb="6" eb="8">
      <t>ジッシ</t>
    </rPh>
    <rPh sb="8" eb="10">
      <t>ケイカク</t>
    </rPh>
    <phoneticPr fontId="4"/>
  </si>
  <si>
    <t>選択対策の
実施計画</t>
    <rPh sb="0" eb="2">
      <t>センタク</t>
    </rPh>
    <rPh sb="2" eb="4">
      <t>タイサク</t>
    </rPh>
    <rPh sb="6" eb="8">
      <t>ジッシ</t>
    </rPh>
    <rPh sb="8" eb="10">
      <t>ケイカク</t>
    </rPh>
    <phoneticPr fontId="4"/>
  </si>
  <si>
    <t>選択対策の
実施状況</t>
    <rPh sb="0" eb="2">
      <t>センタク</t>
    </rPh>
    <rPh sb="2" eb="4">
      <t>タイサク</t>
    </rPh>
    <rPh sb="6" eb="8">
      <t>ジッシ</t>
    </rPh>
    <rPh sb="8" eb="10">
      <t>ジョウキョウ</t>
    </rPh>
    <phoneticPr fontId="4"/>
  </si>
  <si>
    <t>具体的な取組内容</t>
    <rPh sb="0" eb="2">
      <t>グタイ</t>
    </rPh>
    <rPh sb="2" eb="3">
      <t>テキ</t>
    </rPh>
    <rPh sb="4" eb="6">
      <t>トリクミ</t>
    </rPh>
    <rPh sb="6" eb="8">
      <t>ナイヨウ</t>
    </rPh>
    <phoneticPr fontId="1"/>
  </si>
  <si>
    <t>具体的な取組内容（自由記述）</t>
    <rPh sb="0" eb="2">
      <t>グタイ</t>
    </rPh>
    <rPh sb="2" eb="3">
      <t>テキ</t>
    </rPh>
    <rPh sb="4" eb="6">
      <t>トリクミ</t>
    </rPh>
    <rPh sb="6" eb="8">
      <t>ナイヨウ</t>
    </rPh>
    <rPh sb="9" eb="11">
      <t>ジユウ</t>
    </rPh>
    <rPh sb="11" eb="13">
      <t>キジュツ</t>
    </rPh>
    <phoneticPr fontId="1"/>
  </si>
  <si>
    <t>具体的な取組内容</t>
    <rPh sb="2" eb="3">
      <t>テキ</t>
    </rPh>
    <phoneticPr fontId="1"/>
  </si>
  <si>
    <t>LEN</t>
    <phoneticPr fontId="1"/>
  </si>
  <si>
    <t>-</t>
    <phoneticPr fontId="1"/>
  </si>
  <si>
    <t>基本対策の
実施状況</t>
    <rPh sb="0" eb="2">
      <t>キホン</t>
    </rPh>
    <rPh sb="2" eb="4">
      <t>タイサク</t>
    </rPh>
    <rPh sb="6" eb="8">
      <t>ジッシ</t>
    </rPh>
    <rPh sb="8" eb="10">
      <t>ジョウキョウ</t>
    </rPh>
    <phoneticPr fontId="4"/>
  </si>
  <si>
    <t>具体的な取組内容</t>
    <rPh sb="2" eb="3">
      <t>テキ</t>
    </rPh>
    <rPh sb="4" eb="6">
      <t>トリクミ</t>
    </rPh>
    <phoneticPr fontId="1"/>
  </si>
  <si>
    <t>事業者温室効果ガス削減計画書（第二計画期間）</t>
    <rPh sb="0" eb="3">
      <t>ジギョウシャ</t>
    </rPh>
    <rPh sb="3" eb="5">
      <t>オンシツ</t>
    </rPh>
    <rPh sb="5" eb="7">
      <t>コウカ</t>
    </rPh>
    <rPh sb="9" eb="11">
      <t>サクゲン</t>
    </rPh>
    <rPh sb="11" eb="13">
      <t>ケイカク</t>
    </rPh>
    <rPh sb="13" eb="14">
      <t>ショ</t>
    </rPh>
    <phoneticPr fontId="1"/>
  </si>
  <si>
    <t>非化石エネルギーの使用目標割合</t>
    <rPh sb="9" eb="11">
      <t>シヨウ</t>
    </rPh>
    <rPh sb="11" eb="13">
      <t>モクヒョウ</t>
    </rPh>
    <rPh sb="13" eb="15">
      <t>ワリアイ</t>
    </rPh>
    <phoneticPr fontId="4"/>
  </si>
  <si>
    <t>非化石電気</t>
    <rPh sb="0" eb="3">
      <t>ヒカセキ</t>
    </rPh>
    <rPh sb="3" eb="5">
      <t>デンキ</t>
    </rPh>
    <phoneticPr fontId="4"/>
  </si>
  <si>
    <t>その他
非化石エネルギー等</t>
    <rPh sb="2" eb="3">
      <t>タ</t>
    </rPh>
    <rPh sb="4" eb="7">
      <t>ヒカセキ</t>
    </rPh>
    <rPh sb="12" eb="13">
      <t>トウ</t>
    </rPh>
    <phoneticPr fontId="4"/>
  </si>
  <si>
    <t>温室効果ガス
の排出の状況</t>
    <phoneticPr fontId="4"/>
  </si>
  <si>
    <t>温室効果ガス
排出抑制に係る
目標</t>
    <rPh sb="7" eb="11">
      <t>ハイシュツヨクセイ</t>
    </rPh>
    <rPh sb="12" eb="13">
      <t>カカ</t>
    </rPh>
    <rPh sb="15" eb="17">
      <t>モクヒョウ</t>
    </rPh>
    <phoneticPr fontId="4"/>
  </si>
  <si>
    <t>(目標年度)</t>
    <rPh sb="1" eb="3">
      <t>モクヒョウ</t>
    </rPh>
    <rPh sb="3" eb="5">
      <t>ネンド</t>
    </rPh>
    <phoneticPr fontId="4"/>
  </si>
  <si>
    <t>事業者温室効果ガス削減報告書（第二計画期間）</t>
    <rPh sb="0" eb="3">
      <t>ジギョウシャ</t>
    </rPh>
    <rPh sb="3" eb="5">
      <t>オンシツ</t>
    </rPh>
    <rPh sb="5" eb="7">
      <t>コウカ</t>
    </rPh>
    <rPh sb="9" eb="11">
      <t>サクゲン</t>
    </rPh>
    <rPh sb="11" eb="13">
      <t>ホウコク</t>
    </rPh>
    <rPh sb="13" eb="14">
      <t>ショ</t>
    </rPh>
    <phoneticPr fontId="1"/>
  </si>
  <si>
    <t>非化石エネルギーの使用割合</t>
    <rPh sb="9" eb="11">
      <t>シヨウ</t>
    </rPh>
    <rPh sb="11" eb="13">
      <t>ワリアイ</t>
    </rPh>
    <phoneticPr fontId="4"/>
  </si>
  <si>
    <t>換気設備の適正管理</t>
  </si>
  <si>
    <t>室内の二酸化炭素濃度を定期的に測定し、許容値を超えない範囲で窓開け換気の回数を減らしている。全熱交換型換気扇による機械換気が適切に実施されている。</t>
  </si>
  <si>
    <t>熱源設備の冷水出口温度が季節ごとに設定されている。設定に基づき、熱源設備の冷水出口温度が管理されている。</t>
  </si>
  <si>
    <t>照明器具の点灯時間がルール化されている。不要な照明の使用や消し忘れをチェックする仕組みがある。センサー等による制御が導入されている。</t>
  </si>
  <si>
    <t>照明の交換時期にあわせ、ＬＥＤ照明に交換している。事業所内の照明の80%（消費電力基準）以上がＬＥＤ照明になっている。</t>
  </si>
  <si>
    <t>蓄電システムの導入</t>
  </si>
  <si>
    <t>事業所内に再生可能エネルギーの利用割合を高めるため、蓄電池等の蓄電システムを導入されている。</t>
  </si>
  <si>
    <t>ＤＲ（デマンドレスポンス）の実施</t>
  </si>
  <si>
    <t>ジェット燃料油</t>
    <phoneticPr fontId="1"/>
  </si>
  <si>
    <t>燃料等の種類</t>
    <rPh sb="0" eb="2">
      <t>ネンリョウ</t>
    </rPh>
    <rPh sb="2" eb="3">
      <t>トウ</t>
    </rPh>
    <rPh sb="4" eb="6">
      <t>シュルイ</t>
    </rPh>
    <phoneticPr fontId="1"/>
  </si>
  <si>
    <t>熱量内訳</t>
    <rPh sb="0" eb="2">
      <t>ネツリョウ</t>
    </rPh>
    <rPh sb="2" eb="4">
      <t>ウチワケ</t>
    </rPh>
    <phoneticPr fontId="1"/>
  </si>
  <si>
    <t>うち非化石熱量</t>
    <rPh sb="2" eb="5">
      <t>ヒカセキ</t>
    </rPh>
    <rPh sb="5" eb="7">
      <t>ネツリョウ</t>
    </rPh>
    <phoneticPr fontId="1"/>
  </si>
  <si>
    <t>非化石割合</t>
    <rPh sb="0" eb="3">
      <t>ヒカセキ</t>
    </rPh>
    <rPh sb="3" eb="5">
      <t>ワリアイ</t>
    </rPh>
    <phoneticPr fontId="1"/>
  </si>
  <si>
    <t>化石燃料</t>
    <rPh sb="0" eb="2">
      <t>カセキ</t>
    </rPh>
    <rPh sb="2" eb="4">
      <t>ネンリョウ</t>
    </rPh>
    <phoneticPr fontId="1"/>
  </si>
  <si>
    <t>非化石燃料</t>
    <rPh sb="0" eb="3">
      <t>ヒカセキ</t>
    </rPh>
    <rPh sb="3" eb="5">
      <t>ネンリョウ</t>
    </rPh>
    <phoneticPr fontId="1"/>
  </si>
  <si>
    <t>電気</t>
    <rPh sb="0" eb="2">
      <t>デンキ</t>
    </rPh>
    <phoneticPr fontId="1"/>
  </si>
  <si>
    <t>化</t>
    <rPh sb="0" eb="1">
      <t>カ</t>
    </rPh>
    <phoneticPr fontId="4"/>
  </si>
  <si>
    <t>非化石電気</t>
    <phoneticPr fontId="1"/>
  </si>
  <si>
    <t>その他非化石エネルギー等</t>
    <phoneticPr fontId="1"/>
  </si>
  <si>
    <t>石</t>
    <rPh sb="0" eb="1">
      <t>イシ</t>
    </rPh>
    <phoneticPr fontId="4"/>
  </si>
  <si>
    <t>燃</t>
    <rPh sb="0" eb="1">
      <t>ネン</t>
    </rPh>
    <phoneticPr fontId="4"/>
  </si>
  <si>
    <t>輸入原料炭</t>
    <rPh sb="0" eb="2">
      <t>ユニュウ</t>
    </rPh>
    <phoneticPr fontId="33"/>
  </si>
  <si>
    <t>料</t>
    <rPh sb="0" eb="1">
      <t>リョウ</t>
    </rPh>
    <phoneticPr fontId="4"/>
  </si>
  <si>
    <t>原料炭</t>
    <rPh sb="0" eb="2">
      <t>ゲンリョウ</t>
    </rPh>
    <rPh sb="2" eb="3">
      <t>スミ</t>
    </rPh>
    <phoneticPr fontId="1"/>
  </si>
  <si>
    <t>コークス用原料炭</t>
    <rPh sb="4" eb="5">
      <t>ヨウ</t>
    </rPh>
    <rPh sb="5" eb="7">
      <t>ゲンリョウ</t>
    </rPh>
    <rPh sb="7" eb="8">
      <t>スミ</t>
    </rPh>
    <phoneticPr fontId="1"/>
  </si>
  <si>
    <t>吹込用原料炭</t>
    <rPh sb="0" eb="2">
      <t>フキコ</t>
    </rPh>
    <rPh sb="2" eb="3">
      <t>ヨウ</t>
    </rPh>
    <rPh sb="3" eb="5">
      <t>ゲンリョウ</t>
    </rPh>
    <rPh sb="5" eb="6">
      <t>スミ</t>
    </rPh>
    <phoneticPr fontId="1"/>
  </si>
  <si>
    <t>一般炭</t>
    <rPh sb="0" eb="2">
      <t>イッパン</t>
    </rPh>
    <rPh sb="2" eb="3">
      <t>スミ</t>
    </rPh>
    <phoneticPr fontId="1"/>
  </si>
  <si>
    <t>輸入一般炭</t>
  </si>
  <si>
    <t>国産一般炭</t>
  </si>
  <si>
    <t>輸入無煙炭</t>
    <rPh sb="0" eb="2">
      <t>ユニュウ</t>
    </rPh>
    <rPh sb="2" eb="5">
      <t>ムエンタン</t>
    </rPh>
    <phoneticPr fontId="1"/>
  </si>
  <si>
    <t>発電用高炉ガス</t>
    <rPh sb="0" eb="3">
      <t>ハツデンヨウ</t>
    </rPh>
    <phoneticPr fontId="33"/>
  </si>
  <si>
    <t>t</t>
  </si>
  <si>
    <t>kl</t>
  </si>
  <si>
    <t>非</t>
    <rPh sb="0" eb="1">
      <t>ヒ</t>
    </rPh>
    <phoneticPr fontId="4"/>
  </si>
  <si>
    <t>千㎥</t>
  </si>
  <si>
    <t>一般廃棄物</t>
    <phoneticPr fontId="1"/>
  </si>
  <si>
    <t>産業廃棄物</t>
    <phoneticPr fontId="1"/>
  </si>
  <si>
    <t>うち非化石</t>
    <rPh sb="2" eb="5">
      <t>ヒカセキ</t>
    </rPh>
    <phoneticPr fontId="11"/>
  </si>
  <si>
    <t>熱</t>
    <rPh sb="0" eb="1">
      <t>ネツ</t>
    </rPh>
    <phoneticPr fontId="4"/>
  </si>
  <si>
    <t>地熱</t>
    <rPh sb="0" eb="2">
      <t>チネツ</t>
    </rPh>
    <phoneticPr fontId="11"/>
  </si>
  <si>
    <t>温泉熱</t>
    <rPh sb="0" eb="3">
      <t>オンセンネツ</t>
    </rPh>
    <phoneticPr fontId="11"/>
  </si>
  <si>
    <t>太陽熱</t>
    <rPh sb="0" eb="3">
      <t>タイヨウネツ</t>
    </rPh>
    <phoneticPr fontId="11"/>
  </si>
  <si>
    <t>雪氷熱</t>
    <rPh sb="0" eb="1">
      <t>セツ</t>
    </rPh>
    <rPh sb="1" eb="2">
      <t>コオリ</t>
    </rPh>
    <rPh sb="2" eb="3">
      <t>ネツ</t>
    </rPh>
    <phoneticPr fontId="11"/>
  </si>
  <si>
    <t>うち非化石    小　計</t>
    <phoneticPr fontId="1"/>
  </si>
  <si>
    <t>電気事業者からの買電
電気事業者名</t>
    <rPh sb="0" eb="2">
      <t>デンキ</t>
    </rPh>
    <rPh sb="2" eb="5">
      <t>ジギョウシャ</t>
    </rPh>
    <rPh sb="8" eb="10">
      <t>バイデン</t>
    </rPh>
    <rPh sb="11" eb="13">
      <t>デンキ</t>
    </rPh>
    <rPh sb="13" eb="16">
      <t>ジギョウシャ</t>
    </rPh>
    <rPh sb="16" eb="17">
      <t>メイ</t>
    </rPh>
    <phoneticPr fontId="4"/>
  </si>
  <si>
    <t>うち非化石
(%)</t>
    <phoneticPr fontId="4"/>
  </si>
  <si>
    <t>電</t>
    <rPh sb="0" eb="1">
      <t>デン</t>
    </rPh>
    <phoneticPr fontId="4"/>
  </si>
  <si>
    <t>自家消費した非化石電気</t>
    <rPh sb="0" eb="2">
      <t>ジカ</t>
    </rPh>
    <rPh sb="2" eb="4">
      <t>ショウヒ</t>
    </rPh>
    <rPh sb="6" eb="9">
      <t>ヒカセキ</t>
    </rPh>
    <rPh sb="9" eb="11">
      <t>デンキ</t>
    </rPh>
    <phoneticPr fontId="1"/>
  </si>
  <si>
    <t>自家消費した非化石電気</t>
    <rPh sb="0" eb="4">
      <t>ジカショウヒ</t>
    </rPh>
    <rPh sb="6" eb="11">
      <t>ヒカセキデンキ</t>
    </rPh>
    <phoneticPr fontId="4"/>
  </si>
  <si>
    <t>使用量
(千kWh)</t>
    <rPh sb="0" eb="2">
      <t>シヨウ</t>
    </rPh>
    <phoneticPr fontId="4"/>
  </si>
  <si>
    <t>太陽光</t>
    <rPh sb="0" eb="3">
      <t>タイヨウコウ</t>
    </rPh>
    <phoneticPr fontId="1"/>
  </si>
  <si>
    <t>水力</t>
    <rPh sb="0" eb="2">
      <t>スイリョク</t>
    </rPh>
    <phoneticPr fontId="1"/>
  </si>
  <si>
    <t>風力</t>
    <rPh sb="0" eb="2">
      <t>フウリョク</t>
    </rPh>
    <phoneticPr fontId="1"/>
  </si>
  <si>
    <t>その他（非燃料由来の非化石）</t>
    <rPh sb="2" eb="3">
      <t>タ</t>
    </rPh>
    <rPh sb="4" eb="7">
      <t>ヒネンリョウ</t>
    </rPh>
    <rPh sb="7" eb="9">
      <t>ユライ</t>
    </rPh>
    <rPh sb="10" eb="13">
      <t>ヒカセキ</t>
    </rPh>
    <phoneticPr fontId="1"/>
  </si>
  <si>
    <t>燃料及び熱の種類</t>
    <phoneticPr fontId="4"/>
  </si>
  <si>
    <t>単位発熱量</t>
    <rPh sb="2" eb="4">
      <t>ハツネツ</t>
    </rPh>
    <rPh sb="4" eb="5">
      <t>リョウ</t>
    </rPh>
    <phoneticPr fontId="1"/>
  </si>
  <si>
    <t>化
石
燃
料</t>
    <phoneticPr fontId="1"/>
  </si>
  <si>
    <t>非
化
石
燃
料</t>
    <rPh sb="0" eb="1">
      <t>ヒ</t>
    </rPh>
    <rPh sb="2" eb="3">
      <t>カ</t>
    </rPh>
    <phoneticPr fontId="34"/>
  </si>
  <si>
    <t>黒液</t>
    <rPh sb="0" eb="1">
      <t>クロ</t>
    </rPh>
    <rPh sb="1" eb="2">
      <t>エキ</t>
    </rPh>
    <phoneticPr fontId="6"/>
  </si>
  <si>
    <t>GJ/t</t>
  </si>
  <si>
    <t>木材</t>
    <rPh sb="0" eb="2">
      <t>モクザイ</t>
    </rPh>
    <phoneticPr fontId="6"/>
  </si>
  <si>
    <t>木質廃材</t>
    <rPh sb="0" eb="2">
      <t>モクシツ</t>
    </rPh>
    <rPh sb="2" eb="4">
      <t>ハイザイ</t>
    </rPh>
    <phoneticPr fontId="6"/>
  </si>
  <si>
    <t>バイオエタノール</t>
  </si>
  <si>
    <t>GJ/kl</t>
  </si>
  <si>
    <t>バイオディーゼル</t>
  </si>
  <si>
    <t>バイオガス</t>
  </si>
  <si>
    <t>GJ/千㎥</t>
  </si>
  <si>
    <t>その他バイオマス</t>
    <rPh sb="2" eb="3">
      <t>タ</t>
    </rPh>
    <phoneticPr fontId="6"/>
  </si>
  <si>
    <t>RDF</t>
  </si>
  <si>
    <t>RPF</t>
  </si>
  <si>
    <t>廃タイヤ</t>
    <rPh sb="0" eb="1">
      <t>ハイ</t>
    </rPh>
    <phoneticPr fontId="6"/>
  </si>
  <si>
    <t>廃プラスチック</t>
    <rPh sb="0" eb="1">
      <t>ハイ</t>
    </rPh>
    <phoneticPr fontId="6"/>
  </si>
  <si>
    <t>一般廃棄物</t>
  </si>
  <si>
    <t>産業廃棄物</t>
  </si>
  <si>
    <t>廃油</t>
    <rPh sb="0" eb="2">
      <t>ハイユ</t>
    </rPh>
    <phoneticPr fontId="6"/>
  </si>
  <si>
    <t>廃棄物ガス</t>
    <rPh sb="0" eb="3">
      <t>ハイキブツ</t>
    </rPh>
    <phoneticPr fontId="6"/>
  </si>
  <si>
    <t>混合廃材</t>
    <rPh sb="0" eb="2">
      <t>コンゴウ</t>
    </rPh>
    <rPh sb="2" eb="4">
      <t>ハイザイ</t>
    </rPh>
    <phoneticPr fontId="6"/>
  </si>
  <si>
    <t>水素</t>
    <rPh sb="0" eb="2">
      <t>スイソ</t>
    </rPh>
    <phoneticPr fontId="6"/>
  </si>
  <si>
    <t>アンモニア</t>
  </si>
  <si>
    <t>熱</t>
    <rPh sb="0" eb="1">
      <t>ネツ</t>
    </rPh>
    <phoneticPr fontId="1"/>
  </si>
  <si>
    <t>地熱</t>
    <rPh sb="0" eb="2">
      <t>チネツ</t>
    </rPh>
    <phoneticPr fontId="1"/>
  </si>
  <si>
    <t>地熱</t>
    <rPh sb="0" eb="2">
      <t>チネツ</t>
    </rPh>
    <phoneticPr fontId="6"/>
  </si>
  <si>
    <t>温泉熱</t>
    <rPh sb="0" eb="3">
      <t>オンセンネツ</t>
    </rPh>
    <phoneticPr fontId="6"/>
  </si>
  <si>
    <t>太陽熱</t>
    <rPh sb="0" eb="3">
      <t>タイヨウネツ</t>
    </rPh>
    <phoneticPr fontId="6"/>
  </si>
  <si>
    <t>雪氷熱</t>
    <rPh sb="0" eb="1">
      <t>セツ</t>
    </rPh>
    <rPh sb="1" eb="2">
      <t>コオリ</t>
    </rPh>
    <rPh sb="2" eb="3">
      <t>ネツ</t>
    </rPh>
    <phoneticPr fontId="6"/>
  </si>
  <si>
    <t>電
気</t>
    <rPh sb="0" eb="1">
      <t>デン</t>
    </rPh>
    <rPh sb="2" eb="3">
      <t>キ</t>
    </rPh>
    <phoneticPr fontId="1"/>
  </si>
  <si>
    <t>GＪ/千kWh</t>
    <rPh sb="3" eb="4">
      <t>セン</t>
    </rPh>
    <phoneticPr fontId="34"/>
  </si>
  <si>
    <t>自己託送
以外</t>
    <rPh sb="0" eb="2">
      <t>ジコ</t>
    </rPh>
    <rPh sb="2" eb="4">
      <t>タクソウ</t>
    </rPh>
    <rPh sb="5" eb="7">
      <t>イガイ</t>
    </rPh>
    <phoneticPr fontId="1"/>
  </si>
  <si>
    <t>電気事業者
からの買電</t>
    <phoneticPr fontId="34"/>
  </si>
  <si>
    <t>化石分</t>
    <rPh sb="0" eb="3">
      <t>カセキブン</t>
    </rPh>
    <phoneticPr fontId="34"/>
  </si>
  <si>
    <t>非化石分</t>
    <rPh sb="0" eb="3">
      <t>ヒカセキ</t>
    </rPh>
    <rPh sb="3" eb="4">
      <t>ブン</t>
    </rPh>
    <phoneticPr fontId="34"/>
  </si>
  <si>
    <t>オフサイト型
PPA</t>
    <rPh sb="5" eb="6">
      <t>ガタ</t>
    </rPh>
    <phoneticPr fontId="1"/>
  </si>
  <si>
    <t>非化石
重み付けなし</t>
    <rPh sb="0" eb="3">
      <t>ヒカセキ</t>
    </rPh>
    <rPh sb="4" eb="5">
      <t>オモ</t>
    </rPh>
    <rPh sb="6" eb="7">
      <t>ツ</t>
    </rPh>
    <phoneticPr fontId="34"/>
  </si>
  <si>
    <t>非化石
重み付けあり</t>
    <rPh sb="0" eb="3">
      <t>ヒカセキ</t>
    </rPh>
    <rPh sb="4" eb="5">
      <t>オモ</t>
    </rPh>
    <rPh sb="6" eb="7">
      <t>ツ</t>
    </rPh>
    <phoneticPr fontId="34"/>
  </si>
  <si>
    <t>自己託送</t>
    <phoneticPr fontId="1"/>
  </si>
  <si>
    <t>非燃料由来の非化石電気</t>
    <rPh sb="0" eb="1">
      <t>ヒ</t>
    </rPh>
    <rPh sb="1" eb="3">
      <t>ネンリョウ</t>
    </rPh>
    <rPh sb="3" eb="5">
      <t>ユライ</t>
    </rPh>
    <rPh sb="6" eb="9">
      <t>ヒカセキ</t>
    </rPh>
    <rPh sb="9" eb="11">
      <t>デンキ</t>
    </rPh>
    <phoneticPr fontId="6"/>
  </si>
  <si>
    <t>上記以外</t>
    <rPh sb="0" eb="2">
      <t>ジョウキ</t>
    </rPh>
    <rPh sb="2" eb="4">
      <t>イガイ</t>
    </rPh>
    <phoneticPr fontId="1"/>
  </si>
  <si>
    <t>自営線</t>
    <rPh sb="0" eb="3">
      <t>ジエイセン</t>
    </rPh>
    <phoneticPr fontId="1"/>
  </si>
  <si>
    <t>自家発電</t>
    <rPh sb="0" eb="2">
      <t>ジカ</t>
    </rPh>
    <rPh sb="2" eb="4">
      <t>ハツデン</t>
    </rPh>
    <phoneticPr fontId="1"/>
  </si>
  <si>
    <t>その他</t>
    <rPh sb="2" eb="3">
      <t>タ</t>
    </rPh>
    <phoneticPr fontId="6"/>
  </si>
  <si>
    <t>非燃料由来
の非化石</t>
    <phoneticPr fontId="1"/>
  </si>
  <si>
    <t>上記以外</t>
    <rPh sb="0" eb="2">
      <t>ジョウキ</t>
    </rPh>
    <rPh sb="2" eb="4">
      <t>イガイ</t>
    </rPh>
    <phoneticPr fontId="34"/>
  </si>
  <si>
    <t>H27</t>
  </si>
  <si>
    <t>M27</t>
  </si>
  <si>
    <t>４．非化石電気目標値</t>
    <rPh sb="7" eb="9">
      <t>モクヒョウ</t>
    </rPh>
    <rPh sb="9" eb="10">
      <t>アタイ</t>
    </rPh>
    <phoneticPr fontId="2"/>
  </si>
  <si>
    <t>C28</t>
    <phoneticPr fontId="1"/>
  </si>
  <si>
    <t>４．その他非化石エネルギー等目標値</t>
    <rPh sb="14" eb="16">
      <t>モクヒョウ</t>
    </rPh>
    <rPh sb="16" eb="17">
      <t>アタイ</t>
    </rPh>
    <phoneticPr fontId="2"/>
  </si>
  <si>
    <t>I6</t>
  </si>
  <si>
    <t>I7</t>
  </si>
  <si>
    <t>I8</t>
  </si>
  <si>
    <t>I11</t>
  </si>
  <si>
    <t>I12</t>
  </si>
  <si>
    <t>I13</t>
  </si>
  <si>
    <t>I14</t>
  </si>
  <si>
    <t>I15</t>
  </si>
  <si>
    <t>I16</t>
  </si>
  <si>
    <t>I17</t>
  </si>
  <si>
    <t>I18</t>
  </si>
  <si>
    <t>I19</t>
  </si>
  <si>
    <t>I20</t>
  </si>
  <si>
    <t>I26</t>
  </si>
  <si>
    <t>I27</t>
  </si>
  <si>
    <t>I28</t>
  </si>
  <si>
    <t>I29</t>
  </si>
  <si>
    <t>I32</t>
  </si>
  <si>
    <t>I33</t>
  </si>
  <si>
    <t>J6</t>
  </si>
  <si>
    <t>J7</t>
  </si>
  <si>
    <t>J8</t>
  </si>
  <si>
    <t>J10</t>
  </si>
  <si>
    <t>J11</t>
  </si>
  <si>
    <t>J12</t>
  </si>
  <si>
    <t>J13</t>
  </si>
  <si>
    <t>J14</t>
  </si>
  <si>
    <t>J15</t>
  </si>
  <si>
    <t>J16</t>
  </si>
  <si>
    <t>J17</t>
  </si>
  <si>
    <t>J18</t>
  </si>
  <si>
    <t>J19</t>
  </si>
  <si>
    <t>J20</t>
  </si>
  <si>
    <t>J26</t>
  </si>
  <si>
    <t>J27</t>
  </si>
  <si>
    <t>J28</t>
  </si>
  <si>
    <t>J29</t>
  </si>
  <si>
    <t>J32</t>
  </si>
  <si>
    <t>J33</t>
  </si>
  <si>
    <t>J9</t>
  </si>
  <si>
    <t>J34</t>
  </si>
  <si>
    <t>J66</t>
  </si>
  <si>
    <t>G99</t>
  </si>
  <si>
    <t>G100</t>
  </si>
  <si>
    <t>G101</t>
  </si>
  <si>
    <t>G102</t>
  </si>
  <si>
    <t>電気事業者１排出係数</t>
    <rPh sb="6" eb="8">
      <t>ハイシュツ</t>
    </rPh>
    <rPh sb="8" eb="10">
      <t>ケイスウ</t>
    </rPh>
    <phoneticPr fontId="5"/>
  </si>
  <si>
    <t>電気事業者２排出係数</t>
    <rPh sb="6" eb="8">
      <t>ハイシュツ</t>
    </rPh>
    <rPh sb="8" eb="10">
      <t>ケイスウ</t>
    </rPh>
    <phoneticPr fontId="5"/>
  </si>
  <si>
    <t>電気事業者３排出係数</t>
    <rPh sb="6" eb="8">
      <t>ハイシュツ</t>
    </rPh>
    <rPh sb="8" eb="10">
      <t>ケイスウ</t>
    </rPh>
    <phoneticPr fontId="5"/>
  </si>
  <si>
    <t>電気事業者４排出係数</t>
    <rPh sb="6" eb="8">
      <t>ハイシュツ</t>
    </rPh>
    <rPh sb="8" eb="10">
      <t>ケイスウ</t>
    </rPh>
    <phoneticPr fontId="5"/>
  </si>
  <si>
    <t>O49</t>
    <phoneticPr fontId="1"/>
  </si>
  <si>
    <t>O50</t>
  </si>
  <si>
    <t>O51</t>
  </si>
  <si>
    <t>O52</t>
  </si>
  <si>
    <t>C109</t>
    <phoneticPr fontId="1"/>
  </si>
  <si>
    <t>C110</t>
  </si>
  <si>
    <t>C111</t>
  </si>
  <si>
    <t>C112</t>
  </si>
  <si>
    <t>C113</t>
  </si>
  <si>
    <t>C114</t>
  </si>
  <si>
    <t>C115</t>
  </si>
  <si>
    <t>G109</t>
  </si>
  <si>
    <t>G110</t>
  </si>
  <si>
    <t>G111</t>
  </si>
  <si>
    <t>G112</t>
  </si>
  <si>
    <t>G113</t>
  </si>
  <si>
    <t>G114</t>
  </si>
  <si>
    <t>G115</t>
  </si>
  <si>
    <t>その他非化石
エネルギー等</t>
    <rPh sb="2" eb="3">
      <t>タ</t>
    </rPh>
    <rPh sb="3" eb="6">
      <t>ヒカセキ</t>
    </rPh>
    <rPh sb="12" eb="13">
      <t>トウ</t>
    </rPh>
    <phoneticPr fontId="1"/>
  </si>
  <si>
    <t>ＬＥＤ 照明器具の導入</t>
  </si>
  <si>
    <t>温室効果ガスの
排出状況
及び削減目標
・
非化石エネルギー
の
使用割合目標</t>
    <rPh sb="0" eb="2">
      <t>オンシツ</t>
    </rPh>
    <rPh sb="2" eb="4">
      <t>コウカ</t>
    </rPh>
    <rPh sb="8" eb="10">
      <t>ハイシュツ</t>
    </rPh>
    <rPh sb="10" eb="12">
      <t>ジョウキョウ</t>
    </rPh>
    <rPh sb="13" eb="14">
      <t>オヨ</t>
    </rPh>
    <rPh sb="15" eb="17">
      <t>サクゲン</t>
    </rPh>
    <rPh sb="17" eb="19">
      <t>モクヒョウ</t>
    </rPh>
    <rPh sb="22" eb="23">
      <t>ヒ</t>
    </rPh>
    <rPh sb="23" eb="25">
      <t>カセキ</t>
    </rPh>
    <rPh sb="33" eb="35">
      <t>シヨウ</t>
    </rPh>
    <rPh sb="35" eb="37">
      <t>ワリアイ</t>
    </rPh>
    <rPh sb="37" eb="39">
      <t>モクヒョウ</t>
    </rPh>
    <phoneticPr fontId="4"/>
  </si>
  <si>
    <t>非化石電気</t>
    <rPh sb="0" eb="3">
      <t>ヒカセキ</t>
    </rPh>
    <rPh sb="3" eb="5">
      <t>デンキ</t>
    </rPh>
    <phoneticPr fontId="1"/>
  </si>
  <si>
    <t>熱量
(GJ)</t>
    <rPh sb="0" eb="1">
      <t>ネツ</t>
    </rPh>
    <rPh sb="1" eb="2">
      <t>リョウ</t>
    </rPh>
    <phoneticPr fontId="4"/>
  </si>
  <si>
    <r>
      <t>排出量
(t-CO</t>
    </r>
    <r>
      <rPr>
        <vertAlign val="subscript"/>
        <sz val="10"/>
        <color indexed="9"/>
        <rFont val="メイリオ"/>
        <family val="3"/>
        <charset val="128"/>
      </rPr>
      <t>2</t>
    </r>
    <r>
      <rPr>
        <sz val="10"/>
        <color indexed="9"/>
        <rFont val="メイリオ"/>
        <family val="3"/>
        <charset val="128"/>
      </rPr>
      <t>)</t>
    </r>
    <rPh sb="0" eb="1">
      <t>ハイ</t>
    </rPh>
    <rPh sb="1" eb="2">
      <t>デ</t>
    </rPh>
    <rPh sb="2" eb="3">
      <t>リョウ</t>
    </rPh>
    <phoneticPr fontId="4"/>
  </si>
  <si>
    <r>
      <t>t-CO</t>
    </r>
    <r>
      <rPr>
        <b/>
        <vertAlign val="subscript"/>
        <sz val="10"/>
        <color theme="1"/>
        <rFont val="メイリオ"/>
        <family val="3"/>
        <charset val="128"/>
      </rPr>
      <t>2</t>
    </r>
    <phoneticPr fontId="1"/>
  </si>
  <si>
    <r>
      <t>千Nm</t>
    </r>
    <r>
      <rPr>
        <vertAlign val="superscript"/>
        <sz val="10"/>
        <color indexed="8"/>
        <rFont val="メイリオ"/>
        <family val="3"/>
        <charset val="128"/>
      </rPr>
      <t>3</t>
    </r>
    <rPh sb="0" eb="1">
      <t>セン</t>
    </rPh>
    <phoneticPr fontId="4"/>
  </si>
  <si>
    <r>
      <t>２．エネルギー起源二酸化炭素（CO</t>
    </r>
    <r>
      <rPr>
        <b/>
        <vertAlign val="subscript"/>
        <sz val="14"/>
        <rFont val="メイリオ"/>
        <family val="3"/>
        <charset val="128"/>
      </rPr>
      <t>2</t>
    </r>
    <r>
      <rPr>
        <b/>
        <sz val="14"/>
        <rFont val="メイリオ"/>
        <family val="3"/>
        <charset val="128"/>
      </rPr>
      <t>）以外の温室効果ガス排出量</t>
    </r>
    <rPh sb="7" eb="9">
      <t>キゲン</t>
    </rPh>
    <rPh sb="9" eb="12">
      <t>ニサンカ</t>
    </rPh>
    <rPh sb="12" eb="14">
      <t>タンソ</t>
    </rPh>
    <rPh sb="19" eb="21">
      <t>イガイ</t>
    </rPh>
    <rPh sb="22" eb="24">
      <t>オンシツ</t>
    </rPh>
    <rPh sb="24" eb="26">
      <t>コウカ</t>
    </rPh>
    <rPh sb="28" eb="30">
      <t>ハイシュツ</t>
    </rPh>
    <rPh sb="30" eb="31">
      <t>リョウ</t>
    </rPh>
    <phoneticPr fontId="4"/>
  </si>
  <si>
    <r>
      <t>千m</t>
    </r>
    <r>
      <rPr>
        <vertAlign val="superscript"/>
        <sz val="10"/>
        <color indexed="8"/>
        <rFont val="メイリオ"/>
        <family val="3"/>
        <charset val="128"/>
      </rPr>
      <t>3</t>
    </r>
    <rPh sb="0" eb="1">
      <t>セン</t>
    </rPh>
    <phoneticPr fontId="4"/>
  </si>
  <si>
    <r>
      <t>排出係数
(tCO</t>
    </r>
    <r>
      <rPr>
        <vertAlign val="subscript"/>
        <sz val="10"/>
        <color theme="1"/>
        <rFont val="メイリオ"/>
        <family val="3"/>
        <charset val="128"/>
      </rPr>
      <t>2</t>
    </r>
    <r>
      <rPr>
        <sz val="10"/>
        <color theme="1"/>
        <rFont val="メイリオ"/>
        <family val="3"/>
        <charset val="128"/>
      </rPr>
      <t>/千kWh)</t>
    </r>
    <phoneticPr fontId="4"/>
  </si>
  <si>
    <t>千kWh</t>
    <rPh sb="0" eb="1">
      <t>セン</t>
    </rPh>
    <phoneticPr fontId="4"/>
  </si>
  <si>
    <r>
      <t>非エネルギー起源二酸化炭素（CO</t>
    </r>
    <r>
      <rPr>
        <vertAlign val="subscript"/>
        <sz val="10"/>
        <rFont val="メイリオ"/>
        <family val="3"/>
        <charset val="128"/>
      </rPr>
      <t>2</t>
    </r>
    <r>
      <rPr>
        <sz val="10"/>
        <rFont val="メイリオ"/>
        <family val="3"/>
        <charset val="128"/>
      </rPr>
      <t>）</t>
    </r>
    <rPh sb="0" eb="1">
      <t>ヒ</t>
    </rPh>
    <rPh sb="6" eb="8">
      <t>キゲン</t>
    </rPh>
    <rPh sb="8" eb="11">
      <t>ニサンカ</t>
    </rPh>
    <rPh sb="11" eb="13">
      <t>タンソ</t>
    </rPh>
    <phoneticPr fontId="1"/>
  </si>
  <si>
    <r>
      <t>メタン（CH</t>
    </r>
    <r>
      <rPr>
        <vertAlign val="subscript"/>
        <sz val="10"/>
        <rFont val="メイリオ"/>
        <family val="3"/>
        <charset val="128"/>
      </rPr>
      <t>4</t>
    </r>
    <r>
      <rPr>
        <sz val="10"/>
        <rFont val="メイリオ"/>
        <family val="3"/>
        <charset val="128"/>
      </rPr>
      <t>）</t>
    </r>
    <phoneticPr fontId="4"/>
  </si>
  <si>
    <r>
      <t>一酸化二窒素（N</t>
    </r>
    <r>
      <rPr>
        <vertAlign val="subscript"/>
        <sz val="10"/>
        <rFont val="メイリオ"/>
        <family val="3"/>
        <charset val="128"/>
      </rPr>
      <t>2</t>
    </r>
    <r>
      <rPr>
        <sz val="10"/>
        <rFont val="メイリオ"/>
        <family val="3"/>
        <charset val="128"/>
      </rPr>
      <t>O）</t>
    </r>
    <rPh sb="0" eb="3">
      <t>イッサンカ</t>
    </rPh>
    <rPh sb="3" eb="4">
      <t>ニ</t>
    </rPh>
    <rPh sb="4" eb="6">
      <t>チッソ</t>
    </rPh>
    <phoneticPr fontId="4"/>
  </si>
  <si>
    <r>
      <t>六フッ化硫黄（SF</t>
    </r>
    <r>
      <rPr>
        <vertAlign val="subscript"/>
        <sz val="10"/>
        <rFont val="メイリオ"/>
        <family val="3"/>
        <charset val="128"/>
      </rPr>
      <t>6</t>
    </r>
    <r>
      <rPr>
        <sz val="10"/>
        <rFont val="メイリオ"/>
        <family val="3"/>
        <charset val="128"/>
      </rPr>
      <t>）</t>
    </r>
    <rPh sb="0" eb="1">
      <t>ロク</t>
    </rPh>
    <rPh sb="3" eb="4">
      <t>カ</t>
    </rPh>
    <rPh sb="4" eb="6">
      <t>イオウ</t>
    </rPh>
    <phoneticPr fontId="4"/>
  </si>
  <si>
    <r>
      <t>三フッ化窒素（NF</t>
    </r>
    <r>
      <rPr>
        <vertAlign val="subscript"/>
        <sz val="10"/>
        <rFont val="メイリオ"/>
        <family val="3"/>
        <charset val="128"/>
      </rPr>
      <t>3</t>
    </r>
    <r>
      <rPr>
        <sz val="10"/>
        <rFont val="メイリオ"/>
        <family val="3"/>
        <charset val="128"/>
      </rPr>
      <t>）</t>
    </r>
    <rPh sb="0" eb="1">
      <t>サン</t>
    </rPh>
    <rPh sb="3" eb="4">
      <t>カ</t>
    </rPh>
    <rPh sb="4" eb="6">
      <t>チッソ</t>
    </rPh>
    <phoneticPr fontId="4"/>
  </si>
  <si>
    <t>その他非化石
エネルギー等</t>
    <rPh sb="2" eb="3">
      <t>タ</t>
    </rPh>
    <rPh sb="3" eb="6">
      <t>ヒカセキ</t>
    </rPh>
    <rPh sb="12" eb="13">
      <t>トウ</t>
    </rPh>
    <phoneticPr fontId="4"/>
  </si>
  <si>
    <t>目標設定の
考え方</t>
    <rPh sb="0" eb="2">
      <t>モクヒョウ</t>
    </rPh>
    <rPh sb="2" eb="4">
      <t>セッテイ</t>
    </rPh>
    <rPh sb="6" eb="7">
      <t>カンガ</t>
    </rPh>
    <rPh sb="8" eb="9">
      <t>カタ</t>
    </rPh>
    <phoneticPr fontId="4"/>
  </si>
  <si>
    <r>
      <t>②エネルギー起源CO</t>
    </r>
    <r>
      <rPr>
        <vertAlign val="subscript"/>
        <sz val="10"/>
        <rFont val="メイリオ"/>
        <family val="3"/>
        <charset val="128"/>
      </rPr>
      <t>2</t>
    </r>
    <r>
      <rPr>
        <sz val="10"/>
        <rFont val="メイリオ"/>
        <family val="3"/>
        <charset val="128"/>
      </rPr>
      <t>を除くいずれかの物質の温室効果ガス排出量が3,000トン以上の事業所（条例第2条第5号ロに該当する特定事業者）</t>
    </r>
    <phoneticPr fontId="1"/>
  </si>
  <si>
    <r>
      <t>t-CO</t>
    </r>
    <r>
      <rPr>
        <vertAlign val="subscript"/>
        <sz val="10"/>
        <color theme="1"/>
        <rFont val="メイリオ"/>
        <family val="3"/>
        <charset val="128"/>
      </rPr>
      <t>2</t>
    </r>
    <phoneticPr fontId="1"/>
  </si>
  <si>
    <r>
      <t>４　温室効果ガス</t>
    </r>
    <r>
      <rPr>
        <sz val="10"/>
        <rFont val="メイリオ"/>
        <family val="3"/>
        <charset val="128"/>
      </rPr>
      <t>の排出の状況等</t>
    </r>
    <rPh sb="2" eb="4">
      <t>オンシツ</t>
    </rPh>
    <rPh sb="4" eb="6">
      <t>コウカ</t>
    </rPh>
    <rPh sb="9" eb="11">
      <t>ハイシュツ</t>
    </rPh>
    <rPh sb="12" eb="14">
      <t>ジョウキョウ</t>
    </rPh>
    <rPh sb="14" eb="15">
      <t>ナド</t>
    </rPh>
    <phoneticPr fontId="3"/>
  </si>
  <si>
    <r>
      <t>t-CO</t>
    </r>
    <r>
      <rPr>
        <vertAlign val="subscript"/>
        <sz val="10"/>
        <rFont val="メイリオ"/>
        <family val="3"/>
        <charset val="128"/>
      </rPr>
      <t>2</t>
    </r>
    <phoneticPr fontId="4"/>
  </si>
  <si>
    <r>
      <t>t-CO</t>
    </r>
    <r>
      <rPr>
        <vertAlign val="subscript"/>
        <sz val="10"/>
        <rFont val="メイリオ"/>
        <family val="3"/>
        <charset val="128"/>
      </rPr>
      <t>2</t>
    </r>
    <r>
      <rPr>
        <sz val="10"/>
        <rFont val="メイリオ"/>
        <family val="3"/>
        <charset val="128"/>
      </rPr>
      <t>/</t>
    </r>
    <phoneticPr fontId="4"/>
  </si>
  <si>
    <r>
      <t>推計削減量
（t-CO</t>
    </r>
    <r>
      <rPr>
        <vertAlign val="subscript"/>
        <sz val="10"/>
        <rFont val="メイリオ"/>
        <family val="3"/>
        <charset val="128"/>
      </rPr>
      <t>2</t>
    </r>
    <r>
      <rPr>
        <sz val="10"/>
        <rFont val="メイリオ"/>
        <family val="3"/>
        <charset val="128"/>
      </rPr>
      <t>/年）</t>
    </r>
    <rPh sb="0" eb="2">
      <t>スイケイ</t>
    </rPh>
    <rPh sb="13" eb="14">
      <t>ネン</t>
    </rPh>
    <phoneticPr fontId="4"/>
  </si>
  <si>
    <t>事業者温室効果ガス削減計画書概要（第二計画期間）</t>
    <rPh sb="0" eb="3">
      <t>ジギョウシャ</t>
    </rPh>
    <rPh sb="3" eb="5">
      <t>オンシツ</t>
    </rPh>
    <rPh sb="5" eb="7">
      <t>コウカ</t>
    </rPh>
    <rPh sb="9" eb="11">
      <t>サクゲン</t>
    </rPh>
    <rPh sb="11" eb="13">
      <t>ケイカク</t>
    </rPh>
    <rPh sb="13" eb="14">
      <t>ショ</t>
    </rPh>
    <rPh sb="14" eb="16">
      <t>ガイヨウ</t>
    </rPh>
    <rPh sb="17" eb="19">
      <t>ダイニ</t>
    </rPh>
    <phoneticPr fontId="1"/>
  </si>
  <si>
    <t>事業者温室効果ガス削減報告書概要（第二計画期間）　</t>
    <rPh sb="0" eb="3">
      <t>ジギョウシャ</t>
    </rPh>
    <rPh sb="3" eb="5">
      <t>オンシツ</t>
    </rPh>
    <rPh sb="5" eb="7">
      <t>コウカ</t>
    </rPh>
    <rPh sb="9" eb="11">
      <t>サクゲン</t>
    </rPh>
    <rPh sb="11" eb="13">
      <t>ホウコク</t>
    </rPh>
    <rPh sb="13" eb="14">
      <t>ショ</t>
    </rPh>
    <rPh sb="14" eb="16">
      <t>ガイヨウ</t>
    </rPh>
    <rPh sb="17" eb="19">
      <t>ダイニ</t>
    </rPh>
    <phoneticPr fontId="1"/>
  </si>
  <si>
    <t>エネルギー名称区分</t>
    <rPh sb="5" eb="7">
      <t>メイショウ</t>
    </rPh>
    <rPh sb="7" eb="9">
      <t>クブン</t>
    </rPh>
    <phoneticPr fontId="1"/>
  </si>
  <si>
    <t>エネルギー区分</t>
    <rPh sb="5" eb="7">
      <t>クブン</t>
    </rPh>
    <phoneticPr fontId="1"/>
  </si>
  <si>
    <t>エネルギーの種類</t>
    <rPh sb="6" eb="8">
      <t>シュルイ</t>
    </rPh>
    <phoneticPr fontId="4"/>
  </si>
  <si>
    <t>炭素排出係数</t>
    <rPh sb="0" eb="2">
      <t>タンソ</t>
    </rPh>
    <rPh sb="2" eb="4">
      <t>ハイシュツ</t>
    </rPh>
    <rPh sb="4" eb="6">
      <t>ケイスウ</t>
    </rPh>
    <phoneticPr fontId="1"/>
  </si>
  <si>
    <t>揮発油</t>
  </si>
  <si>
    <t>ジェット燃料油</t>
  </si>
  <si>
    <t>液化石油ガス     (LPG)</t>
  </si>
  <si>
    <t>石油系炭化水素ガス</t>
  </si>
  <si>
    <t>液化天然ガス     (LNG)</t>
  </si>
  <si>
    <t>可燃性
天然ガス</t>
    <phoneticPr fontId="1"/>
  </si>
  <si>
    <t>原料炭</t>
    <phoneticPr fontId="33"/>
  </si>
  <si>
    <t>ー</t>
    <phoneticPr fontId="34"/>
  </si>
  <si>
    <t>一般炭</t>
    <phoneticPr fontId="1"/>
  </si>
  <si>
    <t>国産一般炭</t>
    <phoneticPr fontId="1"/>
  </si>
  <si>
    <t>無煙炭</t>
    <rPh sb="0" eb="3">
      <t>ムエンタン</t>
    </rPh>
    <phoneticPr fontId="1"/>
  </si>
  <si>
    <t>都市ガス</t>
  </si>
  <si>
    <t>テナント空調等推計値</t>
  </si>
  <si>
    <t>廃プラスチック_一般廃棄物</t>
    <phoneticPr fontId="1"/>
  </si>
  <si>
    <t>廃プラスチック_産業廃棄物</t>
    <phoneticPr fontId="1"/>
  </si>
  <si>
    <t>産業用蒸気_化石</t>
    <rPh sb="0" eb="3">
      <t>サンギョウヨウ</t>
    </rPh>
    <rPh sb="3" eb="5">
      <t>ジョウキ</t>
    </rPh>
    <phoneticPr fontId="11"/>
  </si>
  <si>
    <t>産業用以外の蒸気_化石</t>
    <rPh sb="0" eb="2">
      <t>サンギョウ</t>
    </rPh>
    <rPh sb="2" eb="3">
      <t>ヨウ</t>
    </rPh>
    <rPh sb="3" eb="5">
      <t>イガイ</t>
    </rPh>
    <rPh sb="6" eb="8">
      <t>ジョウキ</t>
    </rPh>
    <phoneticPr fontId="11"/>
  </si>
  <si>
    <t>温水_化石</t>
    <rPh sb="0" eb="2">
      <t>オンスイ</t>
    </rPh>
    <phoneticPr fontId="11"/>
  </si>
  <si>
    <t>冷水_化石</t>
    <rPh sb="0" eb="2">
      <t>レイスイ</t>
    </rPh>
    <phoneticPr fontId="11"/>
  </si>
  <si>
    <t>産業用蒸気_非化石</t>
    <rPh sb="0" eb="3">
      <t>サンギョウヨウ</t>
    </rPh>
    <rPh sb="3" eb="5">
      <t>ジョウキ</t>
    </rPh>
    <rPh sb="6" eb="7">
      <t>ヒ</t>
    </rPh>
    <rPh sb="7" eb="9">
      <t>カセキ</t>
    </rPh>
    <phoneticPr fontId="11"/>
  </si>
  <si>
    <t>産業用以外の蒸気_非化石</t>
    <rPh sb="0" eb="2">
      <t>サンギョウ</t>
    </rPh>
    <rPh sb="2" eb="3">
      <t>ヨウ</t>
    </rPh>
    <rPh sb="3" eb="5">
      <t>イガイ</t>
    </rPh>
    <rPh sb="6" eb="8">
      <t>ジョウキ</t>
    </rPh>
    <phoneticPr fontId="11"/>
  </si>
  <si>
    <t>温水_非化石</t>
    <rPh sb="0" eb="2">
      <t>オンスイ</t>
    </rPh>
    <phoneticPr fontId="11"/>
  </si>
  <si>
    <t>冷水_非化石</t>
    <rPh sb="0" eb="2">
      <t>レイスイ</t>
    </rPh>
    <phoneticPr fontId="11"/>
  </si>
  <si>
    <t>GＪ/GＪ</t>
    <phoneticPr fontId="1"/>
  </si>
  <si>
    <t>電気事業者_昼間買電</t>
  </si>
  <si>
    <t>電気事業者_夜間買電</t>
  </si>
  <si>
    <t>自家発電</t>
  </si>
  <si>
    <t>自己託送以外_電気事業者からの買電_化石分</t>
  </si>
  <si>
    <t>自己託送以外_電気事業者からの買電_非化石分</t>
  </si>
  <si>
    <t>自己託送以外_オフサイト型PPA_非化石重み付けなし</t>
  </si>
  <si>
    <t>自己託送以外_オフサイト型PPA_非化石重み付けなし</t>
    <phoneticPr fontId="1"/>
  </si>
  <si>
    <t>自己託送以外_オフサイト型PPA_非化石重み付けあり</t>
  </si>
  <si>
    <t>自己託送_非燃料由来の非化石電気</t>
  </si>
  <si>
    <t>自己託送_上記以外_化石分</t>
  </si>
  <si>
    <t>自己託送_上記以外_非化石分</t>
  </si>
  <si>
    <t>自営線_非燃料由来の非化石電気</t>
  </si>
  <si>
    <t>自営線_上記以外_化石分</t>
  </si>
  <si>
    <t>自営線_上記以外_非化石分</t>
  </si>
  <si>
    <t>自家発電_太陽光</t>
  </si>
  <si>
    <t>自家発電_風力</t>
  </si>
  <si>
    <t>自家発電_地熱</t>
  </si>
  <si>
    <t>自家発電_水力</t>
  </si>
  <si>
    <t>自家発電_その他_非燃料由来の非化石</t>
  </si>
  <si>
    <t>自家発電_その他_上記以外</t>
  </si>
  <si>
    <t>１．エネルギー起源二酸化炭素（CO2）排出量</t>
    <rPh sb="7" eb="9">
      <t>キゲン</t>
    </rPh>
    <rPh sb="9" eb="12">
      <t>ニサンカ</t>
    </rPh>
    <rPh sb="12" eb="14">
      <t>タンソ</t>
    </rPh>
    <rPh sb="19" eb="21">
      <t>ハイシュツ</t>
    </rPh>
    <rPh sb="21" eb="22">
      <t>リョウ</t>
    </rPh>
    <phoneticPr fontId="4"/>
  </si>
  <si>
    <t>エネルギー名称区分2022</t>
    <rPh sb="5" eb="7">
      <t>メイショウ</t>
    </rPh>
    <rPh sb="7" eb="9">
      <t>クブン</t>
    </rPh>
    <phoneticPr fontId="1"/>
  </si>
  <si>
    <t>エネルギー名称区分2023</t>
    <rPh sb="5" eb="7">
      <t>メイショウ</t>
    </rPh>
    <rPh sb="7" eb="9">
      <t>クブン</t>
    </rPh>
    <phoneticPr fontId="1"/>
  </si>
  <si>
    <t>燃料の種類</t>
    <phoneticPr fontId="1"/>
  </si>
  <si>
    <t>原油（コンデンセートを除く。）</t>
  </si>
  <si>
    <t>原油のうちコンデンセート(NGL)</t>
  </si>
  <si>
    <t>電気使用量</t>
    <rPh sb="0" eb="2">
      <t>デンキ</t>
    </rPh>
    <rPh sb="2" eb="5">
      <t>シヨウリョウ</t>
    </rPh>
    <phoneticPr fontId="1"/>
  </si>
  <si>
    <t>千Nm3</t>
  </si>
  <si>
    <t>うち非化石電気使用量</t>
    <phoneticPr fontId="1"/>
  </si>
  <si>
    <r>
      <t>kWh</t>
    </r>
    <r>
      <rPr>
        <sz val="11"/>
        <color theme="1"/>
        <rFont val="メイリオ"/>
        <family val="3"/>
        <charset val="128"/>
      </rPr>
      <t xml:space="preserve"> </t>
    </r>
    <phoneticPr fontId="1"/>
  </si>
  <si>
    <t xml:space="preserve">kWh </t>
    <phoneticPr fontId="1"/>
  </si>
  <si>
    <t>非化石エネルギーの使用割合</t>
    <phoneticPr fontId="1"/>
  </si>
  <si>
    <t>千m3</t>
  </si>
  <si>
    <t>その他の名称</t>
  </si>
  <si>
    <t>非化石燃料の種類</t>
    <phoneticPr fontId="1"/>
  </si>
  <si>
    <t>黒液</t>
  </si>
  <si>
    <t>木材</t>
  </si>
  <si>
    <t>木質廃材</t>
  </si>
  <si>
    <t>その他バイオマス</t>
  </si>
  <si>
    <t>廃タイヤ</t>
  </si>
  <si>
    <t>廃プラスチック_一般廃棄物</t>
  </si>
  <si>
    <t>廃プラスチック</t>
  </si>
  <si>
    <t>廃プラスチック_産業廃棄物</t>
  </si>
  <si>
    <t>廃油</t>
  </si>
  <si>
    <t>廃棄物ガス</t>
  </si>
  <si>
    <t>混合廃材</t>
  </si>
  <si>
    <t>水素</t>
  </si>
  <si>
    <t>その他の名称</t>
    <rPh sb="2" eb="3">
      <t>タ</t>
    </rPh>
    <rPh sb="4" eb="6">
      <t>メイショウ</t>
    </rPh>
    <phoneticPr fontId="4"/>
  </si>
  <si>
    <t>熱の種類</t>
    <phoneticPr fontId="1"/>
  </si>
  <si>
    <t>産業用蒸気_化石</t>
    <rPh sb="0" eb="3">
      <t>サンギョウヨウ</t>
    </rPh>
    <rPh sb="3" eb="5">
      <t>ジョウキ</t>
    </rPh>
    <rPh sb="6" eb="8">
      <t>カセキ</t>
    </rPh>
    <phoneticPr fontId="11"/>
  </si>
  <si>
    <t>他者から購入した熱</t>
    <rPh sb="0" eb="2">
      <t>タシャ</t>
    </rPh>
    <rPh sb="4" eb="6">
      <t>コウニュウ</t>
    </rPh>
    <rPh sb="8" eb="9">
      <t>ネツ</t>
    </rPh>
    <phoneticPr fontId="11"/>
  </si>
  <si>
    <t>うち非化石</t>
    <phoneticPr fontId="1"/>
  </si>
  <si>
    <t>産業用以外の蒸気</t>
  </si>
  <si>
    <t>温水</t>
  </si>
  <si>
    <t>冷水</t>
    <phoneticPr fontId="1"/>
  </si>
  <si>
    <t>その他の名称</t>
    <rPh sb="2" eb="3">
      <t>ホカ</t>
    </rPh>
    <rPh sb="4" eb="6">
      <t>メイショウ</t>
    </rPh>
    <phoneticPr fontId="4"/>
  </si>
  <si>
    <t>電気の種類</t>
    <phoneticPr fontId="1"/>
  </si>
  <si>
    <t>昼間買電量
(千kWh)</t>
    <phoneticPr fontId="1"/>
  </si>
  <si>
    <t>夜間買電量
(千kWh)</t>
    <phoneticPr fontId="1"/>
  </si>
  <si>
    <r>
      <t>昼間排出量
(t-CO</t>
    </r>
    <r>
      <rPr>
        <vertAlign val="subscript"/>
        <sz val="10"/>
        <color theme="1"/>
        <rFont val="メイリオ"/>
        <family val="3"/>
        <charset val="128"/>
      </rPr>
      <t>2</t>
    </r>
    <r>
      <rPr>
        <sz val="10"/>
        <color theme="1"/>
        <rFont val="メイリオ"/>
        <family val="3"/>
        <charset val="128"/>
      </rPr>
      <t>)</t>
    </r>
    <phoneticPr fontId="4"/>
  </si>
  <si>
    <r>
      <t>夜間排出量
(t-CO</t>
    </r>
    <r>
      <rPr>
        <vertAlign val="subscript"/>
        <sz val="10"/>
        <color theme="1"/>
        <rFont val="メイリオ"/>
        <family val="3"/>
        <charset val="128"/>
      </rPr>
      <t>2</t>
    </r>
    <r>
      <rPr>
        <sz val="10"/>
        <color theme="1"/>
        <rFont val="メイリオ"/>
        <family val="3"/>
        <charset val="128"/>
      </rPr>
      <t>)</t>
    </r>
    <phoneticPr fontId="4"/>
  </si>
  <si>
    <t>電気事業者からの買電</t>
    <rPh sb="8" eb="10">
      <t>バイデン</t>
    </rPh>
    <phoneticPr fontId="11"/>
  </si>
  <si>
    <r>
      <rPr>
        <sz val="10"/>
        <color rgb="FF000000"/>
        <rFont val="メイリオ"/>
        <family val="3"/>
        <charset val="128"/>
      </rPr>
      <t>千</t>
    </r>
    <r>
      <rPr>
        <sz val="10"/>
        <color indexed="8"/>
        <rFont val="メイリオ"/>
        <family val="3"/>
        <charset val="128"/>
      </rPr>
      <t>kWh</t>
    </r>
    <phoneticPr fontId="1"/>
  </si>
  <si>
    <t>千kWh</t>
  </si>
  <si>
    <t>自己託送以外_電気事業者からの買電_非化石分</t>
    <phoneticPr fontId="1"/>
  </si>
  <si>
    <t>気</t>
  </si>
  <si>
    <t>その他買電</t>
  </si>
  <si>
    <t>上記以外の買電</t>
    <rPh sb="0" eb="2">
      <t>ジョウキ</t>
    </rPh>
    <rPh sb="2" eb="4">
      <t>イガイ</t>
    </rPh>
    <rPh sb="5" eb="7">
      <t>バイデン</t>
    </rPh>
    <phoneticPr fontId="11"/>
  </si>
  <si>
    <t>上記以外の買電</t>
    <rPh sb="0" eb="2">
      <t>ジョウキ</t>
    </rPh>
    <rPh sb="2" eb="4">
      <t>イガイ</t>
    </rPh>
    <rPh sb="5" eb="7">
      <t>バイデン</t>
    </rPh>
    <phoneticPr fontId="4"/>
  </si>
  <si>
    <t>熱量
(GJ)</t>
    <rPh sb="0" eb="2">
      <t>ネツリョウ</t>
    </rPh>
    <phoneticPr fontId="1"/>
  </si>
  <si>
    <t>オフサイト型PPA</t>
    <rPh sb="5" eb="6">
      <t>ガタ</t>
    </rPh>
    <phoneticPr fontId="1"/>
  </si>
  <si>
    <t>自己託送（非燃料由来の非化石電気）</t>
    <rPh sb="0" eb="2">
      <t>ジコ</t>
    </rPh>
    <rPh sb="2" eb="4">
      <t>タクソウ</t>
    </rPh>
    <rPh sb="5" eb="6">
      <t>ヒ</t>
    </rPh>
    <rPh sb="6" eb="8">
      <t>ネンリョウ</t>
    </rPh>
    <rPh sb="8" eb="10">
      <t>ユライ</t>
    </rPh>
    <rPh sb="11" eb="14">
      <t>ヒカセキ</t>
    </rPh>
    <rPh sb="14" eb="16">
      <t>デンキ</t>
    </rPh>
    <phoneticPr fontId="6"/>
  </si>
  <si>
    <t>上記以外の自己託送</t>
    <phoneticPr fontId="1"/>
  </si>
  <si>
    <t>温室効果ガスの種類</t>
    <phoneticPr fontId="1"/>
  </si>
  <si>
    <t>クレジット等の種類</t>
    <phoneticPr fontId="1"/>
  </si>
  <si>
    <t>アンモニア</t>
    <phoneticPr fontId="1"/>
  </si>
  <si>
    <t>2023年度　燃料種別の単位発熱量及び炭素排出係数</t>
    <rPh sb="19" eb="21">
      <t>タンソ</t>
    </rPh>
    <phoneticPr fontId="4"/>
  </si>
  <si>
    <t>2022年度　燃料種別の単位発熱量及び炭素排出係数</t>
    <rPh sb="19" eb="21">
      <t>タンソ</t>
    </rPh>
    <phoneticPr fontId="4"/>
  </si>
  <si>
    <t>その他使用した熱
（非化石熱）</t>
    <rPh sb="2" eb="3">
      <t>ホカ</t>
    </rPh>
    <rPh sb="3" eb="5">
      <t>シヨウ</t>
    </rPh>
    <rPh sb="7" eb="8">
      <t>ネツ</t>
    </rPh>
    <rPh sb="10" eb="13">
      <t>ヒカセキ</t>
    </rPh>
    <rPh sb="13" eb="14">
      <t>ネツ</t>
    </rPh>
    <phoneticPr fontId="11"/>
  </si>
  <si>
    <t>その他使用した熱（非化石熱）</t>
    <rPh sb="2" eb="3">
      <t>タ</t>
    </rPh>
    <rPh sb="3" eb="5">
      <t>シヨウ</t>
    </rPh>
    <rPh sb="7" eb="8">
      <t>ネツ</t>
    </rPh>
    <phoneticPr fontId="4"/>
  </si>
  <si>
    <t>tC/GJ</t>
    <phoneticPr fontId="1"/>
  </si>
  <si>
    <t>tCO2/GJ</t>
    <phoneticPr fontId="1"/>
  </si>
  <si>
    <t>テナント空調等推計値</t>
    <phoneticPr fontId="1"/>
  </si>
  <si>
    <t>千kWh</t>
    <phoneticPr fontId="4"/>
  </si>
  <si>
    <t>昼間買電量</t>
    <phoneticPr fontId="1"/>
  </si>
  <si>
    <t>夜間買電量</t>
    <phoneticPr fontId="1"/>
  </si>
  <si>
    <t>熱量合計（電気以外）</t>
    <rPh sb="5" eb="7">
      <t>デンキ</t>
    </rPh>
    <rPh sb="7" eb="9">
      <t>イガイ</t>
    </rPh>
    <phoneticPr fontId="4"/>
  </si>
  <si>
    <t>通番</t>
    <rPh sb="0" eb="2">
      <t>ツウバン</t>
    </rPh>
    <phoneticPr fontId="8"/>
  </si>
  <si>
    <t>番号</t>
    <rPh sb="0" eb="2">
      <t>バンゴウ</t>
    </rPh>
    <phoneticPr fontId="2"/>
  </si>
  <si>
    <t>L53</t>
  </si>
  <si>
    <t>M53</t>
  </si>
  <si>
    <t>電気事業者名５</t>
    <rPh sb="5" eb="6">
      <t>メイ</t>
    </rPh>
    <phoneticPr fontId="5"/>
  </si>
  <si>
    <t>昼間買電量(千kWh)５</t>
  </si>
  <si>
    <t>夜間買電量(千kWh)５</t>
  </si>
  <si>
    <t>電気事業者５排出係数</t>
    <rPh sb="6" eb="8">
      <t>ハイシュツ</t>
    </rPh>
    <rPh sb="8" eb="10">
      <t>ケイスウ</t>
    </rPh>
    <phoneticPr fontId="5"/>
  </si>
  <si>
    <t>N53</t>
  </si>
  <si>
    <t>O53</t>
  </si>
  <si>
    <t>I9</t>
  </si>
  <si>
    <t>I10</t>
    <phoneticPr fontId="1"/>
  </si>
  <si>
    <t>I21</t>
  </si>
  <si>
    <t>I24</t>
    <phoneticPr fontId="1"/>
  </si>
  <si>
    <t>I34</t>
  </si>
  <si>
    <t>I35</t>
    <phoneticPr fontId="1"/>
  </si>
  <si>
    <t>J21</t>
  </si>
  <si>
    <t>J24</t>
  </si>
  <si>
    <t>J35</t>
  </si>
  <si>
    <t>L35</t>
  </si>
  <si>
    <t>M35</t>
  </si>
  <si>
    <t>N35</t>
  </si>
  <si>
    <t>U37</t>
    <phoneticPr fontId="1"/>
  </si>
  <si>
    <t>V37</t>
    <phoneticPr fontId="1"/>
  </si>
  <si>
    <t>W37</t>
    <phoneticPr fontId="1"/>
  </si>
  <si>
    <t>I60</t>
    <phoneticPr fontId="1"/>
  </si>
  <si>
    <t>I62</t>
    <phoneticPr fontId="1"/>
  </si>
  <si>
    <t>I64</t>
  </si>
  <si>
    <t>I66</t>
  </si>
  <si>
    <t>J60</t>
  </si>
  <si>
    <t>J62</t>
  </si>
  <si>
    <t>J64</t>
  </si>
  <si>
    <t>G96</t>
    <phoneticPr fontId="1"/>
  </si>
  <si>
    <t>G97</t>
  </si>
  <si>
    <t>G98</t>
  </si>
  <si>
    <t>U81</t>
    <phoneticPr fontId="1"/>
  </si>
  <si>
    <t>U82</t>
  </si>
  <si>
    <t>U83</t>
  </si>
  <si>
    <t>U84</t>
  </si>
  <si>
    <t>U85</t>
  </si>
  <si>
    <t>V81</t>
  </si>
  <si>
    <t>V82</t>
  </si>
  <si>
    <t>V83</t>
  </si>
  <si>
    <t>V84</t>
  </si>
  <si>
    <t>V85</t>
  </si>
  <si>
    <t>W81</t>
  </si>
  <si>
    <t>W82</t>
  </si>
  <si>
    <t>W83</t>
  </si>
  <si>
    <t>W84</t>
  </si>
  <si>
    <t>W85</t>
  </si>
  <si>
    <t>Y81</t>
  </si>
  <si>
    <t>Y82</t>
  </si>
  <si>
    <t>Y83</t>
  </si>
  <si>
    <t>Y84</t>
  </si>
  <si>
    <t>Y85</t>
  </si>
  <si>
    <t>W103</t>
    <phoneticPr fontId="1"/>
  </si>
  <si>
    <t>X103</t>
    <phoneticPr fontId="1"/>
  </si>
  <si>
    <t>Y103</t>
    <phoneticPr fontId="1"/>
  </si>
  <si>
    <t>Y97</t>
    <phoneticPr fontId="1"/>
  </si>
  <si>
    <t>Y98</t>
    <phoneticPr fontId="1"/>
  </si>
  <si>
    <t>W97</t>
    <phoneticPr fontId="1"/>
  </si>
  <si>
    <t>W98</t>
    <phoneticPr fontId="1"/>
  </si>
  <si>
    <t>V97</t>
    <phoneticPr fontId="1"/>
  </si>
  <si>
    <t>V98</t>
    <phoneticPr fontId="1"/>
  </si>
  <si>
    <t>G121</t>
  </si>
  <si>
    <t>G122</t>
  </si>
  <si>
    <t>自家発電</t>
    <phoneticPr fontId="1"/>
  </si>
  <si>
    <t>事業所排出量内訳 (基準年度)</t>
    <phoneticPr fontId="1"/>
  </si>
  <si>
    <t>G123</t>
  </si>
  <si>
    <r>
      <t>kWh</t>
    </r>
    <r>
      <rPr>
        <sz val="11"/>
        <rFont val="メイリオ"/>
        <family val="3"/>
        <charset val="128"/>
      </rPr>
      <t xml:space="preserve"> </t>
    </r>
    <phoneticPr fontId="1"/>
  </si>
  <si>
    <r>
      <t>t-CO</t>
    </r>
    <r>
      <rPr>
        <b/>
        <vertAlign val="subscript"/>
        <sz val="10"/>
        <rFont val="メイリオ"/>
        <family val="3"/>
        <charset val="128"/>
      </rPr>
      <t>2</t>
    </r>
    <phoneticPr fontId="1"/>
  </si>
  <si>
    <r>
      <t>排出係数
(tCO</t>
    </r>
    <r>
      <rPr>
        <vertAlign val="subscript"/>
        <sz val="10"/>
        <rFont val="メイリオ"/>
        <family val="3"/>
        <charset val="128"/>
      </rPr>
      <t>2</t>
    </r>
    <r>
      <rPr>
        <sz val="10"/>
        <rFont val="メイリオ"/>
        <family val="3"/>
        <charset val="128"/>
      </rPr>
      <t>/千kWh)</t>
    </r>
    <phoneticPr fontId="4"/>
  </si>
  <si>
    <r>
      <t>排出量
(t-CO</t>
    </r>
    <r>
      <rPr>
        <vertAlign val="subscript"/>
        <sz val="10"/>
        <rFont val="メイリオ"/>
        <family val="3"/>
        <charset val="128"/>
      </rPr>
      <t>2</t>
    </r>
    <r>
      <rPr>
        <sz val="10"/>
        <rFont val="メイリオ"/>
        <family val="3"/>
        <charset val="128"/>
      </rPr>
      <t>)</t>
    </r>
    <phoneticPr fontId="4"/>
  </si>
  <si>
    <r>
      <t>排出量
(t-CO</t>
    </r>
    <r>
      <rPr>
        <vertAlign val="subscript"/>
        <sz val="10"/>
        <rFont val="メイリオ"/>
        <family val="3"/>
        <charset val="128"/>
      </rPr>
      <t>2</t>
    </r>
    <r>
      <rPr>
        <sz val="10"/>
        <rFont val="メイリオ"/>
        <family val="3"/>
        <charset val="128"/>
      </rPr>
      <t>)</t>
    </r>
    <rPh sb="0" eb="2">
      <t>ハイシュツ</t>
    </rPh>
    <phoneticPr fontId="4"/>
  </si>
  <si>
    <r>
      <t>昼間排出量
(t-CO</t>
    </r>
    <r>
      <rPr>
        <vertAlign val="subscript"/>
        <sz val="10"/>
        <rFont val="メイリオ"/>
        <family val="3"/>
        <charset val="128"/>
      </rPr>
      <t>2</t>
    </r>
    <r>
      <rPr>
        <sz val="10"/>
        <rFont val="メイリオ"/>
        <family val="3"/>
        <charset val="128"/>
      </rPr>
      <t>)</t>
    </r>
    <phoneticPr fontId="4"/>
  </si>
  <si>
    <r>
      <t>夜間排出量
(t-CO</t>
    </r>
    <r>
      <rPr>
        <vertAlign val="subscript"/>
        <sz val="10"/>
        <rFont val="メイリオ"/>
        <family val="3"/>
        <charset val="128"/>
      </rPr>
      <t>2</t>
    </r>
    <r>
      <rPr>
        <sz val="10"/>
        <rFont val="メイリオ"/>
        <family val="3"/>
        <charset val="128"/>
      </rPr>
      <t>)</t>
    </r>
    <phoneticPr fontId="4"/>
  </si>
  <si>
    <t>千kWh</t>
    <phoneticPr fontId="1"/>
  </si>
  <si>
    <t xml:space="preserve">   　　                                                     　　　　　　　　        　　   　　　　　</t>
    <phoneticPr fontId="1"/>
  </si>
  <si>
    <t>目標設定の考え方</t>
    <phoneticPr fontId="1"/>
  </si>
  <si>
    <t>温室効果ガスの
排出状況
及び削減目標
・
非化石エネルギー
の
使用割合目標</t>
    <rPh sb="0" eb="2">
      <t>オンシツ</t>
    </rPh>
    <rPh sb="2" eb="4">
      <t>コウカ</t>
    </rPh>
    <rPh sb="8" eb="10">
      <t>ハイシュツ</t>
    </rPh>
    <rPh sb="10" eb="12">
      <t>ジョウキョウ</t>
    </rPh>
    <rPh sb="13" eb="14">
      <t>オヨ</t>
    </rPh>
    <rPh sb="15" eb="17">
      <t>サクゲン</t>
    </rPh>
    <rPh sb="17" eb="19">
      <t>モクヒョウ</t>
    </rPh>
    <phoneticPr fontId="4"/>
  </si>
  <si>
    <t>％</t>
  </si>
  <si>
    <r>
      <t>４　温室効果ガス</t>
    </r>
    <r>
      <rPr>
        <sz val="10"/>
        <rFont val="メイリオ"/>
        <family val="3"/>
        <charset val="128"/>
      </rPr>
      <t>の排出の状況及び排出抑制に係る目標</t>
    </r>
    <rPh sb="2" eb="4">
      <t>オンシツ</t>
    </rPh>
    <rPh sb="4" eb="6">
      <t>コウカ</t>
    </rPh>
    <rPh sb="9" eb="11">
      <t>ハイシュツ</t>
    </rPh>
    <rPh sb="12" eb="14">
      <t>ジョウキョウ</t>
    </rPh>
    <rPh sb="14" eb="15">
      <t>オヨ</t>
    </rPh>
    <phoneticPr fontId="3"/>
  </si>
  <si>
    <t>非化石エネルギーの
使用目標割合</t>
    <rPh sb="10" eb="12">
      <t>シヨウ</t>
    </rPh>
    <rPh sb="12" eb="14">
      <t>モクヒョウ</t>
    </rPh>
    <rPh sb="14" eb="16">
      <t>ワリアイ</t>
    </rPh>
    <phoneticPr fontId="4"/>
  </si>
  <si>
    <t>石油系炭化水素ガス</t>
    <phoneticPr fontId="1"/>
  </si>
  <si>
    <t>計画書①（事業所概要・目標）</t>
    <phoneticPr fontId="1"/>
  </si>
  <si>
    <t>計画書② (取組）</t>
    <phoneticPr fontId="1"/>
  </si>
  <si>
    <t>計画書③（任意記載）</t>
    <phoneticPr fontId="1"/>
  </si>
  <si>
    <t>S10</t>
  </si>
  <si>
    <t>S11</t>
  </si>
  <si>
    <t>S12</t>
  </si>
  <si>
    <t>S13</t>
  </si>
  <si>
    <t>非化石エネルギーの
使用割合</t>
    <rPh sb="10" eb="12">
      <t>シヨウ</t>
    </rPh>
    <rPh sb="12" eb="14">
      <t>ワリアイ</t>
    </rPh>
    <phoneticPr fontId="4"/>
  </si>
  <si>
    <t>S2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</si>
</sst>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
    <numFmt numFmtId="177" formatCode="#,##0_);[Red]\(#,##0\)"/>
    <numFmt numFmtId="178" formatCode="#,##0_ "/>
    <numFmt numFmtId="179" formatCode="0.000_);[Red]\(0.000\)"/>
    <numFmt numFmtId="180" formatCode="#,##0;&quot;▲ &quot;#,##0"/>
    <numFmt numFmtId="181" formatCode="#,##0.0_);[Red]\(#,##0.0\)"/>
    <numFmt numFmtId="182" formatCode=";;;"/>
    <numFmt numFmtId="183" formatCode="#,##0.00;&quot;▲ &quot;#,##0.00"/>
    <numFmt numFmtId="184" formatCode="00#"/>
    <numFmt numFmtId="185" formatCode="0.0_);[Red]\(0.0\)"/>
    <numFmt numFmtId="186" formatCode="#,##0.00_ "/>
    <numFmt numFmtId="187" formatCode="0.000_ "/>
    <numFmt numFmtId="188" formatCode="#,##0.00;&quot;▲ &quot;#,##0.00;0"/>
    <numFmt numFmtId="189" formatCode="0.0_ "/>
    <numFmt numFmtId="190" formatCode="#,##0.0000_ "/>
    <numFmt numFmtId="191" formatCode="0.00_ "/>
    <numFmt numFmtId="192" formatCode="0.00_);[Red]\(0.00\)"/>
    <numFmt numFmtId="193" formatCode="#,##0.00;&quot;▲ &quot;#,##0.00;0;\ \ @"/>
    <numFmt numFmtId="194" formatCode="#,##0.00;&quot;▲ &quot;#,##0.00;0\ \ \ "/>
    <numFmt numFmtId="195" formatCode="#,##0.000_);[Red]\(#,##0.000\);0"/>
    <numFmt numFmtId="196" formatCode="0.0000_);[Red]\(0.0000\)"/>
    <numFmt numFmtId="197" formatCode="0.0000_ "/>
    <numFmt numFmtId="198" formatCode="#,##0.00;&quot;▲ &quot;#,##0.00;0\ \ \ \ ;\ \ @"/>
  </numFmts>
  <fonts count="8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indexed="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0"/>
      <name val="ＭＳ Ｐゴシック"/>
      <family val="3"/>
      <charset val="128"/>
    </font>
    <font>
      <u/>
      <sz val="11"/>
      <color theme="10"/>
      <name val="ＭＳ Ｐゴシック"/>
      <family val="3"/>
      <charset val="128"/>
    </font>
    <font>
      <sz val="11"/>
      <color indexed="10"/>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family val="2"/>
    </font>
    <font>
      <vertAlign val="subscript"/>
      <sz val="10"/>
      <name val="ＭＳ Ｐゴシック"/>
      <family val="3"/>
      <charset val="128"/>
    </font>
    <font>
      <u/>
      <sz val="11"/>
      <color theme="10"/>
      <name val="ＭＳ Ｐゴシック"/>
      <family val="2"/>
      <charset val="128"/>
      <scheme val="minor"/>
    </font>
    <font>
      <sz val="11"/>
      <color theme="1"/>
      <name val="ＭＳ Ｐゴシック"/>
      <family val="2"/>
      <charset val="128"/>
    </font>
    <font>
      <vertAlign val="subscript"/>
      <sz val="10"/>
      <name val="Arial"/>
      <family val="2"/>
    </font>
    <font>
      <sz val="10"/>
      <name val="游ゴシック"/>
      <family val="2"/>
      <charset val="128"/>
    </font>
    <font>
      <sz val="11"/>
      <color rgb="FFFF0000"/>
      <name val="ＭＳ Ｐゴシック"/>
      <family val="2"/>
      <charset val="128"/>
      <scheme val="minor"/>
    </font>
    <font>
      <b/>
      <sz val="12"/>
      <color rgb="FFFF0000"/>
      <name val="ＭＳ Ｐゴシック"/>
      <family val="3"/>
      <charset val="128"/>
      <scheme val="minor"/>
    </font>
    <font>
      <sz val="11"/>
      <color theme="0"/>
      <name val="メイリオ"/>
      <family val="3"/>
      <charset val="128"/>
    </font>
    <font>
      <sz val="11"/>
      <color theme="1"/>
      <name val="メイリオ"/>
      <family val="3"/>
      <charset val="128"/>
    </font>
    <font>
      <b/>
      <sz val="11"/>
      <color rgb="FFFF0000"/>
      <name val="メイリオ"/>
      <family val="3"/>
      <charset val="128"/>
    </font>
    <font>
      <b/>
      <sz val="14"/>
      <color rgb="FFFF0000"/>
      <name val="メイリオ"/>
      <family val="3"/>
      <charset val="128"/>
    </font>
    <font>
      <u/>
      <sz val="11"/>
      <color theme="10"/>
      <name val="メイリオ"/>
      <family val="3"/>
      <charset val="128"/>
    </font>
    <font>
      <sz val="14"/>
      <color theme="1"/>
      <name val="メイリオ"/>
      <family val="3"/>
      <charset val="128"/>
    </font>
    <font>
      <sz val="11"/>
      <name val="メイリオ"/>
      <family val="3"/>
      <charset val="128"/>
    </font>
    <font>
      <sz val="10"/>
      <name val="メイリオ"/>
      <family val="3"/>
      <charset val="128"/>
    </font>
    <font>
      <sz val="10"/>
      <color indexed="8"/>
      <name val="メイリオ"/>
      <family val="3"/>
      <charset val="128"/>
    </font>
    <font>
      <b/>
      <sz val="16"/>
      <color indexed="9"/>
      <name val="メイリオ"/>
      <family val="3"/>
      <charset val="128"/>
    </font>
    <font>
      <b/>
      <sz val="10"/>
      <color indexed="9"/>
      <name val="メイリオ"/>
      <family val="3"/>
      <charset val="128"/>
    </font>
    <font>
      <sz val="10"/>
      <color theme="1"/>
      <name val="メイリオ"/>
      <family val="3"/>
      <charset val="128"/>
    </font>
    <font>
      <sz val="10"/>
      <color indexed="9"/>
      <name val="メイリオ"/>
      <family val="3"/>
      <charset val="128"/>
    </font>
    <font>
      <b/>
      <sz val="14"/>
      <name val="メイリオ"/>
      <family val="3"/>
      <charset val="128"/>
    </font>
    <font>
      <b/>
      <vertAlign val="subscript"/>
      <sz val="14"/>
      <name val="メイリオ"/>
      <family val="3"/>
      <charset val="128"/>
    </font>
    <font>
      <vertAlign val="subscript"/>
      <sz val="10"/>
      <color indexed="9"/>
      <name val="メイリオ"/>
      <family val="3"/>
      <charset val="128"/>
    </font>
    <font>
      <b/>
      <sz val="10"/>
      <name val="メイリオ"/>
      <family val="3"/>
      <charset val="128"/>
    </font>
    <font>
      <b/>
      <sz val="10"/>
      <color theme="1"/>
      <name val="メイリオ"/>
      <family val="3"/>
      <charset val="128"/>
    </font>
    <font>
      <b/>
      <vertAlign val="subscript"/>
      <sz val="10"/>
      <color theme="1"/>
      <name val="メイリオ"/>
      <family val="3"/>
      <charset val="128"/>
    </font>
    <font>
      <sz val="10"/>
      <color rgb="FFFF0000"/>
      <name val="メイリオ"/>
      <family val="3"/>
      <charset val="128"/>
    </font>
    <font>
      <vertAlign val="superscript"/>
      <sz val="10"/>
      <color indexed="8"/>
      <name val="メイリオ"/>
      <family val="3"/>
      <charset val="128"/>
    </font>
    <font>
      <sz val="9"/>
      <name val="メイリオ"/>
      <family val="3"/>
      <charset val="128"/>
    </font>
    <font>
      <b/>
      <sz val="10"/>
      <color theme="0"/>
      <name val="メイリオ"/>
      <family val="3"/>
      <charset val="128"/>
    </font>
    <font>
      <vertAlign val="subscript"/>
      <sz val="10"/>
      <color theme="1"/>
      <name val="メイリオ"/>
      <family val="3"/>
      <charset val="128"/>
    </font>
    <font>
      <sz val="11"/>
      <color rgb="FFFF0000"/>
      <name val="メイリオ"/>
      <family val="3"/>
      <charset val="128"/>
    </font>
    <font>
      <vertAlign val="subscript"/>
      <sz val="10"/>
      <name val="メイリオ"/>
      <family val="3"/>
      <charset val="128"/>
    </font>
    <font>
      <b/>
      <sz val="10"/>
      <color rgb="FFFF0000"/>
      <name val="メイリオ"/>
      <family val="3"/>
      <charset val="128"/>
    </font>
    <font>
      <b/>
      <sz val="9"/>
      <name val="メイリオ"/>
      <family val="3"/>
      <charset val="128"/>
    </font>
    <font>
      <sz val="10"/>
      <color theme="0" tint="-0.34998626667073579"/>
      <name val="メイリオ"/>
      <family val="3"/>
      <charset val="128"/>
    </font>
    <font>
      <sz val="8"/>
      <name val="メイリオ"/>
      <family val="3"/>
      <charset val="128"/>
    </font>
    <font>
      <sz val="11"/>
      <name val="ＭＳ Ｐゴシック"/>
      <family val="2"/>
      <charset val="128"/>
      <scheme val="minor"/>
    </font>
    <font>
      <sz val="10"/>
      <color rgb="FF000000"/>
      <name val="メイリオ"/>
      <family val="3"/>
      <charset val="128"/>
    </font>
    <font>
      <sz val="20"/>
      <color rgb="FFFF0000"/>
      <name val="メイリオ"/>
      <family val="3"/>
      <charset val="128"/>
    </font>
    <font>
      <b/>
      <sz val="12"/>
      <color indexed="81"/>
      <name val="メイリオ"/>
      <family val="3"/>
      <charset val="128"/>
    </font>
    <font>
      <b/>
      <sz val="12"/>
      <color indexed="8"/>
      <name val="メイリオ"/>
      <family val="3"/>
      <charset val="128"/>
    </font>
    <font>
      <b/>
      <sz val="12"/>
      <color indexed="81"/>
      <name val="MS P ゴシック"/>
      <family val="3"/>
      <charset val="128"/>
    </font>
    <font>
      <b/>
      <vertAlign val="subscript"/>
      <sz val="10"/>
      <name val="メイリオ"/>
      <family val="3"/>
      <charset val="128"/>
    </font>
    <font>
      <sz val="10"/>
      <color theme="0" tint="-0.14999847407452621"/>
      <name val="メイリオ"/>
      <family val="3"/>
      <charset val="128"/>
    </font>
    <font>
      <u/>
      <sz val="10"/>
      <color theme="10"/>
      <name val="メイリオ"/>
      <family val="3"/>
      <charset val="128"/>
    </font>
    <font>
      <b/>
      <sz val="12"/>
      <color indexed="8"/>
      <name val="ＭＳ Ｐゴシック"/>
      <family val="3"/>
      <charset val="128"/>
    </font>
    <font>
      <b/>
      <sz val="12"/>
      <color rgb="FFFF0000"/>
      <name val="ＭＳ Ｐゴシック"/>
      <family val="3"/>
      <charset val="128"/>
    </font>
    <font>
      <sz val="20"/>
      <color indexed="8"/>
      <name val="ＭＳ Ｐゴシック"/>
      <family val="3"/>
      <charset val="128"/>
    </font>
    <font>
      <b/>
      <sz val="11"/>
      <color indexed="12"/>
      <name val="ＭＳ Ｐゴシック"/>
      <family val="3"/>
      <charset val="128"/>
    </font>
    <font>
      <sz val="11"/>
      <color indexed="12"/>
      <name val="ＭＳ Ｐゴシック"/>
      <family val="3"/>
      <charset val="128"/>
    </font>
    <font>
      <b/>
      <u/>
      <sz val="11"/>
      <color indexed="12"/>
      <name val="ＭＳ Ｐゴシック"/>
      <family val="3"/>
      <charset val="128"/>
    </font>
    <font>
      <sz val="10"/>
      <color indexed="81"/>
      <name val="メイリオ"/>
      <family val="3"/>
      <charset val="128"/>
    </font>
    <font>
      <sz val="9"/>
      <color indexed="81"/>
      <name val="MS P ゴシック"/>
      <family val="3"/>
      <charset val="128"/>
    </font>
  </fonts>
  <fills count="48">
    <fill>
      <patternFill patternType="none"/>
    </fill>
    <fill>
      <patternFill patternType="gray125"/>
    </fill>
    <fill>
      <patternFill patternType="solid">
        <fgColor theme="8" tint="0.59999389629810485"/>
        <bgColor indexed="64"/>
      </patternFill>
    </fill>
    <fill>
      <patternFill patternType="solid">
        <fgColor indexed="18"/>
        <bgColor indexed="64"/>
      </patternFill>
    </fill>
    <fill>
      <patternFill patternType="solid">
        <fgColor indexed="62"/>
        <bgColor indexed="64"/>
      </patternFill>
    </fill>
    <fill>
      <patternFill patternType="solid">
        <fgColor rgb="FFCCE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4506668294322"/>
        <bgColor indexed="64"/>
      </patternFill>
    </fill>
    <fill>
      <patternFill patternType="solid">
        <fgColor theme="6" tint="-0.24994659260841701"/>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theme="3" tint="0.59996337778862885"/>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333399"/>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diagonal/>
    </border>
    <border>
      <left/>
      <right style="thin">
        <color indexed="64"/>
      </right>
      <top style="hair">
        <color indexed="64"/>
      </top>
      <bottom style="double">
        <color indexed="64"/>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bottom/>
      <diagonal/>
    </border>
    <border>
      <left/>
      <right style="hair">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double">
        <color indexed="64"/>
      </bottom>
      <diagonal/>
    </border>
    <border>
      <left style="medium">
        <color auto="1"/>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right style="thin">
        <color auto="1"/>
      </right>
      <top/>
      <bottom style="hair">
        <color auto="1"/>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diagonal style="hair">
        <color indexed="64"/>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thin">
        <color auto="1"/>
      </left>
      <right/>
      <top style="hair">
        <color auto="1"/>
      </top>
      <bottom style="thin">
        <color auto="1"/>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auto="1"/>
      </bottom>
      <diagonal/>
    </border>
    <border diagonalUp="1">
      <left style="thin">
        <color indexed="64"/>
      </left>
      <right style="medium">
        <color indexed="64"/>
      </right>
      <top style="hair">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medium">
        <color indexed="64"/>
      </right>
      <top style="double">
        <color indexed="64"/>
      </top>
      <bottom style="hair">
        <color indexed="64"/>
      </bottom>
      <diagonal style="hair">
        <color indexed="64"/>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hair">
        <color indexed="64"/>
      </top>
      <bottom style="medium">
        <color indexed="64"/>
      </bottom>
      <diagonal/>
    </border>
    <border>
      <left/>
      <right/>
      <top style="medium">
        <color auto="1"/>
      </top>
      <bottom/>
      <diagonal/>
    </border>
    <border>
      <left style="thin">
        <color indexed="64"/>
      </left>
      <right style="hair">
        <color indexed="64"/>
      </right>
      <top style="medium">
        <color indexed="64"/>
      </top>
      <bottom/>
      <diagonal/>
    </border>
    <border>
      <left style="thin">
        <color auto="1"/>
      </left>
      <right style="hair">
        <color indexed="64"/>
      </right>
      <top style="thin">
        <color auto="1"/>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style="thin">
        <color auto="1"/>
      </top>
      <bottom style="thin">
        <color auto="1"/>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hair">
        <color auto="1"/>
      </right>
      <top style="thin">
        <color auto="1"/>
      </top>
      <bottom/>
      <diagonal/>
    </border>
    <border diagonalUp="1">
      <left style="hair">
        <color indexed="64"/>
      </left>
      <right style="hair">
        <color indexed="64"/>
      </right>
      <top style="thin">
        <color indexed="64"/>
      </top>
      <bottom/>
      <diagonal style="hair">
        <color indexed="64"/>
      </diagonal>
    </border>
    <border>
      <left style="hair">
        <color auto="1"/>
      </left>
      <right style="hair">
        <color auto="1"/>
      </right>
      <top style="thin">
        <color auto="1"/>
      </top>
      <bottom/>
      <diagonal/>
    </border>
    <border>
      <left style="hair">
        <color indexed="64"/>
      </left>
      <right/>
      <top style="thin">
        <color indexed="64"/>
      </top>
      <bottom/>
      <diagonal/>
    </border>
    <border diagonalUp="1">
      <left style="thin">
        <color indexed="64"/>
      </left>
      <right style="medium">
        <color indexed="64"/>
      </right>
      <top style="thin">
        <color indexed="64"/>
      </top>
      <bottom/>
      <diagonal style="hair">
        <color indexed="64"/>
      </diagonal>
    </border>
    <border diagonalUp="1">
      <left style="hair">
        <color indexed="64"/>
      </left>
      <right style="hair">
        <color indexed="64"/>
      </right>
      <top style="double">
        <color indexed="64"/>
      </top>
      <bottom style="hair">
        <color indexed="64"/>
      </bottom>
      <diagonal style="hair">
        <color indexed="64"/>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thin">
        <color auto="1"/>
      </bottom>
      <diagonal/>
    </border>
    <border>
      <left style="thin">
        <color indexed="64"/>
      </left>
      <right/>
      <top style="thin">
        <color auto="1"/>
      </top>
      <bottom style="medium">
        <color indexed="64"/>
      </bottom>
      <diagonal/>
    </border>
    <border>
      <left/>
      <right style="hair">
        <color auto="1"/>
      </right>
      <top style="thin">
        <color auto="1"/>
      </top>
      <bottom/>
      <diagonal/>
    </border>
    <border>
      <left/>
      <right style="hair">
        <color indexed="64"/>
      </right>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diagonalUp="1">
      <left style="thin">
        <color auto="1"/>
      </left>
      <right style="thin">
        <color auto="1"/>
      </right>
      <top style="thin">
        <color auto="1"/>
      </top>
      <bottom/>
      <diagonal style="hair">
        <color auto="1"/>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diagonalUp="1">
      <left style="thin">
        <color indexed="64"/>
      </left>
      <right style="medium">
        <color indexed="64"/>
      </right>
      <top style="thin">
        <color indexed="64"/>
      </top>
      <bottom style="hair">
        <color indexed="64"/>
      </bottom>
      <diagonal style="hair">
        <color indexed="64"/>
      </diagonal>
    </border>
    <border>
      <left/>
      <right style="hair">
        <color indexed="64"/>
      </right>
      <top style="double">
        <color indexed="64"/>
      </top>
      <bottom/>
      <diagonal/>
    </border>
    <border>
      <left style="thin">
        <color auto="1"/>
      </left>
      <right style="thin">
        <color indexed="64"/>
      </right>
      <top style="double">
        <color auto="1"/>
      </top>
      <bottom style="hair">
        <color auto="1"/>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thin">
        <color indexed="64"/>
      </left>
      <right style="thin">
        <color indexed="64"/>
      </right>
      <top style="double">
        <color indexed="64"/>
      </top>
      <bottom style="thin">
        <color indexed="64"/>
      </bottom>
      <diagonal style="hair">
        <color indexed="64"/>
      </diagonal>
    </border>
    <border>
      <left/>
      <right/>
      <top style="thin">
        <color auto="1"/>
      </top>
      <bottom style="double">
        <color indexed="64"/>
      </bottom>
      <diagonal/>
    </border>
    <border>
      <left style="thin">
        <color auto="1"/>
      </left>
      <right style="thin">
        <color indexed="64"/>
      </right>
      <top style="hair">
        <color auto="1"/>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double">
        <color auto="1"/>
      </bottom>
      <diagonal/>
    </border>
    <border>
      <left style="thin">
        <color auto="1"/>
      </left>
      <right style="thin">
        <color indexed="64"/>
      </right>
      <top style="double">
        <color auto="1"/>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s>
  <cellStyleXfs count="57">
    <xf numFmtId="0" fontId="0" fillId="0" borderId="0">
      <alignment vertical="center"/>
    </xf>
    <xf numFmtId="0" fontId="5"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0" fontId="12" fillId="0" borderId="0" applyNumberFormat="0" applyFill="0" applyBorder="0" applyAlignment="0" applyProtection="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3" fillId="0" borderId="42">
      <alignment horizontal="center" vertical="center"/>
    </xf>
    <xf numFmtId="0" fontId="14" fillId="0" borderId="0" applyNumberFormat="0" applyFill="0" applyBorder="0" applyAlignment="0" applyProtection="0">
      <alignment vertical="center"/>
    </xf>
    <xf numFmtId="0" fontId="7" fillId="24" borderId="43" applyNumberFormat="0" applyAlignment="0" applyProtection="0">
      <alignment vertical="center"/>
    </xf>
    <xf numFmtId="0" fontId="15" fillId="25" borderId="0" applyNumberFormat="0" applyBorder="0" applyAlignment="0" applyProtection="0">
      <alignment vertical="center"/>
    </xf>
    <xf numFmtId="0" fontId="10" fillId="26" borderId="44" applyNumberFormat="0" applyFont="0" applyAlignment="0" applyProtection="0">
      <alignment vertical="center"/>
    </xf>
    <xf numFmtId="0" fontId="16" fillId="0" borderId="45" applyNumberFormat="0" applyFill="0" applyAlignment="0" applyProtection="0">
      <alignment vertical="center"/>
    </xf>
    <xf numFmtId="0" fontId="17" fillId="7" borderId="0" applyNumberFormat="0" applyBorder="0" applyAlignment="0" applyProtection="0">
      <alignment vertical="center"/>
    </xf>
    <xf numFmtId="0" fontId="18" fillId="27" borderId="46" applyNumberFormat="0" applyAlignment="0" applyProtection="0">
      <alignment vertical="center"/>
    </xf>
    <xf numFmtId="0" fontId="13"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0" borderId="48" applyNumberFormat="0" applyFill="0" applyAlignment="0" applyProtection="0">
      <alignment vertical="center"/>
    </xf>
    <xf numFmtId="0" fontId="21" fillId="0" borderId="49" applyNumberFormat="0" applyFill="0" applyAlignment="0" applyProtection="0">
      <alignment vertical="center"/>
    </xf>
    <xf numFmtId="0" fontId="21" fillId="0" borderId="0" applyNumberFormat="0" applyFill="0" applyBorder="0" applyAlignment="0" applyProtection="0">
      <alignment vertical="center"/>
    </xf>
    <xf numFmtId="0" fontId="22" fillId="0" borderId="50" applyNumberFormat="0" applyFill="0" applyAlignment="0" applyProtection="0">
      <alignment vertical="center"/>
    </xf>
    <xf numFmtId="0" fontId="23" fillId="27" borderId="51" applyNumberFormat="0" applyAlignment="0" applyProtection="0">
      <alignment vertical="center"/>
    </xf>
    <xf numFmtId="0" fontId="24" fillId="0" borderId="0" applyNumberFormat="0" applyFill="0" applyBorder="0" applyAlignment="0" applyProtection="0">
      <alignment vertical="center"/>
    </xf>
    <xf numFmtId="0" fontId="25" fillId="11" borderId="46" applyNumberFormat="0" applyAlignment="0" applyProtection="0">
      <alignment vertical="center"/>
    </xf>
    <xf numFmtId="0" fontId="6" fillId="0" borderId="0">
      <alignment vertical="center"/>
    </xf>
    <xf numFmtId="0" fontId="26" fillId="8" borderId="0" applyNumberFormat="0" applyBorder="0" applyAlignment="0" applyProtection="0">
      <alignment vertical="center"/>
    </xf>
    <xf numFmtId="0" fontId="8" fillId="0" borderId="0"/>
    <xf numFmtId="9" fontId="6" fillId="0" borderId="0" applyFont="0" applyFill="0" applyBorder="0" applyAlignment="0" applyProtection="0">
      <alignment vertical="center"/>
    </xf>
    <xf numFmtId="0" fontId="29" fillId="0" borderId="0" applyNumberForma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cellStyleXfs>
  <cellXfs count="1090">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shrinkToFit="1"/>
    </xf>
    <xf numFmtId="49" fontId="0" fillId="0" borderId="1" xfId="0" applyNumberFormat="1" applyBorder="1" applyAlignment="1">
      <alignment horizontal="left" vertical="center"/>
    </xf>
    <xf numFmtId="49" fontId="0" fillId="0" borderId="1" xfId="0" applyNumberFormat="1" applyBorder="1">
      <alignment vertical="center"/>
    </xf>
    <xf numFmtId="49" fontId="0" fillId="0" borderId="1" xfId="0" quotePrefix="1" applyNumberFormat="1" applyBorder="1">
      <alignment vertical="center"/>
    </xf>
    <xf numFmtId="0" fontId="0" fillId="0" borderId="0" xfId="0" applyAlignment="1">
      <alignment horizontal="center" vertical="center"/>
    </xf>
    <xf numFmtId="0" fontId="0" fillId="0" borderId="1" xfId="0" applyBorder="1">
      <alignment vertical="center"/>
    </xf>
    <xf numFmtId="0" fontId="36" fillId="0" borderId="0" xfId="0" applyFont="1">
      <alignment vertical="center"/>
    </xf>
    <xf numFmtId="0" fontId="36" fillId="0" borderId="1" xfId="0" applyFont="1" applyBorder="1">
      <alignment vertical="center"/>
    </xf>
    <xf numFmtId="0" fontId="42" fillId="29" borderId="21" xfId="3" applyFont="1" applyFill="1" applyBorder="1">
      <alignment vertical="center"/>
    </xf>
    <xf numFmtId="183" fontId="42" fillId="5" borderId="23" xfId="3" applyNumberFormat="1" applyFont="1" applyFill="1" applyBorder="1" applyAlignment="1" applyProtection="1">
      <alignment vertical="center" shrinkToFit="1"/>
      <protection locked="0"/>
    </xf>
    <xf numFmtId="183" fontId="42" fillId="5" borderId="24" xfId="3" applyNumberFormat="1" applyFont="1" applyFill="1" applyBorder="1" applyAlignment="1" applyProtection="1">
      <alignment vertical="center" shrinkToFit="1"/>
      <protection locked="0"/>
    </xf>
    <xf numFmtId="0" fontId="42" fillId="29" borderId="53" xfId="3" applyFont="1" applyFill="1" applyBorder="1">
      <alignment vertical="center"/>
    </xf>
    <xf numFmtId="183" fontId="42" fillId="5" borderId="31" xfId="3" applyNumberFormat="1" applyFont="1" applyFill="1" applyBorder="1" applyAlignment="1" applyProtection="1">
      <alignment vertical="center" shrinkToFit="1"/>
      <protection locked="0"/>
    </xf>
    <xf numFmtId="183" fontId="42" fillId="5" borderId="25" xfId="3" applyNumberFormat="1" applyFont="1" applyFill="1" applyBorder="1" applyAlignment="1" applyProtection="1">
      <alignment vertical="center" shrinkToFit="1"/>
      <protection locked="0"/>
    </xf>
    <xf numFmtId="0" fontId="42" fillId="29" borderId="29" xfId="3" applyFont="1" applyFill="1" applyBorder="1">
      <alignment vertical="center"/>
    </xf>
    <xf numFmtId="0" fontId="42" fillId="29" borderId="25" xfId="3" applyFont="1" applyFill="1" applyBorder="1">
      <alignment vertical="center"/>
    </xf>
    <xf numFmtId="0" fontId="42" fillId="29" borderId="25" xfId="3" applyFont="1" applyFill="1" applyBorder="1" applyAlignment="1">
      <alignment horizontal="center" vertical="center"/>
    </xf>
    <xf numFmtId="0" fontId="56" fillId="29" borderId="29" xfId="3" applyFont="1" applyFill="1" applyBorder="1">
      <alignment vertical="center"/>
    </xf>
    <xf numFmtId="183" fontId="42" fillId="5" borderId="71" xfId="3" applyNumberFormat="1" applyFont="1" applyFill="1" applyBorder="1" applyAlignment="1" applyProtection="1">
      <alignment vertical="center" shrinkToFit="1"/>
      <protection locked="0"/>
    </xf>
    <xf numFmtId="183" fontId="42" fillId="5" borderId="72" xfId="3" applyNumberFormat="1" applyFont="1" applyFill="1" applyBorder="1" applyAlignment="1" applyProtection="1">
      <alignment vertical="center" shrinkToFit="1"/>
      <protection locked="0"/>
    </xf>
    <xf numFmtId="0" fontId="46" fillId="0" borderId="0" xfId="0" applyFont="1">
      <alignment vertical="center"/>
    </xf>
    <xf numFmtId="183" fontId="42" fillId="5" borderId="16" xfId="3" applyNumberFormat="1" applyFont="1" applyFill="1" applyBorder="1" applyAlignment="1" applyProtection="1">
      <alignment vertical="center" shrinkToFit="1"/>
      <protection locked="0"/>
    </xf>
    <xf numFmtId="183" fontId="42" fillId="5" borderId="98" xfId="3" applyNumberFormat="1" applyFont="1" applyFill="1" applyBorder="1" applyAlignment="1" applyProtection="1">
      <alignment vertical="center" shrinkToFit="1"/>
      <protection locked="0"/>
    </xf>
    <xf numFmtId="0" fontId="54" fillId="0" borderId="53" xfId="3" applyFont="1" applyBorder="1">
      <alignment vertical="center"/>
    </xf>
    <xf numFmtId="0" fontId="42" fillId="5" borderId="108" xfId="3" applyFont="1" applyFill="1" applyBorder="1" applyProtection="1">
      <alignment vertical="center"/>
      <protection locked="0"/>
    </xf>
    <xf numFmtId="183" fontId="42" fillId="5" borderId="110" xfId="3" applyNumberFormat="1" applyFont="1" applyFill="1" applyBorder="1" applyAlignment="1" applyProtection="1">
      <alignment vertical="center" shrinkToFit="1"/>
      <protection locked="0"/>
    </xf>
    <xf numFmtId="183" fontId="42" fillId="5" borderId="111" xfId="3" applyNumberFormat="1" applyFont="1" applyFill="1" applyBorder="1" applyAlignment="1" applyProtection="1">
      <alignment vertical="center" shrinkToFit="1"/>
      <protection locked="0"/>
    </xf>
    <xf numFmtId="0" fontId="46" fillId="5" borderId="108" xfId="53" applyFont="1" applyFill="1" applyBorder="1" applyAlignment="1" applyProtection="1">
      <alignment horizontal="left" vertical="center" shrinkToFit="1"/>
      <protection locked="0"/>
    </xf>
    <xf numFmtId="179" fontId="46" fillId="5" borderId="108" xfId="53" applyNumberFormat="1" applyFont="1" applyFill="1" applyBorder="1" applyAlignment="1" applyProtection="1">
      <alignment vertical="center" shrinkToFit="1"/>
      <protection locked="0"/>
    </xf>
    <xf numFmtId="177" fontId="46" fillId="5" borderId="108" xfId="53" applyNumberFormat="1" applyFont="1" applyFill="1" applyBorder="1" applyProtection="1">
      <alignment vertical="center"/>
      <protection locked="0"/>
    </xf>
    <xf numFmtId="9" fontId="46" fillId="5" borderId="108" xfId="53" applyNumberFormat="1" applyFont="1" applyFill="1" applyBorder="1" applyProtection="1">
      <alignment vertical="center"/>
      <protection locked="0"/>
    </xf>
    <xf numFmtId="0" fontId="42" fillId="0" borderId="130" xfId="3" applyFont="1" applyBorder="1" applyAlignment="1">
      <alignment horizontal="centerContinuous" vertical="center"/>
    </xf>
    <xf numFmtId="0" fontId="46" fillId="5" borderId="108" xfId="53" applyFont="1" applyFill="1" applyBorder="1" applyAlignment="1" applyProtection="1">
      <alignment horizontal="left" vertical="center" wrapText="1" shrinkToFit="1"/>
      <protection locked="0"/>
    </xf>
    <xf numFmtId="3" fontId="46" fillId="5" borderId="108" xfId="53" applyNumberFormat="1" applyFont="1" applyFill="1" applyBorder="1" applyAlignment="1" applyProtection="1">
      <alignment horizontal="left" vertical="center" shrinkToFit="1"/>
      <protection locked="0"/>
    </xf>
    <xf numFmtId="177" fontId="46" fillId="5" borderId="57" xfId="53" applyNumberFormat="1" applyFont="1" applyFill="1" applyBorder="1" applyProtection="1">
      <alignment vertical="center"/>
      <protection locked="0"/>
    </xf>
    <xf numFmtId="0" fontId="36" fillId="0" borderId="22" xfId="0" applyFont="1" applyBorder="1">
      <alignment vertical="center"/>
    </xf>
    <xf numFmtId="0" fontId="36" fillId="0" borderId="30" xfId="0" applyFont="1" applyBorder="1">
      <alignment vertical="center"/>
    </xf>
    <xf numFmtId="0" fontId="42" fillId="0" borderId="38" xfId="3" applyFont="1" applyBorder="1" applyAlignment="1">
      <alignment horizontal="center" vertical="center"/>
    </xf>
    <xf numFmtId="0" fontId="42" fillId="0" borderId="143" xfId="3" applyFont="1" applyBorder="1" applyAlignment="1">
      <alignment horizontal="center" vertical="center"/>
    </xf>
    <xf numFmtId="0" fontId="42" fillId="0" borderId="137" xfId="3" applyFont="1" applyBorder="1" applyAlignment="1">
      <alignment horizontal="centerContinuous" vertical="center"/>
    </xf>
    <xf numFmtId="176" fontId="42" fillId="0" borderId="102" xfId="3" applyNumberFormat="1" applyFont="1" applyBorder="1" applyAlignment="1">
      <alignment horizontal="center" vertical="center"/>
    </xf>
    <xf numFmtId="0" fontId="36" fillId="0" borderId="143" xfId="0" applyFont="1" applyBorder="1" applyAlignment="1">
      <alignment horizontal="centerContinuous" vertical="center"/>
    </xf>
    <xf numFmtId="0" fontId="42" fillId="0" borderId="23" xfId="3" applyFont="1" applyBorder="1" applyAlignment="1">
      <alignment horizontal="center" vertical="center"/>
    </xf>
    <xf numFmtId="189" fontId="36" fillId="0" borderId="23" xfId="0" applyNumberFormat="1" applyFont="1" applyBorder="1">
      <alignment vertical="center"/>
    </xf>
    <xf numFmtId="180" fontId="42" fillId="0" borderId="22" xfId="3" applyNumberFormat="1" applyFont="1" applyBorder="1" applyAlignment="1">
      <alignment vertical="center" shrinkToFit="1"/>
    </xf>
    <xf numFmtId="190" fontId="41" fillId="0" borderId="23" xfId="3" applyNumberFormat="1" applyFont="1" applyBorder="1" applyAlignment="1">
      <alignment vertical="center" shrinkToFit="1"/>
    </xf>
    <xf numFmtId="180" fontId="41" fillId="0" borderId="22" xfId="3" applyNumberFormat="1" applyFont="1" applyBorder="1" applyAlignment="1">
      <alignment vertical="center" shrinkToFit="1"/>
    </xf>
    <xf numFmtId="0" fontId="42" fillId="0" borderId="31" xfId="3" applyFont="1" applyBorder="1" applyAlignment="1">
      <alignment horizontal="center" vertical="center"/>
    </xf>
    <xf numFmtId="189" fontId="36" fillId="0" borderId="31" xfId="0" applyNumberFormat="1" applyFont="1" applyBorder="1">
      <alignment vertical="center"/>
    </xf>
    <xf numFmtId="180" fontId="42" fillId="0" borderId="30" xfId="3" applyNumberFormat="1" applyFont="1" applyBorder="1" applyAlignment="1">
      <alignment vertical="center" shrinkToFit="1"/>
    </xf>
    <xf numFmtId="190" fontId="41" fillId="0" borderId="31" xfId="3" applyNumberFormat="1" applyFont="1" applyBorder="1" applyAlignment="1">
      <alignment vertical="center" shrinkToFit="1"/>
    </xf>
    <xf numFmtId="180" fontId="41" fillId="0" borderId="30" xfId="3" applyNumberFormat="1" applyFont="1" applyBorder="1" applyAlignment="1">
      <alignment vertical="center" shrinkToFit="1"/>
    </xf>
    <xf numFmtId="191" fontId="36" fillId="0" borderId="31" xfId="0" applyNumberFormat="1" applyFont="1" applyBorder="1">
      <alignment vertical="center"/>
    </xf>
    <xf numFmtId="0" fontId="42" fillId="29" borderId="117" xfId="3" applyFont="1" applyFill="1" applyBorder="1">
      <alignment vertical="center"/>
    </xf>
    <xf numFmtId="0" fontId="36" fillId="0" borderId="110" xfId="0" applyFont="1" applyBorder="1">
      <alignment vertical="center"/>
    </xf>
    <xf numFmtId="180" fontId="42" fillId="0" borderId="118" xfId="3" applyNumberFormat="1" applyFont="1" applyBorder="1" applyAlignment="1">
      <alignment vertical="center" shrinkToFit="1"/>
    </xf>
    <xf numFmtId="190" fontId="41" fillId="0" borderId="110" xfId="3" applyNumberFormat="1" applyFont="1" applyBorder="1" applyAlignment="1">
      <alignment vertical="center" shrinkToFit="1"/>
    </xf>
    <xf numFmtId="38" fontId="36" fillId="29" borderId="21" xfId="52" applyFont="1" applyFill="1" applyBorder="1" applyAlignment="1">
      <alignment vertical="center"/>
    </xf>
    <xf numFmtId="185" fontId="36" fillId="0" borderId="23" xfId="0" applyNumberFormat="1" applyFont="1" applyBorder="1">
      <alignment vertical="center"/>
    </xf>
    <xf numFmtId="0" fontId="36" fillId="0" borderId="31" xfId="0" applyFont="1" applyBorder="1" applyAlignment="1">
      <alignment horizontal="centerContinuous" vertical="center"/>
    </xf>
    <xf numFmtId="0" fontId="36" fillId="0" borderId="30" xfId="0" applyFont="1" applyBorder="1" applyAlignment="1">
      <alignment horizontal="centerContinuous" vertical="center"/>
    </xf>
    <xf numFmtId="38" fontId="36" fillId="29" borderId="29" xfId="52" applyFont="1" applyFill="1" applyBorder="1" applyAlignment="1">
      <alignment vertical="center"/>
    </xf>
    <xf numFmtId="185" fontId="36" fillId="0" borderId="31" xfId="0" applyNumberFormat="1" applyFont="1" applyBorder="1">
      <alignment vertical="center"/>
    </xf>
    <xf numFmtId="38" fontId="36" fillId="29" borderId="117" xfId="52" applyFont="1" applyFill="1" applyBorder="1" applyAlignment="1">
      <alignment vertical="center"/>
    </xf>
    <xf numFmtId="185" fontId="42" fillId="0" borderId="110" xfId="3" applyNumberFormat="1" applyFont="1" applyBorder="1" applyAlignment="1">
      <alignment vertical="center" shrinkToFit="1"/>
    </xf>
    <xf numFmtId="0" fontId="42" fillId="29" borderId="23" xfId="3" applyFont="1" applyFill="1" applyBorder="1">
      <alignment vertical="center"/>
    </xf>
    <xf numFmtId="0" fontId="42" fillId="0" borderId="135" xfId="3" applyFont="1" applyBorder="1" applyAlignment="1">
      <alignment horizontal="center" vertical="center"/>
    </xf>
    <xf numFmtId="0" fontId="36" fillId="0" borderId="23" xfId="0" applyFont="1" applyBorder="1">
      <alignment vertical="center"/>
    </xf>
    <xf numFmtId="0" fontId="42" fillId="29" borderId="31" xfId="3" applyFont="1" applyFill="1" applyBorder="1">
      <alignment vertical="center"/>
    </xf>
    <xf numFmtId="0" fontId="42" fillId="0" borderId="160" xfId="3" applyFont="1" applyBorder="1" applyAlignment="1">
      <alignment horizontal="center" vertical="center"/>
    </xf>
    <xf numFmtId="0" fontId="36" fillId="0" borderId="31" xfId="0" applyFont="1" applyBorder="1">
      <alignment vertical="center"/>
    </xf>
    <xf numFmtId="0" fontId="42" fillId="29" borderId="110" xfId="3" applyFont="1" applyFill="1" applyBorder="1">
      <alignment vertical="center"/>
    </xf>
    <xf numFmtId="0" fontId="42" fillId="0" borderId="161" xfId="3" applyFont="1" applyBorder="1" applyAlignment="1">
      <alignment horizontal="center" vertical="center"/>
    </xf>
    <xf numFmtId="0" fontId="36" fillId="0" borderId="118" xfId="0" applyFont="1" applyBorder="1" applyAlignment="1">
      <alignment horizontal="centerContinuous" vertical="center"/>
    </xf>
    <xf numFmtId="0" fontId="36" fillId="0" borderId="110" xfId="0" applyFont="1" applyBorder="1" applyAlignment="1">
      <alignment horizontal="centerContinuous" vertical="center"/>
    </xf>
    <xf numFmtId="0" fontId="42" fillId="29" borderId="24" xfId="3" applyFont="1" applyFill="1" applyBorder="1">
      <alignment vertical="center"/>
    </xf>
    <xf numFmtId="192" fontId="42" fillId="0" borderId="23" xfId="3" applyNumberFormat="1" applyFont="1" applyBorder="1" applyAlignment="1">
      <alignment vertical="center" shrinkToFit="1"/>
    </xf>
    <xf numFmtId="192" fontId="42" fillId="0" borderId="22" xfId="3" applyNumberFormat="1" applyFont="1" applyBorder="1" applyAlignment="1">
      <alignment vertical="center" shrinkToFit="1"/>
    </xf>
    <xf numFmtId="0" fontId="36" fillId="0" borderId="23" xfId="0" applyFont="1" applyBorder="1" applyAlignment="1">
      <alignment horizontal="centerContinuous" vertical="center"/>
    </xf>
    <xf numFmtId="0" fontId="36" fillId="0" borderId="22" xfId="0" applyFont="1" applyBorder="1" applyAlignment="1">
      <alignment horizontal="centerContinuous" vertical="center"/>
    </xf>
    <xf numFmtId="192" fontId="42" fillId="0" borderId="31" xfId="3" applyNumberFormat="1" applyFont="1" applyBorder="1" applyAlignment="1">
      <alignment vertical="center" shrinkToFit="1"/>
    </xf>
    <xf numFmtId="192" fontId="42" fillId="0" borderId="30" xfId="3" applyNumberFormat="1" applyFont="1" applyBorder="1" applyAlignment="1">
      <alignment vertical="center" shrinkToFit="1"/>
    </xf>
    <xf numFmtId="0" fontId="42" fillId="29" borderId="31" xfId="3" applyFont="1" applyFill="1" applyBorder="1" applyAlignment="1">
      <alignment horizontal="left" vertical="center"/>
    </xf>
    <xf numFmtId="0" fontId="36" fillId="29" borderId="116" xfId="0" applyFont="1" applyFill="1" applyBorder="1">
      <alignment vertical="center"/>
    </xf>
    <xf numFmtId="0" fontId="36" fillId="29" borderId="32" xfId="0" applyFont="1" applyFill="1" applyBorder="1">
      <alignment vertical="center"/>
    </xf>
    <xf numFmtId="0" fontId="36" fillId="29" borderId="30" xfId="0" applyFont="1" applyFill="1" applyBorder="1" applyAlignment="1">
      <alignment vertical="center" wrapText="1"/>
    </xf>
    <xf numFmtId="185" fontId="42" fillId="0" borderId="31" xfId="3" applyNumberFormat="1" applyFont="1" applyBorder="1" applyAlignment="1">
      <alignment vertical="center" shrinkToFit="1"/>
    </xf>
    <xf numFmtId="0" fontId="36" fillId="29" borderId="93" xfId="0" applyFont="1" applyFill="1" applyBorder="1">
      <alignment vertical="center"/>
    </xf>
    <xf numFmtId="0" fontId="36" fillId="29" borderId="30" xfId="0" applyFont="1" applyFill="1" applyBorder="1">
      <alignment vertical="center"/>
    </xf>
    <xf numFmtId="0" fontId="36" fillId="29" borderId="36" xfId="0" applyFont="1" applyFill="1" applyBorder="1">
      <alignment vertical="center"/>
    </xf>
    <xf numFmtId="0" fontId="36" fillId="29" borderId="25" xfId="0" applyFont="1" applyFill="1" applyBorder="1">
      <alignment vertical="center"/>
    </xf>
    <xf numFmtId="0" fontId="36" fillId="29" borderId="32" xfId="0" applyFont="1" applyFill="1" applyBorder="1" applyAlignment="1">
      <alignment vertical="center" wrapText="1"/>
    </xf>
    <xf numFmtId="0" fontId="36" fillId="29" borderId="113" xfId="0" applyFont="1" applyFill="1" applyBorder="1">
      <alignment vertical="center"/>
    </xf>
    <xf numFmtId="0" fontId="36" fillId="36" borderId="0" xfId="0" applyFont="1" applyFill="1">
      <alignment vertical="center"/>
    </xf>
    <xf numFmtId="0" fontId="36" fillId="2" borderId="0" xfId="0" applyFont="1" applyFill="1">
      <alignment vertical="center"/>
    </xf>
    <xf numFmtId="0" fontId="36" fillId="41" borderId="0" xfId="0" applyFont="1" applyFill="1">
      <alignment vertical="center"/>
    </xf>
    <xf numFmtId="0" fontId="36" fillId="31" borderId="0" xfId="0" applyFont="1" applyFill="1">
      <alignment vertical="center"/>
    </xf>
    <xf numFmtId="0" fontId="36" fillId="34" borderId="0" xfId="0" applyFont="1" applyFill="1">
      <alignment vertical="center"/>
    </xf>
    <xf numFmtId="0" fontId="36" fillId="0" borderId="0" xfId="0" applyFont="1" applyAlignment="1">
      <alignment vertical="center" shrinkToFit="1"/>
    </xf>
    <xf numFmtId="0" fontId="59" fillId="0" borderId="0" xfId="0" applyFont="1">
      <alignment vertical="center"/>
    </xf>
    <xf numFmtId="0" fontId="36" fillId="0" borderId="0" xfId="0" applyFont="1" applyAlignment="1">
      <alignment vertical="center" wrapText="1" shrinkToFit="1"/>
    </xf>
    <xf numFmtId="0" fontId="59" fillId="0" borderId="0" xfId="0" applyFont="1" applyAlignment="1">
      <alignment vertical="center" shrinkToFit="1"/>
    </xf>
    <xf numFmtId="0" fontId="36" fillId="0" borderId="0" xfId="0" quotePrefix="1" applyFont="1">
      <alignment vertical="center"/>
    </xf>
    <xf numFmtId="0" fontId="36" fillId="38" borderId="0" xfId="0" applyFont="1" applyFill="1">
      <alignment vertical="center"/>
    </xf>
    <xf numFmtId="0" fontId="36" fillId="37" borderId="0" xfId="0" applyFont="1" applyFill="1">
      <alignment vertical="center"/>
    </xf>
    <xf numFmtId="0" fontId="61" fillId="0" borderId="0" xfId="0" applyFont="1">
      <alignment vertical="center"/>
    </xf>
    <xf numFmtId="0" fontId="46" fillId="0" borderId="0" xfId="0" applyFont="1" applyAlignment="1"/>
    <xf numFmtId="0" fontId="42" fillId="28" borderId="0" xfId="0" applyFont="1" applyFill="1">
      <alignment vertical="center"/>
    </xf>
    <xf numFmtId="0" fontId="46" fillId="0" borderId="1" xfId="0" applyFont="1" applyBorder="1" applyAlignment="1">
      <alignment horizontal="center" vertical="center"/>
    </xf>
    <xf numFmtId="0" fontId="46" fillId="0" borderId="0" xfId="0" applyFont="1" applyAlignment="1">
      <alignment horizontal="right"/>
    </xf>
    <xf numFmtId="0" fontId="42" fillId="0" borderId="34" xfId="0" applyFont="1" applyBorder="1" applyAlignment="1">
      <alignment horizontal="center" vertical="center" textRotation="255"/>
    </xf>
    <xf numFmtId="0" fontId="42" fillId="0" borderId="34" xfId="0" applyFont="1" applyBorder="1" applyAlignment="1">
      <alignment horizontal="center" vertical="center" wrapText="1"/>
    </xf>
    <xf numFmtId="0" fontId="42" fillId="28" borderId="34" xfId="0" applyFont="1" applyFill="1" applyBorder="1" applyAlignment="1">
      <alignment horizontal="center" vertical="center"/>
    </xf>
    <xf numFmtId="0" fontId="42" fillId="28" borderId="34" xfId="0" applyFont="1" applyFill="1" applyBorder="1" applyAlignment="1">
      <alignment horizontal="center" vertical="center" wrapText="1"/>
    </xf>
    <xf numFmtId="0" fontId="42" fillId="28" borderId="1" xfId="0" applyFont="1" applyFill="1" applyBorder="1" applyAlignment="1">
      <alignment horizontal="center" vertical="center"/>
    </xf>
    <xf numFmtId="0" fontId="46" fillId="30" borderId="0" xfId="0" applyFont="1" applyFill="1" applyAlignment="1">
      <alignment horizontal="center" vertical="center"/>
    </xf>
    <xf numFmtId="0" fontId="46" fillId="0" borderId="1" xfId="0" applyFont="1" applyBorder="1" applyAlignment="1">
      <alignment horizontal="center" vertical="center" wrapText="1"/>
    </xf>
    <xf numFmtId="0" fontId="46" fillId="0" borderId="0" xfId="0" applyFont="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5" borderId="1" xfId="0" applyFont="1" applyFill="1" applyBorder="1" applyAlignment="1" applyProtection="1">
      <alignment horizontal="center" vertical="center" wrapText="1"/>
      <protection locked="0"/>
    </xf>
    <xf numFmtId="0" fontId="46" fillId="0" borderId="1" xfId="0" applyFont="1" applyBorder="1">
      <alignment vertical="center"/>
    </xf>
    <xf numFmtId="0" fontId="46" fillId="35" borderId="0" xfId="0" applyFont="1" applyFill="1">
      <alignment vertical="center"/>
    </xf>
    <xf numFmtId="0" fontId="46" fillId="0" borderId="0" xfId="0" applyFont="1" applyAlignment="1">
      <alignment horizontal="center" vertical="center" wrapText="1"/>
    </xf>
    <xf numFmtId="9" fontId="46" fillId="0" borderId="0" xfId="50" applyFont="1" applyBorder="1">
      <alignment vertical="center"/>
    </xf>
    <xf numFmtId="1" fontId="46" fillId="0" borderId="0" xfId="0" applyNumberFormat="1" applyFont="1" applyAlignment="1">
      <alignment horizontal="center" vertical="center"/>
    </xf>
    <xf numFmtId="1" fontId="52" fillId="31" borderId="0" xfId="0" applyNumberFormat="1" applyFont="1" applyFill="1" applyAlignment="1">
      <alignment horizontal="center" vertical="center"/>
    </xf>
    <xf numFmtId="1" fontId="46" fillId="0" borderId="0" xfId="0" applyNumberFormat="1" applyFont="1">
      <alignment vertical="center"/>
    </xf>
    <xf numFmtId="0" fontId="46" fillId="0" borderId="1" xfId="0" applyFont="1" applyBorder="1" applyAlignment="1">
      <alignment vertical="center" wrapText="1"/>
    </xf>
    <xf numFmtId="0" fontId="42" fillId="0" borderId="34" xfId="0" applyFont="1" applyBorder="1" applyAlignment="1">
      <alignment horizontal="center" vertical="center" textRotation="255" wrapText="1"/>
    </xf>
    <xf numFmtId="0" fontId="42" fillId="5" borderId="1" xfId="0" applyFont="1" applyFill="1" applyBorder="1" applyAlignment="1" applyProtection="1">
      <alignment horizontal="left" vertical="center" wrapText="1"/>
      <protection locked="0"/>
    </xf>
    <xf numFmtId="1" fontId="51" fillId="31" borderId="0" xfId="0" applyNumberFormat="1" applyFont="1" applyFill="1" applyAlignment="1">
      <alignment horizontal="center" vertical="center"/>
    </xf>
    <xf numFmtId="0" fontId="46" fillId="5" borderId="1" xfId="0" applyFont="1" applyFill="1" applyBorder="1" applyAlignment="1" applyProtection="1">
      <alignment horizontal="left" vertical="center" wrapText="1"/>
      <protection locked="0"/>
    </xf>
    <xf numFmtId="0" fontId="46" fillId="5" borderId="4" xfId="0" applyFont="1" applyFill="1" applyBorder="1" applyAlignment="1" applyProtection="1">
      <alignment horizontal="center" vertical="center" wrapText="1"/>
      <protection locked="0"/>
    </xf>
    <xf numFmtId="0" fontId="46" fillId="0" borderId="3" xfId="0" applyFont="1" applyBorder="1">
      <alignment vertical="center"/>
    </xf>
    <xf numFmtId="0" fontId="46" fillId="0" borderId="4" xfId="0" applyFont="1" applyBorder="1">
      <alignment vertical="center"/>
    </xf>
    <xf numFmtId="0" fontId="42" fillId="28" borderId="1" xfId="0" applyFont="1" applyFill="1" applyBorder="1" applyAlignment="1">
      <alignment horizontal="center" vertical="center" wrapText="1"/>
    </xf>
    <xf numFmtId="0" fontId="42" fillId="33" borderId="1" xfId="0" applyFont="1" applyFill="1" applyBorder="1" applyAlignment="1">
      <alignment horizontal="center" vertical="center" wrapText="1"/>
    </xf>
    <xf numFmtId="0" fontId="42" fillId="5" borderId="81" xfId="0" applyFont="1" applyFill="1" applyBorder="1" applyAlignment="1" applyProtection="1">
      <alignment horizontal="center" vertical="center" wrapText="1"/>
      <protection locked="0"/>
    </xf>
    <xf numFmtId="0" fontId="46" fillId="5" borderId="1" xfId="0" applyFont="1" applyFill="1" applyBorder="1" applyAlignment="1" applyProtection="1">
      <alignment vertical="center" wrapText="1"/>
      <protection locked="0"/>
    </xf>
    <xf numFmtId="0" fontId="42" fillId="0" borderId="1" xfId="0" applyFont="1" applyBorder="1" applyAlignment="1">
      <alignment horizontal="center" vertical="center" shrinkToFit="1"/>
    </xf>
    <xf numFmtId="0" fontId="42" fillId="5" borderId="1" xfId="0" applyFont="1" applyFill="1" applyBorder="1" applyAlignment="1">
      <alignment horizontal="left" vertical="center" wrapText="1"/>
    </xf>
    <xf numFmtId="0" fontId="42" fillId="33" borderId="1" xfId="0" applyFont="1" applyFill="1" applyBorder="1" applyAlignment="1">
      <alignment horizontal="left" vertical="center" wrapText="1"/>
    </xf>
    <xf numFmtId="0" fontId="46" fillId="33" borderId="1" xfId="0" applyFont="1" applyFill="1" applyBorder="1" applyAlignment="1">
      <alignment horizontal="left" vertical="center" wrapText="1"/>
    </xf>
    <xf numFmtId="0" fontId="46" fillId="39" borderId="0" xfId="0" applyFont="1" applyFill="1" applyProtection="1">
      <alignment vertical="center"/>
      <protection locked="0"/>
    </xf>
    <xf numFmtId="0" fontId="46" fillId="0" borderId="1" xfId="0" applyFont="1" applyBorder="1" applyAlignment="1">
      <alignment horizontal="center" vertical="center" shrinkToFit="1"/>
    </xf>
    <xf numFmtId="0" fontId="46" fillId="39" borderId="1" xfId="0" applyFont="1" applyFill="1" applyBorder="1" applyAlignment="1" applyProtection="1">
      <alignment vertical="center" wrapText="1"/>
      <protection locked="0"/>
    </xf>
    <xf numFmtId="1" fontId="46" fillId="0" borderId="1" xfId="0" applyNumberFormat="1" applyFont="1" applyBorder="1">
      <alignment vertical="center"/>
    </xf>
    <xf numFmtId="0" fontId="46" fillId="0" borderId="0" xfId="0" applyFont="1" applyAlignment="1">
      <alignment horizontal="right" vertical="center"/>
    </xf>
    <xf numFmtId="0" fontId="63"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distributed" vertical="center" wrapText="1"/>
    </xf>
    <xf numFmtId="0" fontId="42" fillId="0" borderId="2" xfId="0" applyFont="1" applyBorder="1" applyAlignment="1">
      <alignment horizontal="left" vertical="center"/>
    </xf>
    <xf numFmtId="0" fontId="42" fillId="28" borderId="0" xfId="0" applyFont="1" applyFill="1" applyAlignment="1"/>
    <xf numFmtId="0" fontId="46" fillId="0" borderId="1" xfId="0" applyFont="1" applyBorder="1" applyAlignment="1">
      <alignment horizontal="left" vertical="center" wrapText="1"/>
    </xf>
    <xf numFmtId="0" fontId="46" fillId="0" borderId="4" xfId="0" applyFont="1" applyBorder="1" applyAlignment="1">
      <alignment horizontal="left" vertical="center" wrapText="1"/>
    </xf>
    <xf numFmtId="0" fontId="42" fillId="0" borderId="37" xfId="0" applyFont="1" applyBorder="1" applyAlignment="1">
      <alignment horizontal="distributed" vertical="center" wrapText="1"/>
    </xf>
    <xf numFmtId="0" fontId="46" fillId="0" borderId="0" xfId="0" applyFont="1" applyAlignment="1">
      <alignment horizontal="left" vertical="center" wrapText="1"/>
    </xf>
    <xf numFmtId="0" fontId="46" fillId="0" borderId="3" xfId="0" applyFont="1" applyBorder="1" applyAlignment="1">
      <alignment horizontal="center" vertical="center" wrapText="1"/>
    </xf>
    <xf numFmtId="0" fontId="46" fillId="0" borderId="3" xfId="0" applyFont="1" applyBorder="1" applyAlignment="1">
      <alignment vertical="center" shrinkToFit="1"/>
    </xf>
    <xf numFmtId="2" fontId="46" fillId="0" borderId="2" xfId="0" applyNumberFormat="1" applyFont="1" applyBorder="1" applyAlignment="1">
      <alignment vertical="center" shrinkToFit="1"/>
    </xf>
    <xf numFmtId="0" fontId="46" fillId="0" borderId="6" xfId="0" applyFont="1" applyBorder="1" applyAlignment="1">
      <alignment horizontal="left" vertical="center" wrapText="1"/>
    </xf>
    <xf numFmtId="0" fontId="42" fillId="0" borderId="1" xfId="0" applyFont="1" applyBorder="1" applyAlignment="1">
      <alignment horizontal="center" vertical="center" textRotation="255"/>
    </xf>
    <xf numFmtId="0" fontId="42" fillId="5" borderId="1" xfId="0" applyFont="1" applyFill="1" applyBorder="1" applyAlignment="1" applyProtection="1">
      <alignment horizontal="center" vertical="center"/>
      <protection locked="0"/>
    </xf>
    <xf numFmtId="0" fontId="42" fillId="5" borderId="1" xfId="0" applyFont="1" applyFill="1" applyBorder="1" applyAlignment="1" applyProtection="1">
      <alignment vertical="center" wrapText="1"/>
      <protection locked="0"/>
    </xf>
    <xf numFmtId="0" fontId="42" fillId="40" borderId="1" xfId="0" applyFont="1" applyFill="1" applyBorder="1" applyAlignment="1">
      <alignment horizontal="center" vertical="center" wrapText="1"/>
    </xf>
    <xf numFmtId="1" fontId="46" fillId="0" borderId="1" xfId="0" applyNumberFormat="1" applyFont="1" applyBorder="1" applyAlignment="1">
      <alignment horizontal="center" vertical="center"/>
    </xf>
    <xf numFmtId="0" fontId="36" fillId="0" borderId="0" xfId="0" applyFont="1" applyAlignment="1">
      <alignment horizontal="centerContinuous" vertical="center"/>
    </xf>
    <xf numFmtId="0" fontId="56" fillId="0" borderId="0" xfId="3" applyFont="1" applyAlignment="1">
      <alignment vertical="top"/>
    </xf>
    <xf numFmtId="0" fontId="42" fillId="0" borderId="108" xfId="3" applyFont="1" applyBorder="1">
      <alignment vertical="center"/>
    </xf>
    <xf numFmtId="0" fontId="36" fillId="0" borderId="137" xfId="0" applyFont="1" applyBorder="1" applyAlignment="1">
      <alignment horizontal="centerContinuous" vertical="center"/>
    </xf>
    <xf numFmtId="0" fontId="36" fillId="0" borderId="130" xfId="0" applyFont="1" applyBorder="1" applyAlignment="1">
      <alignment horizontal="centerContinuous" vertical="center"/>
    </xf>
    <xf numFmtId="0" fontId="41" fillId="0" borderId="0" xfId="56" applyFont="1" applyAlignment="1">
      <alignment horizontal="center" vertical="center"/>
    </xf>
    <xf numFmtId="0" fontId="36" fillId="0" borderId="56" xfId="0" applyFont="1" applyBorder="1" applyAlignment="1">
      <alignment horizontal="centerContinuous" vertical="center"/>
    </xf>
    <xf numFmtId="0" fontId="43" fillId="0" borderId="31" xfId="1" applyFont="1" applyBorder="1" applyAlignment="1">
      <alignment horizontal="center" vertical="center"/>
    </xf>
    <xf numFmtId="0" fontId="43" fillId="0" borderId="110" xfId="1" applyFont="1" applyBorder="1" applyAlignment="1">
      <alignment horizontal="center" vertical="center"/>
    </xf>
    <xf numFmtId="0" fontId="43" fillId="0" borderId="135" xfId="1" applyFont="1" applyBorder="1" applyAlignment="1">
      <alignment horizontal="center" vertical="center"/>
    </xf>
    <xf numFmtId="0" fontId="43" fillId="0" borderId="160" xfId="1" applyFont="1" applyBorder="1" applyAlignment="1">
      <alignment horizontal="center" vertical="center"/>
    </xf>
    <xf numFmtId="185" fontId="36" fillId="30" borderId="31" xfId="0" applyNumberFormat="1" applyFont="1" applyFill="1" applyBorder="1">
      <alignment vertical="center"/>
    </xf>
    <xf numFmtId="190" fontId="41" fillId="30" borderId="31" xfId="3" applyNumberFormat="1" applyFont="1" applyFill="1" applyBorder="1" applyAlignment="1">
      <alignment vertical="center" shrinkToFit="1"/>
    </xf>
    <xf numFmtId="0" fontId="43" fillId="0" borderId="161" xfId="1" applyFont="1" applyBorder="1" applyAlignment="1">
      <alignment horizontal="center" vertical="center"/>
    </xf>
    <xf numFmtId="0" fontId="42" fillId="29" borderId="29" xfId="3" applyFont="1" applyFill="1" applyBorder="1" applyAlignment="1">
      <alignment horizontal="left" vertical="center"/>
    </xf>
    <xf numFmtId="0" fontId="36" fillId="0" borderId="31" xfId="0" applyFont="1" applyBorder="1" applyAlignment="1">
      <alignment horizontal="left" vertical="center" indent="5"/>
    </xf>
    <xf numFmtId="183" fontId="42" fillId="5" borderId="173" xfId="3" applyNumberFormat="1" applyFont="1" applyFill="1" applyBorder="1" applyAlignment="1" applyProtection="1">
      <alignment vertical="center" shrinkToFit="1"/>
      <protection locked="0"/>
    </xf>
    <xf numFmtId="183" fontId="42" fillId="5" borderId="28" xfId="3" applyNumberFormat="1" applyFont="1" applyFill="1" applyBorder="1" applyAlignment="1" applyProtection="1">
      <alignment vertical="center" shrinkToFit="1"/>
      <protection locked="0"/>
    </xf>
    <xf numFmtId="183" fontId="42" fillId="5" borderId="174" xfId="3" applyNumberFormat="1" applyFont="1" applyFill="1" applyBorder="1" applyAlignment="1" applyProtection="1">
      <alignment vertical="center" shrinkToFit="1"/>
      <protection locked="0"/>
    </xf>
    <xf numFmtId="183" fontId="42" fillId="5" borderId="56" xfId="3" applyNumberFormat="1" applyFont="1" applyFill="1" applyBorder="1" applyAlignment="1" applyProtection="1">
      <alignment vertical="center" shrinkToFit="1"/>
      <protection locked="0"/>
    </xf>
    <xf numFmtId="183" fontId="42" fillId="5" borderId="175" xfId="3" applyNumberFormat="1" applyFont="1" applyFill="1" applyBorder="1" applyAlignment="1" applyProtection="1">
      <alignment vertical="center" shrinkToFit="1"/>
      <protection locked="0"/>
    </xf>
    <xf numFmtId="196" fontId="36" fillId="0" borderId="23" xfId="0" applyNumberFormat="1" applyFont="1" applyBorder="1">
      <alignment vertical="center"/>
    </xf>
    <xf numFmtId="196" fontId="36" fillId="0" borderId="31" xfId="0" applyNumberFormat="1" applyFont="1" applyBorder="1">
      <alignment vertical="center"/>
    </xf>
    <xf numFmtId="197" fontId="36" fillId="0" borderId="23" xfId="0" applyNumberFormat="1" applyFont="1" applyBorder="1">
      <alignment vertical="center"/>
    </xf>
    <xf numFmtId="0" fontId="62" fillId="0" borderId="38" xfId="3" applyFont="1" applyBorder="1">
      <alignment vertical="center"/>
    </xf>
    <xf numFmtId="0" fontId="42" fillId="0" borderId="28" xfId="3" applyFont="1" applyBorder="1" applyAlignment="1">
      <alignment horizontal="center" vertical="center"/>
    </xf>
    <xf numFmtId="189" fontId="36" fillId="0" borderId="28" xfId="0" applyNumberFormat="1" applyFont="1" applyBorder="1">
      <alignment vertical="center"/>
    </xf>
    <xf numFmtId="180" fontId="42" fillId="0" borderId="105" xfId="3" applyNumberFormat="1" applyFont="1" applyBorder="1" applyAlignment="1">
      <alignment vertical="center" shrinkToFit="1"/>
    </xf>
    <xf numFmtId="190" fontId="41" fillId="0" borderId="28" xfId="3" applyNumberFormat="1" applyFont="1" applyBorder="1" applyAlignment="1">
      <alignment vertical="center" shrinkToFit="1"/>
    </xf>
    <xf numFmtId="180" fontId="41" fillId="0" borderId="105" xfId="3" applyNumberFormat="1" applyFont="1" applyBorder="1" applyAlignment="1">
      <alignment vertical="center" shrinkToFit="1"/>
    </xf>
    <xf numFmtId="0" fontId="36" fillId="0" borderId="135" xfId="0" applyFont="1" applyBorder="1">
      <alignment vertical="center"/>
    </xf>
    <xf numFmtId="0" fontId="36" fillId="0" borderId="135" xfId="0" applyFont="1" applyBorder="1" applyAlignment="1">
      <alignment horizontal="center" vertical="center"/>
    </xf>
    <xf numFmtId="0" fontId="36" fillId="0" borderId="160" xfId="0" applyFont="1" applyBorder="1">
      <alignment vertical="center"/>
    </xf>
    <xf numFmtId="0" fontId="36" fillId="0" borderId="160" xfId="0" applyFont="1" applyBorder="1" applyAlignment="1">
      <alignment horizontal="center" vertical="center"/>
    </xf>
    <xf numFmtId="0" fontId="36" fillId="0" borderId="161" xfId="0" applyFont="1" applyBorder="1">
      <alignment vertical="center"/>
    </xf>
    <xf numFmtId="0" fontId="36" fillId="0" borderId="161" xfId="0" applyFont="1" applyBorder="1" applyAlignment="1">
      <alignment horizontal="center" vertical="center"/>
    </xf>
    <xf numFmtId="38" fontId="36" fillId="0" borderId="135" xfId="52" applyFont="1" applyFill="1" applyBorder="1" applyAlignment="1">
      <alignment vertical="center"/>
    </xf>
    <xf numFmtId="38" fontId="36" fillId="0" borderId="135" xfId="52" applyFont="1" applyFill="1" applyBorder="1" applyAlignment="1">
      <alignment horizontal="center" vertical="center"/>
    </xf>
    <xf numFmtId="38" fontId="36" fillId="0" borderId="160" xfId="52" applyFont="1" applyFill="1" applyBorder="1" applyAlignment="1">
      <alignment vertical="center"/>
    </xf>
    <xf numFmtId="38" fontId="36" fillId="0" borderId="160" xfId="52" applyFont="1" applyFill="1" applyBorder="1" applyAlignment="1">
      <alignment horizontal="center" vertical="center"/>
    </xf>
    <xf numFmtId="38" fontId="36" fillId="0" borderId="161" xfId="52" applyFont="1" applyFill="1" applyBorder="1" applyAlignment="1">
      <alignment vertical="center"/>
    </xf>
    <xf numFmtId="38" fontId="36" fillId="0" borderId="161" xfId="52" applyFont="1" applyFill="1" applyBorder="1" applyAlignment="1">
      <alignment horizontal="center" vertical="center"/>
    </xf>
    <xf numFmtId="38" fontId="36" fillId="0" borderId="194" xfId="52" applyFont="1" applyFill="1" applyBorder="1" applyAlignment="1">
      <alignment vertical="center"/>
    </xf>
    <xf numFmtId="38" fontId="36" fillId="0" borderId="194" xfId="52" applyFont="1" applyFill="1" applyBorder="1" applyAlignment="1">
      <alignment horizontal="center" vertical="center"/>
    </xf>
    <xf numFmtId="0" fontId="43" fillId="0" borderId="194" xfId="1" applyFont="1" applyBorder="1" applyAlignment="1">
      <alignment horizontal="center" vertical="center"/>
    </xf>
    <xf numFmtId="0" fontId="36" fillId="0" borderId="28" xfId="0" applyFont="1" applyBorder="1" applyAlignment="1">
      <alignment horizontal="centerContinuous" vertical="center"/>
    </xf>
    <xf numFmtId="0" fontId="36" fillId="0" borderId="105" xfId="0" applyFont="1" applyBorder="1" applyAlignment="1">
      <alignment horizontal="centerContinuous" vertical="center"/>
    </xf>
    <xf numFmtId="0" fontId="36" fillId="29" borderId="0" xfId="0" applyFont="1" applyFill="1">
      <alignment vertical="center"/>
    </xf>
    <xf numFmtId="192" fontId="42" fillId="0" borderId="28" xfId="3" applyNumberFormat="1" applyFont="1" applyBorder="1" applyAlignment="1">
      <alignment vertical="center" shrinkToFit="1"/>
    </xf>
    <xf numFmtId="192" fontId="42" fillId="0" borderId="105" xfId="3" applyNumberFormat="1" applyFont="1" applyBorder="1" applyAlignment="1">
      <alignment vertical="center" shrinkToFit="1"/>
    </xf>
    <xf numFmtId="0" fontId="42" fillId="29" borderId="30" xfId="3" applyFont="1" applyFill="1" applyBorder="1">
      <alignment vertical="center"/>
    </xf>
    <xf numFmtId="0" fontId="0" fillId="0" borderId="0" xfId="0" applyProtection="1">
      <alignment vertical="center"/>
      <protection locked="0"/>
    </xf>
    <xf numFmtId="179" fontId="42" fillId="5" borderId="108" xfId="53" applyNumberFormat="1" applyFont="1" applyFill="1" applyBorder="1" applyProtection="1">
      <alignment vertical="center"/>
      <protection locked="0"/>
    </xf>
    <xf numFmtId="0" fontId="42" fillId="5" borderId="108" xfId="53" applyFont="1" applyFill="1" applyBorder="1" applyProtection="1">
      <alignment vertical="center"/>
      <protection locked="0"/>
    </xf>
    <xf numFmtId="177" fontId="42" fillId="5" borderId="108" xfId="53" applyNumberFormat="1" applyFont="1" applyFill="1" applyBorder="1" applyProtection="1">
      <alignment vertical="center"/>
      <protection locked="0"/>
    </xf>
    <xf numFmtId="177" fontId="42" fillId="5" borderId="102" xfId="53" applyNumberFormat="1" applyFont="1" applyFill="1" applyBorder="1" applyProtection="1">
      <alignment vertical="center"/>
      <protection locked="0"/>
    </xf>
    <xf numFmtId="9" fontId="42" fillId="5" borderId="108" xfId="53" applyNumberFormat="1" applyFont="1" applyFill="1" applyBorder="1" applyProtection="1">
      <alignment vertical="center"/>
      <protection locked="0"/>
    </xf>
    <xf numFmtId="179" fontId="42" fillId="5" borderId="108" xfId="53" applyNumberFormat="1" applyFont="1" applyFill="1" applyBorder="1" applyAlignment="1" applyProtection="1">
      <alignment vertical="center" shrinkToFit="1"/>
      <protection locked="0"/>
    </xf>
    <xf numFmtId="0" fontId="42" fillId="5" borderId="108" xfId="53" applyFont="1" applyFill="1" applyBorder="1" applyAlignment="1" applyProtection="1">
      <alignment horizontal="left" vertical="center" shrinkToFit="1"/>
      <protection locked="0"/>
    </xf>
    <xf numFmtId="0" fontId="42" fillId="5" borderId="108" xfId="53" applyFont="1" applyFill="1" applyBorder="1" applyAlignment="1" applyProtection="1">
      <alignment horizontal="left" vertical="center" wrapText="1" shrinkToFit="1"/>
      <protection locked="0"/>
    </xf>
    <xf numFmtId="3" fontId="42" fillId="5" borderId="108" xfId="53" applyNumberFormat="1" applyFont="1" applyFill="1" applyBorder="1" applyAlignment="1" applyProtection="1">
      <alignment horizontal="left" vertical="center" shrinkToFit="1"/>
      <protection locked="0"/>
    </xf>
    <xf numFmtId="177" fontId="42" fillId="5" borderId="57" xfId="53" applyNumberFormat="1" applyFont="1" applyFill="1" applyBorder="1" applyProtection="1">
      <alignment vertical="center"/>
      <protection locked="0"/>
    </xf>
    <xf numFmtId="198" fontId="43" fillId="5" borderId="74" xfId="53" applyNumberFormat="1" applyFont="1" applyFill="1" applyBorder="1" applyAlignment="1" applyProtection="1">
      <alignment vertical="center" shrinkToFit="1"/>
      <protection locked="0"/>
    </xf>
    <xf numFmtId="0" fontId="46" fillId="0" borderId="130" xfId="0" applyFont="1" applyBorder="1" applyAlignment="1">
      <alignment horizontal="center" vertical="center" wrapText="1"/>
    </xf>
    <xf numFmtId="2" fontId="46" fillId="0" borderId="4" xfId="0" applyNumberFormat="1" applyFont="1" applyBorder="1" applyAlignment="1">
      <alignment vertical="center" shrinkToFit="1"/>
    </xf>
    <xf numFmtId="2" fontId="46" fillId="0" borderId="130" xfId="0" applyNumberFormat="1" applyFont="1" applyBorder="1" applyAlignment="1">
      <alignment vertical="center" shrinkToFit="1"/>
    </xf>
    <xf numFmtId="0" fontId="46" fillId="2" borderId="0" xfId="0" applyFont="1" applyFill="1" applyAlignment="1" applyProtection="1">
      <alignment horizontal="center" vertical="center"/>
      <protection locked="0"/>
    </xf>
    <xf numFmtId="0" fontId="42" fillId="5" borderId="1" xfId="0" applyFont="1" applyFill="1" applyBorder="1" applyAlignment="1" applyProtection="1">
      <alignment horizontal="left" vertical="top" wrapText="1"/>
      <protection locked="0"/>
    </xf>
    <xf numFmtId="0" fontId="46" fillId="5" borderId="1" xfId="0" applyFont="1" applyFill="1" applyBorder="1" applyAlignment="1" applyProtection="1">
      <alignment horizontal="center" vertical="center"/>
      <protection locked="0"/>
    </xf>
    <xf numFmtId="181" fontId="42" fillId="5" borderId="1" xfId="0" applyNumberFormat="1" applyFont="1" applyFill="1" applyBorder="1" applyAlignment="1" applyProtection="1">
      <alignment vertical="center" wrapText="1"/>
      <protection locked="0"/>
    </xf>
    <xf numFmtId="181" fontId="46" fillId="5" borderId="1" xfId="0" applyNumberFormat="1" applyFont="1" applyFill="1" applyBorder="1" applyAlignment="1" applyProtection="1">
      <alignment vertical="center" wrapText="1"/>
      <protection locked="0"/>
    </xf>
    <xf numFmtId="0" fontId="0" fillId="29" borderId="0" xfId="0" applyFill="1">
      <alignment vertical="center"/>
    </xf>
    <xf numFmtId="0" fontId="74" fillId="29" borderId="0" xfId="0" applyFont="1" applyFill="1">
      <alignment vertical="center"/>
    </xf>
    <xf numFmtId="0" fontId="74" fillId="29" borderId="0" xfId="0" applyFont="1" applyFill="1" applyAlignment="1"/>
    <xf numFmtId="0" fontId="75" fillId="29" borderId="0" xfId="0" applyFont="1" applyFill="1">
      <alignment vertical="center"/>
    </xf>
    <xf numFmtId="0" fontId="5" fillId="29" borderId="0" xfId="0" applyFont="1" applyFill="1">
      <alignment vertical="center"/>
    </xf>
    <xf numFmtId="0" fontId="22" fillId="29" borderId="0" xfId="0" applyFont="1" applyFill="1">
      <alignment vertical="center"/>
    </xf>
    <xf numFmtId="182" fontId="5" fillId="29" borderId="0" xfId="0" applyNumberFormat="1" applyFont="1" applyFill="1">
      <alignment vertical="center"/>
    </xf>
    <xf numFmtId="0" fontId="5" fillId="29" borderId="0" xfId="0" applyFont="1" applyFill="1" applyProtection="1">
      <alignment vertical="center"/>
      <protection locked="0"/>
    </xf>
    <xf numFmtId="0" fontId="13" fillId="29" borderId="0" xfId="0" applyFont="1" applyFill="1">
      <alignment vertical="center"/>
    </xf>
    <xf numFmtId="0" fontId="76" fillId="29" borderId="0" xfId="0" applyFont="1" applyFill="1">
      <alignment vertical="center"/>
    </xf>
    <xf numFmtId="0" fontId="77" fillId="29" borderId="0" xfId="0" applyFont="1" applyFill="1">
      <alignment vertical="center"/>
    </xf>
    <xf numFmtId="0" fontId="78" fillId="29" borderId="0" xfId="0" applyFont="1" applyFill="1">
      <alignment vertical="center"/>
    </xf>
    <xf numFmtId="0" fontId="79" fillId="29" borderId="0" xfId="0" applyFont="1" applyFill="1">
      <alignment vertical="center"/>
    </xf>
    <xf numFmtId="0" fontId="46" fillId="5" borderId="102" xfId="0" applyFont="1" applyFill="1" applyBorder="1" applyAlignment="1" applyProtection="1">
      <alignment horizontal="center" vertical="center"/>
      <protection locked="0"/>
    </xf>
    <xf numFmtId="0" fontId="46" fillId="5" borderId="34" xfId="0" applyFont="1" applyFill="1" applyBorder="1" applyProtection="1">
      <alignment vertical="center"/>
      <protection locked="0"/>
    </xf>
    <xf numFmtId="49" fontId="46" fillId="5" borderId="34" xfId="0" applyNumberFormat="1" applyFont="1" applyFill="1" applyBorder="1" applyAlignment="1" applyProtection="1">
      <alignment horizontal="center" vertical="center"/>
      <protection locked="0"/>
    </xf>
    <xf numFmtId="49" fontId="46" fillId="5" borderId="55" xfId="0" applyNumberFormat="1" applyFont="1" applyFill="1" applyBorder="1" applyAlignment="1" applyProtection="1">
      <alignment horizontal="center" vertical="center"/>
      <protection locked="0"/>
    </xf>
    <xf numFmtId="0" fontId="42" fillId="0" borderId="4"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vertical="center" wrapText="1"/>
    </xf>
    <xf numFmtId="0" fontId="46" fillId="0" borderId="0" xfId="0" applyFont="1" applyAlignment="1">
      <alignment horizontal="distributed" vertical="center"/>
    </xf>
    <xf numFmtId="0" fontId="46" fillId="0" borderId="3" xfId="0" applyFont="1" applyBorder="1" applyAlignment="1">
      <alignment horizontal="left" vertical="center" wrapText="1"/>
    </xf>
    <xf numFmtId="0" fontId="43" fillId="0" borderId="0" xfId="53" applyFont="1">
      <alignment vertical="center"/>
    </xf>
    <xf numFmtId="0" fontId="42" fillId="0" borderId="0" xfId="53" applyFont="1">
      <alignment vertical="center"/>
    </xf>
    <xf numFmtId="0" fontId="44" fillId="3" borderId="0" xfId="3" applyFont="1" applyFill="1" applyAlignment="1">
      <alignment horizontal="left" vertical="center"/>
    </xf>
    <xf numFmtId="0" fontId="45" fillId="3" borderId="0" xfId="3" applyFont="1" applyFill="1" applyAlignment="1">
      <alignment horizontal="center" vertical="center"/>
    </xf>
    <xf numFmtId="0" fontId="45" fillId="3" borderId="0" xfId="3" applyFont="1" applyFill="1" applyAlignment="1">
      <alignment horizontal="centerContinuous" vertical="center"/>
    </xf>
    <xf numFmtId="0" fontId="44" fillId="3" borderId="0" xfId="3" applyFont="1" applyFill="1" applyAlignment="1">
      <alignment horizontal="right" vertical="center"/>
    </xf>
    <xf numFmtId="0" fontId="46" fillId="0" borderId="0" xfId="53" applyFont="1">
      <alignment vertical="center"/>
    </xf>
    <xf numFmtId="0" fontId="46" fillId="0" borderId="0" xfId="53" applyFont="1" applyAlignment="1">
      <alignment horizontal="center"/>
    </xf>
    <xf numFmtId="0" fontId="47" fillId="0" borderId="0" xfId="3" applyFont="1">
      <alignment vertical="center"/>
    </xf>
    <xf numFmtId="0" fontId="43" fillId="0" borderId="0" xfId="53" applyFont="1" applyAlignment="1">
      <alignment horizontal="center" vertical="top"/>
    </xf>
    <xf numFmtId="0" fontId="48" fillId="0" borderId="0" xfId="3" applyFont="1">
      <alignment vertical="center"/>
    </xf>
    <xf numFmtId="0" fontId="42" fillId="0" borderId="0" xfId="3" applyFont="1" applyAlignment="1">
      <alignment horizontal="center" vertical="center"/>
    </xf>
    <xf numFmtId="0" fontId="46" fillId="0" borderId="0" xfId="53" applyFont="1" applyAlignment="1">
      <alignment vertical="center" wrapText="1"/>
    </xf>
    <xf numFmtId="0" fontId="45" fillId="4" borderId="14" xfId="3" applyFont="1" applyFill="1" applyBorder="1" applyAlignment="1">
      <alignment horizontal="center" vertical="center"/>
    </xf>
    <xf numFmtId="180" fontId="51" fillId="0" borderId="16" xfId="3" applyNumberFormat="1" applyFont="1" applyBorder="1" applyAlignment="1">
      <alignment horizontal="right" vertical="center" shrinkToFit="1"/>
    </xf>
    <xf numFmtId="0" fontId="52" fillId="0" borderId="10" xfId="53" applyFont="1" applyBorder="1">
      <alignment vertical="center"/>
    </xf>
    <xf numFmtId="0" fontId="64" fillId="0" borderId="0" xfId="3" applyFont="1" applyAlignment="1">
      <alignment vertical="center" wrapText="1"/>
    </xf>
    <xf numFmtId="0" fontId="45" fillId="47" borderId="12" xfId="3" applyFont="1" applyFill="1" applyBorder="1" applyAlignment="1">
      <alignment horizontal="center" vertical="center"/>
    </xf>
    <xf numFmtId="180" fontId="51" fillId="0" borderId="143" xfId="3" applyNumberFormat="1" applyFont="1" applyBorder="1" applyAlignment="1">
      <alignment horizontal="right" vertical="center"/>
    </xf>
    <xf numFmtId="0" fontId="52" fillId="0" borderId="156" xfId="53" applyFont="1" applyBorder="1">
      <alignment vertical="center"/>
    </xf>
    <xf numFmtId="0" fontId="40" fillId="0" borderId="0" xfId="53" applyFont="1">
      <alignment vertical="center"/>
    </xf>
    <xf numFmtId="0" fontId="46" fillId="0" borderId="83" xfId="53" applyFont="1" applyBorder="1">
      <alignment vertical="center"/>
    </xf>
    <xf numFmtId="0" fontId="42" fillId="0" borderId="21" xfId="3" applyFont="1" applyBorder="1">
      <alignment vertical="center"/>
    </xf>
    <xf numFmtId="183" fontId="42" fillId="0" borderId="24" xfId="3" applyNumberFormat="1" applyFont="1" applyBorder="1" applyAlignment="1">
      <alignment vertical="center" shrinkToFit="1"/>
    </xf>
    <xf numFmtId="183" fontId="42" fillId="0" borderId="26" xfId="3" applyNumberFormat="1" applyFont="1" applyBorder="1" applyAlignment="1">
      <alignment horizontal="center" vertical="center"/>
    </xf>
    <xf numFmtId="198" fontId="42" fillId="0" borderId="27" xfId="3" applyNumberFormat="1" applyFont="1" applyBorder="1" applyAlignment="1">
      <alignment vertical="center" shrinkToFit="1"/>
    </xf>
    <xf numFmtId="0" fontId="42" fillId="0" borderId="0" xfId="3" applyFont="1">
      <alignment vertical="center"/>
    </xf>
    <xf numFmtId="0" fontId="46" fillId="42" borderId="0" xfId="53" applyFont="1" applyFill="1">
      <alignment vertical="center"/>
    </xf>
    <xf numFmtId="0" fontId="46" fillId="42" borderId="0" xfId="53" applyFont="1" applyFill="1" applyAlignment="1">
      <alignment horizontal="center" vertical="center"/>
    </xf>
    <xf numFmtId="0" fontId="45" fillId="4" borderId="18" xfId="3" applyFont="1" applyFill="1" applyBorder="1" applyAlignment="1">
      <alignment horizontal="center" vertical="center"/>
    </xf>
    <xf numFmtId="180" fontId="51" fillId="0" borderId="19" xfId="3" applyNumberFormat="1" applyFont="1" applyBorder="1" applyAlignment="1">
      <alignment horizontal="right" vertical="center"/>
    </xf>
    <xf numFmtId="0" fontId="52" fillId="0" borderId="20" xfId="53" applyFont="1" applyBorder="1">
      <alignment vertical="center"/>
    </xf>
    <xf numFmtId="0" fontId="46" fillId="0" borderId="84" xfId="53" applyFont="1" applyBorder="1">
      <alignment vertical="center"/>
    </xf>
    <xf numFmtId="0" fontId="42" fillId="0" borderId="29" xfId="53" applyFont="1" applyBorder="1">
      <alignment vertical="center"/>
    </xf>
    <xf numFmtId="0" fontId="42" fillId="0" borderId="30" xfId="3" applyFont="1" applyBorder="1">
      <alignment vertical="center"/>
    </xf>
    <xf numFmtId="183" fontId="42" fillId="0" borderId="25" xfId="3" applyNumberFormat="1" applyFont="1" applyBorder="1" applyAlignment="1">
      <alignment vertical="center" shrinkToFit="1"/>
    </xf>
    <xf numFmtId="183" fontId="42" fillId="0" borderId="32" xfId="3" applyNumberFormat="1" applyFont="1" applyBorder="1" applyAlignment="1">
      <alignment horizontal="center" vertical="center"/>
    </xf>
    <xf numFmtId="198" fontId="42" fillId="0" borderId="33" xfId="3" applyNumberFormat="1" applyFont="1" applyBorder="1" applyAlignment="1">
      <alignment vertical="center" shrinkToFit="1"/>
    </xf>
    <xf numFmtId="0" fontId="42" fillId="0" borderId="141" xfId="53" applyFont="1" applyBorder="1">
      <alignment vertical="center"/>
    </xf>
    <xf numFmtId="0" fontId="42" fillId="0" borderId="137" xfId="53" applyFont="1" applyBorder="1">
      <alignment vertical="center"/>
    </xf>
    <xf numFmtId="0" fontId="41" fillId="0" borderId="130" xfId="0" applyFont="1" applyBorder="1">
      <alignment vertical="center"/>
    </xf>
    <xf numFmtId="0" fontId="41" fillId="0" borderId="0" xfId="0" applyFont="1">
      <alignment vertical="center"/>
    </xf>
    <xf numFmtId="0" fontId="42" fillId="0" borderId="130" xfId="53" applyFont="1" applyBorder="1" applyAlignment="1">
      <alignment horizontal="center" vertical="center"/>
    </xf>
    <xf numFmtId="0" fontId="42" fillId="0" borderId="108" xfId="53" applyFont="1" applyBorder="1" applyAlignment="1">
      <alignment horizontal="center" vertical="center"/>
    </xf>
    <xf numFmtId="0" fontId="57" fillId="47" borderId="108" xfId="53" applyFont="1" applyFill="1" applyBorder="1" applyAlignment="1">
      <alignment horizontal="center" vertical="center"/>
    </xf>
    <xf numFmtId="180" fontId="46" fillId="0" borderId="143" xfId="53" applyNumberFormat="1" applyFont="1" applyBorder="1">
      <alignment vertical="center"/>
    </xf>
    <xf numFmtId="0" fontId="46" fillId="0" borderId="130" xfId="53" applyFont="1" applyBorder="1">
      <alignment vertical="center"/>
    </xf>
    <xf numFmtId="0" fontId="42" fillId="0" borderId="87" xfId="53" applyFont="1" applyBorder="1">
      <alignment vertical="center"/>
    </xf>
    <xf numFmtId="180" fontId="42" fillId="0" borderId="143" xfId="53" applyNumberFormat="1" applyFont="1" applyBorder="1">
      <alignment vertical="center"/>
    </xf>
    <xf numFmtId="0" fontId="42" fillId="0" borderId="130" xfId="53" applyFont="1" applyBorder="1">
      <alignment vertical="center"/>
    </xf>
    <xf numFmtId="9" fontId="42" fillId="0" borderId="130" xfId="50" applyFont="1" applyBorder="1" applyAlignment="1" applyProtection="1">
      <alignment horizontal="center" vertical="center"/>
    </xf>
    <xf numFmtId="180" fontId="46" fillId="0" borderId="103" xfId="53" applyNumberFormat="1" applyFont="1" applyBorder="1">
      <alignment vertical="center"/>
    </xf>
    <xf numFmtId="0" fontId="46" fillId="0" borderId="170" xfId="53" applyFont="1" applyBorder="1">
      <alignment vertical="center"/>
    </xf>
    <xf numFmtId="180" fontId="42" fillId="0" borderId="103" xfId="53" applyNumberFormat="1" applyFont="1" applyBorder="1">
      <alignment vertical="center"/>
    </xf>
    <xf numFmtId="0" fontId="42" fillId="0" borderId="170" xfId="53" applyFont="1" applyBorder="1">
      <alignment vertical="center"/>
    </xf>
    <xf numFmtId="9" fontId="42" fillId="0" borderId="142" xfId="50" applyFont="1" applyBorder="1" applyAlignment="1" applyProtection="1">
      <alignment horizontal="center" vertical="center"/>
    </xf>
    <xf numFmtId="0" fontId="46" fillId="0" borderId="0" xfId="53" applyFont="1" applyAlignment="1">
      <alignment horizontal="center" vertical="center"/>
    </xf>
    <xf numFmtId="0" fontId="46" fillId="0" borderId="84" xfId="53" applyFont="1" applyBorder="1" applyAlignment="1">
      <alignment horizontal="center" vertical="center"/>
    </xf>
    <xf numFmtId="180" fontId="46" fillId="0" borderId="171" xfId="53" applyNumberFormat="1" applyFont="1" applyBorder="1">
      <alignment vertical="center"/>
    </xf>
    <xf numFmtId="0" fontId="46" fillId="0" borderId="172" xfId="53" applyFont="1" applyBorder="1" applyAlignment="1">
      <alignment vertical="center" shrinkToFit="1"/>
    </xf>
    <xf numFmtId="180" fontId="42" fillId="0" borderId="171" xfId="53" applyNumberFormat="1" applyFont="1" applyBorder="1">
      <alignment vertical="center"/>
    </xf>
    <xf numFmtId="0" fontId="42" fillId="0" borderId="172" xfId="53" applyFont="1" applyBorder="1" applyAlignment="1">
      <alignment vertical="center" shrinkToFit="1"/>
    </xf>
    <xf numFmtId="9" fontId="42" fillId="0" borderId="172" xfId="50" applyFont="1" applyBorder="1" applyAlignment="1" applyProtection="1">
      <alignment horizontal="center" vertical="center"/>
    </xf>
    <xf numFmtId="0" fontId="42" fillId="29" borderId="72" xfId="3" applyFont="1" applyFill="1" applyBorder="1">
      <alignment vertical="center"/>
    </xf>
    <xf numFmtId="0" fontId="42" fillId="29" borderId="70" xfId="3" applyFont="1" applyFill="1" applyBorder="1">
      <alignment vertical="center"/>
    </xf>
    <xf numFmtId="0" fontId="42" fillId="0" borderId="70" xfId="53" applyFont="1" applyBorder="1">
      <alignment vertical="center"/>
    </xf>
    <xf numFmtId="0" fontId="42" fillId="0" borderId="70" xfId="3" applyFont="1" applyBorder="1">
      <alignment vertical="center"/>
    </xf>
    <xf numFmtId="0" fontId="65" fillId="0" borderId="0" xfId="0" applyFont="1">
      <alignment vertical="center"/>
    </xf>
    <xf numFmtId="0" fontId="42" fillId="0" borderId="72" xfId="0" applyFont="1" applyBorder="1">
      <alignment vertical="center"/>
    </xf>
    <xf numFmtId="0" fontId="42" fillId="0" borderId="70" xfId="0" applyFont="1" applyBorder="1">
      <alignment vertical="center"/>
    </xf>
    <xf numFmtId="0" fontId="42" fillId="0" borderId="89" xfId="0" applyFont="1" applyBorder="1" applyAlignment="1">
      <alignment horizontal="center" vertical="center"/>
    </xf>
    <xf numFmtId="0" fontId="42" fillId="0" borderId="93" xfId="0" applyFont="1" applyBorder="1">
      <alignment vertical="center"/>
    </xf>
    <xf numFmtId="0" fontId="42" fillId="0" borderId="25" xfId="53" applyFont="1" applyBorder="1">
      <alignment vertical="center"/>
    </xf>
    <xf numFmtId="0" fontId="42" fillId="0" borderId="30" xfId="53" applyFont="1" applyBorder="1">
      <alignment vertical="center"/>
    </xf>
    <xf numFmtId="188" fontId="46" fillId="0" borderId="137" xfId="53" applyNumberFormat="1" applyFont="1" applyBorder="1">
      <alignment vertical="center"/>
    </xf>
    <xf numFmtId="0" fontId="46" fillId="0" borderId="137" xfId="53" applyFont="1" applyBorder="1">
      <alignment vertical="center"/>
    </xf>
    <xf numFmtId="193" fontId="41" fillId="0" borderId="143" xfId="0" applyNumberFormat="1" applyFont="1" applyBorder="1">
      <alignment vertical="center"/>
    </xf>
    <xf numFmtId="0" fontId="42" fillId="0" borderId="25" xfId="0" applyFont="1" applyBorder="1">
      <alignment vertical="center"/>
    </xf>
    <xf numFmtId="183" fontId="43" fillId="0" borderId="32" xfId="53" applyNumberFormat="1" applyFont="1" applyBorder="1" applyAlignment="1">
      <alignment horizontal="center" vertical="center"/>
    </xf>
    <xf numFmtId="0" fontId="42" fillId="0" borderId="36" xfId="0" applyFont="1" applyBorder="1">
      <alignment vertical="center"/>
    </xf>
    <xf numFmtId="0" fontId="46" fillId="47" borderId="108" xfId="53" applyFont="1" applyFill="1" applyBorder="1">
      <alignment vertical="center"/>
    </xf>
    <xf numFmtId="0" fontId="46" fillId="0" borderId="143" xfId="53" applyFont="1" applyBorder="1" applyAlignment="1">
      <alignment horizontal="centerContinuous" vertical="center"/>
    </xf>
    <xf numFmtId="0" fontId="46" fillId="0" borderId="130" xfId="53" applyFont="1" applyBorder="1" applyAlignment="1">
      <alignment horizontal="centerContinuous" vertical="center"/>
    </xf>
    <xf numFmtId="0" fontId="42" fillId="0" borderId="143" xfId="53" applyFont="1" applyBorder="1" applyAlignment="1">
      <alignment horizontal="centerContinuous" vertical="center"/>
    </xf>
    <xf numFmtId="0" fontId="42" fillId="0" borderId="130" xfId="53" applyFont="1" applyBorder="1" applyAlignment="1">
      <alignment horizontal="centerContinuous" vertical="center"/>
    </xf>
    <xf numFmtId="0" fontId="42" fillId="0" borderId="72" xfId="0" applyFont="1" applyBorder="1" applyAlignment="1">
      <alignment horizontal="center" vertical="center"/>
    </xf>
    <xf numFmtId="0" fontId="42" fillId="0" borderId="94" xfId="0" applyFont="1" applyBorder="1" applyAlignment="1">
      <alignment horizontal="center" vertical="center"/>
    </xf>
    <xf numFmtId="0" fontId="42" fillId="0" borderId="175" xfId="0" applyFont="1" applyBorder="1" applyAlignment="1">
      <alignment horizontal="center" vertical="center"/>
    </xf>
    <xf numFmtId="0" fontId="42" fillId="0" borderId="92" xfId="0" applyFont="1" applyBorder="1" applyAlignment="1">
      <alignment horizontal="center" vertical="center"/>
    </xf>
    <xf numFmtId="0" fontId="42" fillId="0" borderId="91" xfId="0" applyFont="1" applyBorder="1" applyAlignment="1">
      <alignment horizontal="center" vertical="center"/>
    </xf>
    <xf numFmtId="0" fontId="42" fillId="0" borderId="93" xfId="0" applyFont="1" applyBorder="1" applyAlignment="1">
      <alignment horizontal="center" vertical="center"/>
    </xf>
    <xf numFmtId="0" fontId="45" fillId="4" borderId="39" xfId="3" applyFont="1" applyFill="1" applyBorder="1" applyAlignment="1">
      <alignment horizontal="center" vertical="center"/>
    </xf>
    <xf numFmtId="180" fontId="51" fillId="0" borderId="40" xfId="3" applyNumberFormat="1" applyFont="1" applyBorder="1" applyAlignment="1">
      <alignment horizontal="right" vertical="center"/>
    </xf>
    <xf numFmtId="0" fontId="52" fillId="0" borderId="41" xfId="53" applyFont="1" applyBorder="1">
      <alignment vertical="center"/>
    </xf>
    <xf numFmtId="0" fontId="42" fillId="29" borderId="25" xfId="3" applyFont="1" applyFill="1" applyBorder="1" applyAlignment="1">
      <alignment vertical="top" wrapText="1"/>
    </xf>
    <xf numFmtId="0" fontId="42" fillId="29" borderId="0" xfId="3" applyFont="1" applyFill="1" applyAlignment="1">
      <alignment horizontal="center" vertical="center"/>
    </xf>
    <xf numFmtId="0" fontId="42" fillId="29" borderId="0" xfId="3" applyFont="1" applyFill="1" applyAlignment="1">
      <alignment vertical="top" wrapText="1"/>
    </xf>
    <xf numFmtId="0" fontId="42" fillId="0" borderId="105" xfId="53" applyFont="1" applyBorder="1">
      <alignment vertical="center"/>
    </xf>
    <xf numFmtId="0" fontId="42" fillId="29" borderId="29" xfId="3" applyFont="1" applyFill="1" applyBorder="1" applyAlignment="1">
      <alignment horizontal="center" vertical="center"/>
    </xf>
    <xf numFmtId="0" fontId="42" fillId="0" borderId="29" xfId="3" applyFont="1" applyBorder="1">
      <alignment vertical="center"/>
    </xf>
    <xf numFmtId="0" fontId="45" fillId="4" borderId="39" xfId="3" applyFont="1" applyFill="1" applyBorder="1" applyAlignment="1">
      <alignment horizontal="centerContinuous" vertical="center"/>
    </xf>
    <xf numFmtId="180" fontId="52" fillId="0" borderId="52" xfId="53" applyNumberFormat="1" applyFont="1" applyBorder="1" applyAlignment="1">
      <alignment horizontal="right" vertical="center"/>
    </xf>
    <xf numFmtId="0" fontId="42" fillId="29" borderId="174" xfId="3" applyFont="1" applyFill="1" applyBorder="1">
      <alignment vertical="center"/>
    </xf>
    <xf numFmtId="0" fontId="42" fillId="0" borderId="53" xfId="3" applyFont="1" applyBorder="1">
      <alignment vertical="center"/>
    </xf>
    <xf numFmtId="0" fontId="42" fillId="0" borderId="53" xfId="53" applyFont="1" applyBorder="1">
      <alignment vertical="center"/>
    </xf>
    <xf numFmtId="0" fontId="57" fillId="4" borderId="39" xfId="3" applyFont="1" applyFill="1" applyBorder="1" applyAlignment="1">
      <alignment horizontal="center" vertical="center"/>
    </xf>
    <xf numFmtId="0" fontId="52" fillId="0" borderId="52" xfId="53" applyFont="1" applyBorder="1">
      <alignment vertical="center"/>
    </xf>
    <xf numFmtId="0" fontId="42" fillId="0" borderId="108" xfId="53" applyFont="1" applyBorder="1" applyAlignment="1">
      <alignment horizontal="center" vertical="center" shrinkToFit="1"/>
    </xf>
    <xf numFmtId="0" fontId="46" fillId="0" borderId="84" xfId="0" applyFont="1" applyBorder="1">
      <alignment vertical="center"/>
    </xf>
    <xf numFmtId="183" fontId="42" fillId="0" borderId="72" xfId="3" applyNumberFormat="1" applyFont="1" applyBorder="1" applyAlignment="1">
      <alignment vertical="center" shrinkToFit="1"/>
    </xf>
    <xf numFmtId="183" fontId="42" fillId="0" borderId="77" xfId="3" applyNumberFormat="1" applyFont="1" applyBorder="1" applyAlignment="1">
      <alignment horizontal="center" vertical="center" shrinkToFit="1"/>
    </xf>
    <xf numFmtId="183" fontId="42" fillId="0" borderId="78" xfId="3" applyNumberFormat="1" applyFont="1" applyBorder="1" applyAlignment="1">
      <alignment horizontal="center" vertical="center" shrinkToFit="1"/>
    </xf>
    <xf numFmtId="183" fontId="42" fillId="0" borderId="79" xfId="3" applyNumberFormat="1" applyFont="1" applyBorder="1" applyAlignment="1">
      <alignment horizontal="center" vertical="center"/>
    </xf>
    <xf numFmtId="198" fontId="42" fillId="0" borderId="80" xfId="3" applyNumberFormat="1" applyFont="1" applyBorder="1" applyAlignment="1">
      <alignment vertical="center" shrinkToFit="1"/>
    </xf>
    <xf numFmtId="0" fontId="42" fillId="0" borderId="0" xfId="0" applyFont="1">
      <alignment vertical="center"/>
    </xf>
    <xf numFmtId="177" fontId="46" fillId="0" borderId="0" xfId="53" applyNumberFormat="1" applyFont="1">
      <alignment vertical="center"/>
    </xf>
    <xf numFmtId="0" fontId="46" fillId="0" borderId="95" xfId="53" applyFont="1" applyBorder="1">
      <alignment vertical="center"/>
    </xf>
    <xf numFmtId="0" fontId="42" fillId="29" borderId="96" xfId="3" applyFont="1" applyFill="1" applyBorder="1">
      <alignment vertical="center"/>
    </xf>
    <xf numFmtId="0" fontId="42" fillId="0" borderId="96" xfId="3" applyFont="1" applyBorder="1">
      <alignment vertical="center"/>
    </xf>
    <xf numFmtId="0" fontId="56" fillId="29" borderId="96" xfId="3" applyFont="1" applyFill="1" applyBorder="1">
      <alignment vertical="center"/>
    </xf>
    <xf numFmtId="0" fontId="46" fillId="0" borderId="97" xfId="53" applyFont="1" applyBorder="1">
      <alignment vertical="center"/>
    </xf>
    <xf numFmtId="183" fontId="42" fillId="0" borderId="98" xfId="3" applyNumberFormat="1" applyFont="1" applyBorder="1" applyAlignment="1">
      <alignment vertical="center" shrinkToFit="1"/>
    </xf>
    <xf numFmtId="183" fontId="43" fillId="0" borderId="60" xfId="53" applyNumberFormat="1" applyFont="1" applyBorder="1" applyAlignment="1">
      <alignment horizontal="center" vertical="center"/>
    </xf>
    <xf numFmtId="0" fontId="46" fillId="37" borderId="0" xfId="53" applyFont="1" applyFill="1">
      <alignment vertical="center"/>
    </xf>
    <xf numFmtId="0" fontId="46" fillId="37" borderId="0" xfId="53" applyFont="1" applyFill="1" applyAlignment="1">
      <alignment horizontal="center" vertical="center"/>
    </xf>
    <xf numFmtId="0" fontId="46" fillId="0" borderId="30" xfId="53" applyFont="1" applyBorder="1">
      <alignment vertical="center"/>
    </xf>
    <xf numFmtId="183" fontId="43" fillId="0" borderId="73" xfId="53" applyNumberFormat="1" applyFont="1" applyBorder="1" applyAlignment="1">
      <alignment horizontal="center" vertical="center"/>
    </xf>
    <xf numFmtId="0" fontId="46" fillId="37" borderId="0" xfId="0" applyFont="1" applyFill="1">
      <alignment vertical="center"/>
    </xf>
    <xf numFmtId="0" fontId="54" fillId="29" borderId="29" xfId="3" applyFont="1" applyFill="1" applyBorder="1">
      <alignment vertical="center"/>
    </xf>
    <xf numFmtId="0" fontId="46" fillId="0" borderId="100" xfId="53" applyFont="1" applyBorder="1">
      <alignment vertical="center"/>
    </xf>
    <xf numFmtId="0" fontId="46" fillId="0" borderId="83" xfId="0" applyFont="1" applyBorder="1">
      <alignment vertical="center"/>
    </xf>
    <xf numFmtId="0" fontId="42" fillId="0" borderId="103" xfId="3" applyFont="1" applyBorder="1">
      <alignment vertical="center"/>
    </xf>
    <xf numFmtId="0" fontId="42" fillId="0" borderId="23" xfId="3" applyFont="1" applyBorder="1">
      <alignment vertical="center"/>
    </xf>
    <xf numFmtId="0" fontId="42" fillId="0" borderId="22" xfId="3" applyFont="1" applyBorder="1">
      <alignment vertical="center"/>
    </xf>
    <xf numFmtId="0" fontId="42" fillId="43" borderId="0" xfId="0" applyFont="1" applyFill="1">
      <alignment vertical="center"/>
    </xf>
    <xf numFmtId="0" fontId="42" fillId="0" borderId="28" xfId="3" applyFont="1" applyBorder="1">
      <alignment vertical="center"/>
    </xf>
    <xf numFmtId="0" fontId="42" fillId="0" borderId="25" xfId="3" applyFont="1" applyBorder="1">
      <alignment vertical="center"/>
    </xf>
    <xf numFmtId="0" fontId="42" fillId="0" borderId="105" xfId="3" applyFont="1" applyBorder="1">
      <alignment vertical="center"/>
    </xf>
    <xf numFmtId="198" fontId="42" fillId="0" borderId="106" xfId="3" applyNumberFormat="1" applyFont="1" applyBorder="1" applyAlignment="1">
      <alignment vertical="center" shrinkToFit="1"/>
    </xf>
    <xf numFmtId="0" fontId="42" fillId="0" borderId="71" xfId="3" applyFont="1" applyBorder="1">
      <alignment vertical="center"/>
    </xf>
    <xf numFmtId="0" fontId="42" fillId="0" borderId="31" xfId="3" applyFont="1" applyBorder="1">
      <alignment vertical="center"/>
    </xf>
    <xf numFmtId="0" fontId="42" fillId="0" borderId="102" xfId="3" applyFont="1" applyBorder="1">
      <alignment vertical="center"/>
    </xf>
    <xf numFmtId="0" fontId="42" fillId="0" borderId="176" xfId="53" applyFont="1" applyBorder="1">
      <alignment vertical="center"/>
    </xf>
    <xf numFmtId="0" fontId="46" fillId="0" borderId="84" xfId="0" applyFont="1" applyBorder="1" applyAlignment="1">
      <alignment horizontal="center" vertical="center"/>
    </xf>
    <xf numFmtId="0" fontId="42" fillId="0" borderId="88" xfId="3" applyFont="1" applyBorder="1">
      <alignment vertical="center"/>
    </xf>
    <xf numFmtId="183" fontId="42" fillId="0" borderId="174" xfId="3" applyNumberFormat="1" applyFont="1" applyBorder="1" applyAlignment="1">
      <alignment vertical="center" shrinkToFit="1"/>
    </xf>
    <xf numFmtId="183" fontId="42" fillId="0" borderId="116" xfId="3" applyNumberFormat="1" applyFont="1" applyBorder="1" applyAlignment="1">
      <alignment horizontal="center" vertical="center"/>
    </xf>
    <xf numFmtId="0" fontId="42" fillId="43" borderId="0" xfId="0" applyFont="1" applyFill="1" applyAlignment="1">
      <alignment horizontal="center" vertical="center"/>
    </xf>
    <xf numFmtId="0" fontId="42" fillId="0" borderId="56" xfId="3" applyFont="1" applyBorder="1">
      <alignment vertical="center"/>
    </xf>
    <xf numFmtId="0" fontId="42" fillId="0" borderId="72" xfId="3" applyFont="1" applyBorder="1">
      <alignment vertical="center"/>
    </xf>
    <xf numFmtId="183" fontId="42" fillId="0" borderId="175" xfId="3" applyNumberFormat="1" applyFont="1" applyBorder="1" applyAlignment="1">
      <alignment vertical="center" shrinkToFit="1"/>
    </xf>
    <xf numFmtId="183" fontId="42" fillId="0" borderId="73" xfId="3" applyNumberFormat="1" applyFont="1" applyBorder="1" applyAlignment="1">
      <alignment horizontal="center" vertical="center"/>
    </xf>
    <xf numFmtId="198" fontId="42" fillId="0" borderId="107" xfId="3" applyNumberFormat="1" applyFont="1" applyBorder="1" applyAlignment="1">
      <alignment vertical="center" shrinkToFit="1"/>
    </xf>
    <xf numFmtId="0" fontId="42" fillId="0" borderId="108" xfId="3" applyFont="1" applyBorder="1" applyAlignment="1">
      <alignment horizontal="center" vertical="center"/>
    </xf>
    <xf numFmtId="0" fontId="42" fillId="0" borderId="108" xfId="53" applyFont="1" applyBorder="1">
      <alignment vertical="center"/>
    </xf>
    <xf numFmtId="179" fontId="42" fillId="0" borderId="87" xfId="53" applyNumberFormat="1" applyFont="1" applyBorder="1">
      <alignment vertical="center"/>
    </xf>
    <xf numFmtId="0" fontId="42" fillId="0" borderId="103" xfId="3" applyFont="1" applyBorder="1" applyAlignment="1">
      <alignment horizontal="center" vertical="center" textRotation="255" wrapText="1"/>
    </xf>
    <xf numFmtId="0" fontId="42" fillId="0" borderId="141" xfId="3" applyFont="1" applyBorder="1">
      <alignment vertical="center"/>
    </xf>
    <xf numFmtId="183" fontId="42" fillId="0" borderId="177" xfId="3" applyNumberFormat="1" applyFont="1" applyBorder="1" applyAlignment="1">
      <alignment vertical="center" shrinkToFit="1"/>
    </xf>
    <xf numFmtId="0" fontId="65" fillId="0" borderId="7" xfId="0" applyFont="1" applyBorder="1">
      <alignment vertical="center"/>
    </xf>
    <xf numFmtId="0" fontId="65" fillId="0" borderId="38" xfId="0" applyFont="1" applyBorder="1">
      <alignment vertical="center"/>
    </xf>
    <xf numFmtId="0" fontId="65" fillId="0" borderId="178" xfId="0" applyFont="1" applyBorder="1">
      <alignment vertical="center"/>
    </xf>
    <xf numFmtId="183" fontId="42" fillId="0" borderId="115" xfId="3" applyNumberFormat="1" applyFont="1" applyBorder="1" applyAlignment="1">
      <alignment vertical="center" shrinkToFit="1"/>
    </xf>
    <xf numFmtId="183" fontId="42" fillId="0" borderId="180" xfId="3" applyNumberFormat="1" applyFont="1" applyBorder="1" applyAlignment="1">
      <alignment vertical="center" shrinkToFit="1"/>
    </xf>
    <xf numFmtId="183" fontId="42" fillId="0" borderId="106" xfId="3" applyNumberFormat="1" applyFont="1" applyBorder="1" applyAlignment="1">
      <alignment vertical="center" shrinkToFit="1"/>
    </xf>
    <xf numFmtId="0" fontId="46" fillId="0" borderId="0" xfId="53" applyFont="1" applyAlignment="1">
      <alignment horizontal="center" vertical="center" wrapText="1" shrinkToFit="1"/>
    </xf>
    <xf numFmtId="0" fontId="42" fillId="0" borderId="67" xfId="3" applyFont="1" applyBorder="1">
      <alignment vertical="center"/>
    </xf>
    <xf numFmtId="0" fontId="42" fillId="0" borderId="66" xfId="3" applyFont="1" applyBorder="1">
      <alignment vertical="center"/>
    </xf>
    <xf numFmtId="0" fontId="42" fillId="0" borderId="118" xfId="3" applyFont="1" applyBorder="1">
      <alignment vertical="center"/>
    </xf>
    <xf numFmtId="183" fontId="42" fillId="0" borderId="111" xfId="3" applyNumberFormat="1" applyFont="1" applyBorder="1" applyAlignment="1">
      <alignment vertical="center" shrinkToFit="1"/>
    </xf>
    <xf numFmtId="183" fontId="42" fillId="0" borderId="114" xfId="3" applyNumberFormat="1" applyFont="1" applyBorder="1" applyAlignment="1">
      <alignment vertical="center" shrinkToFit="1"/>
    </xf>
    <xf numFmtId="0" fontId="46" fillId="0" borderId="119" xfId="53" applyFont="1" applyBorder="1">
      <alignment vertical="center"/>
    </xf>
    <xf numFmtId="0" fontId="42" fillId="0" borderId="120" xfId="53" applyFont="1" applyBorder="1">
      <alignment vertical="center"/>
    </xf>
    <xf numFmtId="0" fontId="42" fillId="0" borderId="181" xfId="3" applyFont="1" applyBorder="1">
      <alignment vertical="center"/>
    </xf>
    <xf numFmtId="0" fontId="42" fillId="0" borderId="121" xfId="3" applyFont="1" applyBorder="1">
      <alignment vertical="center"/>
    </xf>
    <xf numFmtId="0" fontId="42" fillId="0" borderId="122" xfId="3" applyFont="1" applyBorder="1" applyAlignment="1">
      <alignment horizontal="center" vertical="center"/>
    </xf>
    <xf numFmtId="0" fontId="42" fillId="0" borderId="123" xfId="3" applyFont="1" applyBorder="1" applyAlignment="1">
      <alignment horizontal="center" vertical="center"/>
    </xf>
    <xf numFmtId="194" fontId="42" fillId="0" borderId="124" xfId="3" applyNumberFormat="1" applyFont="1" applyBorder="1" applyAlignment="1">
      <alignment vertical="center" shrinkToFit="1"/>
    </xf>
    <xf numFmtId="194" fontId="42" fillId="0" borderId="121" xfId="3" applyNumberFormat="1" applyFont="1" applyBorder="1" applyAlignment="1">
      <alignment vertical="center" shrinkToFit="1"/>
    </xf>
    <xf numFmtId="183" fontId="42" fillId="0" borderId="125" xfId="3" applyNumberFormat="1" applyFont="1" applyBorder="1" applyAlignment="1">
      <alignment horizontal="center" vertical="center"/>
    </xf>
    <xf numFmtId="188" fontId="42" fillId="0" borderId="126" xfId="3" applyNumberFormat="1" applyFont="1" applyBorder="1" applyAlignment="1">
      <alignment vertical="center" shrinkToFit="1"/>
    </xf>
    <xf numFmtId="194" fontId="42" fillId="0" borderId="127" xfId="3" applyNumberFormat="1" applyFont="1" applyBorder="1" applyAlignment="1">
      <alignment vertical="center" shrinkToFit="1"/>
    </xf>
    <xf numFmtId="194" fontId="42" fillId="0" borderId="128" xfId="3" applyNumberFormat="1" applyFont="1" applyBorder="1" applyAlignment="1">
      <alignment vertical="center" shrinkToFit="1"/>
    </xf>
    <xf numFmtId="183" fontId="42" fillId="0" borderId="129" xfId="3" applyNumberFormat="1" applyFont="1" applyBorder="1" applyAlignment="1">
      <alignment horizontal="center" vertical="center"/>
    </xf>
    <xf numFmtId="194" fontId="42" fillId="0" borderId="131" xfId="3" applyNumberFormat="1" applyFont="1" applyBorder="1" applyAlignment="1">
      <alignment vertical="center" shrinkToFit="1"/>
    </xf>
    <xf numFmtId="177" fontId="42" fillId="0" borderId="0" xfId="53" applyNumberFormat="1" applyFont="1">
      <alignment vertical="center"/>
    </xf>
    <xf numFmtId="0" fontId="42" fillId="0" borderId="0" xfId="53" applyFont="1" applyAlignment="1">
      <alignment horizontal="center" vertical="center" wrapText="1" shrinkToFit="1"/>
    </xf>
    <xf numFmtId="0" fontId="42" fillId="0" borderId="84" xfId="3" applyFont="1" applyBorder="1" applyAlignment="1">
      <alignment horizontal="left" vertical="center"/>
    </xf>
    <xf numFmtId="177" fontId="42" fillId="0" borderId="134" xfId="3" applyNumberFormat="1" applyFont="1" applyBorder="1" applyAlignment="1">
      <alignment vertical="center" shrinkToFit="1"/>
    </xf>
    <xf numFmtId="177" fontId="42" fillId="0" borderId="62" xfId="3" applyNumberFormat="1" applyFont="1" applyBorder="1" applyAlignment="1">
      <alignment vertical="center" shrinkToFit="1"/>
    </xf>
    <xf numFmtId="177" fontId="42" fillId="0" borderId="115" xfId="3" applyNumberFormat="1" applyFont="1" applyBorder="1" applyAlignment="1">
      <alignment vertical="center" shrinkToFit="1"/>
    </xf>
    <xf numFmtId="177" fontId="43" fillId="0" borderId="24" xfId="53" applyNumberFormat="1" applyFont="1" applyBorder="1" applyAlignment="1">
      <alignment horizontal="center" vertical="center"/>
    </xf>
    <xf numFmtId="0" fontId="42" fillId="30" borderId="0" xfId="3" applyFont="1" applyFill="1" applyAlignment="1">
      <alignment horizontal="left" vertical="center"/>
    </xf>
    <xf numFmtId="177" fontId="42" fillId="0" borderId="108" xfId="53" applyNumberFormat="1" applyFont="1" applyBorder="1">
      <alignment vertical="center"/>
    </xf>
    <xf numFmtId="177" fontId="42" fillId="0" borderId="0" xfId="52" applyNumberFormat="1" applyFont="1" applyBorder="1" applyProtection="1">
      <alignment vertical="center"/>
    </xf>
    <xf numFmtId="177" fontId="46" fillId="0" borderId="0" xfId="52" applyNumberFormat="1" applyFont="1" applyBorder="1" applyProtection="1">
      <alignment vertical="center"/>
    </xf>
    <xf numFmtId="0" fontId="42" fillId="0" borderId="29" xfId="53" applyFont="1" applyBorder="1" applyAlignment="1">
      <alignment vertical="center" shrinkToFit="1"/>
    </xf>
    <xf numFmtId="177" fontId="42" fillId="0" borderId="173" xfId="3" applyNumberFormat="1" applyFont="1" applyBorder="1" applyAlignment="1">
      <alignment vertical="center" shrinkToFit="1"/>
    </xf>
    <xf numFmtId="177" fontId="42" fillId="0" borderId="63" xfId="3" applyNumberFormat="1" applyFont="1" applyBorder="1" applyAlignment="1">
      <alignment vertical="center" shrinkToFit="1"/>
    </xf>
    <xf numFmtId="177" fontId="42" fillId="0" borderId="36" xfId="3" applyNumberFormat="1" applyFont="1" applyBorder="1" applyAlignment="1">
      <alignment vertical="center" shrinkToFit="1"/>
    </xf>
    <xf numFmtId="177" fontId="42" fillId="0" borderId="25" xfId="53" applyNumberFormat="1" applyFont="1" applyBorder="1" applyAlignment="1">
      <alignment horizontal="center" vertical="center"/>
    </xf>
    <xf numFmtId="0" fontId="42" fillId="0" borderId="30" xfId="53" applyFont="1" applyBorder="1" applyAlignment="1">
      <alignment vertical="center" shrinkToFit="1"/>
    </xf>
    <xf numFmtId="0" fontId="42" fillId="0" borderId="84" xfId="3" applyFont="1" applyBorder="1" applyAlignment="1">
      <alignment horizontal="center" vertical="center"/>
    </xf>
    <xf numFmtId="0" fontId="42" fillId="0" borderId="7" xfId="3" applyFont="1" applyBorder="1" applyAlignment="1">
      <alignment horizontal="center" vertical="center"/>
    </xf>
    <xf numFmtId="0" fontId="42" fillId="0" borderId="111" xfId="3" applyFont="1" applyBorder="1" applyAlignment="1">
      <alignment horizontal="left" vertical="center"/>
    </xf>
    <xf numFmtId="0" fontId="42" fillId="0" borderId="117" xfId="3" applyFont="1" applyBorder="1">
      <alignment vertical="center"/>
    </xf>
    <xf numFmtId="177" fontId="42" fillId="0" borderId="183" xfId="3" applyNumberFormat="1" applyFont="1" applyBorder="1" applyAlignment="1">
      <alignment vertical="center" shrinkToFit="1"/>
    </xf>
    <xf numFmtId="177" fontId="42" fillId="0" borderId="184" xfId="3" applyNumberFormat="1" applyFont="1" applyBorder="1" applyAlignment="1">
      <alignment vertical="center" shrinkToFit="1"/>
    </xf>
    <xf numFmtId="177" fontId="42" fillId="0" borderId="112" xfId="3" applyNumberFormat="1" applyFont="1" applyBorder="1" applyAlignment="1">
      <alignment vertical="center" shrinkToFit="1"/>
    </xf>
    <xf numFmtId="177" fontId="42" fillId="0" borderId="111" xfId="53" applyNumberFormat="1" applyFont="1" applyBorder="1" applyAlignment="1">
      <alignment horizontal="center" vertical="center"/>
    </xf>
    <xf numFmtId="198" fontId="42" fillId="0" borderId="114" xfId="3" applyNumberFormat="1" applyFont="1" applyBorder="1" applyAlignment="1">
      <alignment vertical="center" shrinkToFit="1"/>
    </xf>
    <xf numFmtId="0" fontId="42" fillId="0" borderId="142" xfId="3" applyFont="1" applyBorder="1">
      <alignment vertical="center"/>
    </xf>
    <xf numFmtId="177" fontId="42" fillId="0" borderId="144" xfId="3" applyNumberFormat="1" applyFont="1" applyBorder="1" applyAlignment="1">
      <alignment vertical="center" shrinkToFit="1"/>
    </xf>
    <xf numFmtId="177" fontId="42" fillId="0" borderId="145" xfId="3" applyNumberFormat="1" applyFont="1" applyBorder="1" applyAlignment="1">
      <alignment vertical="center" shrinkToFit="1"/>
    </xf>
    <xf numFmtId="177" fontId="42" fillId="0" borderId="146" xfId="3" applyNumberFormat="1" applyFont="1" applyBorder="1" applyAlignment="1">
      <alignment vertical="center" shrinkToFit="1"/>
    </xf>
    <xf numFmtId="177" fontId="42" fillId="0" borderId="147" xfId="53" applyNumberFormat="1" applyFont="1" applyBorder="1" applyAlignment="1">
      <alignment horizontal="center" vertical="center"/>
    </xf>
    <xf numFmtId="198" fontId="42" fillId="0" borderId="35" xfId="3" applyNumberFormat="1" applyFont="1" applyBorder="1" applyAlignment="1">
      <alignment vertical="center" shrinkToFit="1"/>
    </xf>
    <xf numFmtId="0" fontId="42" fillId="30" borderId="0" xfId="3" applyFont="1" applyFill="1">
      <alignment vertical="center"/>
    </xf>
    <xf numFmtId="0" fontId="42" fillId="30" borderId="0" xfId="3" applyFont="1" applyFill="1" applyAlignment="1">
      <alignment horizontal="center" vertical="center"/>
    </xf>
    <xf numFmtId="0" fontId="42" fillId="0" borderId="82" xfId="53" applyFont="1" applyBorder="1" applyAlignment="1">
      <alignment horizontal="center" vertical="center"/>
    </xf>
    <xf numFmtId="177" fontId="42" fillId="0" borderId="82" xfId="53" applyNumberFormat="1" applyFont="1" applyBorder="1">
      <alignment vertical="center"/>
    </xf>
    <xf numFmtId="9" fontId="42" fillId="0" borderId="82" xfId="53" applyNumberFormat="1" applyFont="1" applyBorder="1">
      <alignment vertical="center"/>
    </xf>
    <xf numFmtId="177" fontId="42" fillId="0" borderId="185" xfId="53" applyNumberFormat="1" applyFont="1" applyBorder="1">
      <alignment vertical="center"/>
    </xf>
    <xf numFmtId="177" fontId="42" fillId="0" borderId="82" xfId="52" applyNumberFormat="1" applyFont="1" applyBorder="1" applyProtection="1">
      <alignment vertical="center"/>
    </xf>
    <xf numFmtId="0" fontId="42" fillId="0" borderId="137" xfId="3" applyFont="1" applyBorder="1">
      <alignment vertical="center"/>
    </xf>
    <xf numFmtId="38" fontId="42" fillId="0" borderId="137" xfId="54" applyFont="1" applyBorder="1" applyAlignment="1" applyProtection="1">
      <alignment vertical="center"/>
    </xf>
    <xf numFmtId="38" fontId="41" fillId="0" borderId="137" xfId="54" applyFont="1" applyBorder="1" applyAlignment="1" applyProtection="1">
      <alignment vertical="center"/>
    </xf>
    <xf numFmtId="0" fontId="42" fillId="0" borderId="130" xfId="3" applyFont="1" applyBorder="1">
      <alignment vertical="center"/>
    </xf>
    <xf numFmtId="177" fontId="42" fillId="0" borderId="138" xfId="3" applyNumberFormat="1" applyFont="1" applyBorder="1" applyAlignment="1">
      <alignment vertical="center" shrinkToFit="1"/>
    </xf>
    <xf numFmtId="177" fontId="42" fillId="0" borderId="139" xfId="3" applyNumberFormat="1" applyFont="1" applyBorder="1" applyAlignment="1">
      <alignment vertical="center" shrinkToFit="1"/>
    </xf>
    <xf numFmtId="177" fontId="42" fillId="0" borderId="140" xfId="53" applyNumberFormat="1" applyFont="1" applyBorder="1" applyAlignment="1">
      <alignment horizontal="center" vertical="center"/>
    </xf>
    <xf numFmtId="198" fontId="42" fillId="0" borderId="17" xfId="3" applyNumberFormat="1" applyFont="1" applyBorder="1" applyAlignment="1">
      <alignment vertical="center" shrinkToFit="1"/>
    </xf>
    <xf numFmtId="0" fontId="42" fillId="0" borderId="0" xfId="53" applyFont="1" applyAlignment="1">
      <alignment horizontal="center" vertical="center"/>
    </xf>
    <xf numFmtId="9" fontId="42" fillId="0" borderId="0" xfId="53" applyNumberFormat="1" applyFont="1">
      <alignment vertical="center"/>
    </xf>
    <xf numFmtId="0" fontId="42" fillId="0" borderId="100" xfId="53" applyFont="1" applyBorder="1">
      <alignment vertical="center"/>
    </xf>
    <xf numFmtId="0" fontId="42" fillId="0" borderId="186" xfId="3" applyFont="1" applyBorder="1">
      <alignment vertical="center"/>
    </xf>
    <xf numFmtId="38" fontId="41" fillId="0" borderId="186" xfId="54" applyFont="1" applyBorder="1" applyAlignment="1" applyProtection="1">
      <alignment horizontal="left" vertical="center"/>
    </xf>
    <xf numFmtId="0" fontId="42" fillId="0" borderId="170" xfId="3" applyFont="1" applyBorder="1">
      <alignment vertical="center"/>
    </xf>
    <xf numFmtId="198" fontId="42" fillId="0" borderId="148" xfId="3" applyNumberFormat="1" applyFont="1" applyBorder="1" applyAlignment="1">
      <alignment vertical="center" shrinkToFit="1"/>
    </xf>
    <xf numFmtId="0" fontId="46" fillId="30" borderId="0" xfId="53" applyFont="1" applyFill="1">
      <alignment vertical="center"/>
    </xf>
    <xf numFmtId="0" fontId="42" fillId="0" borderId="119" xfId="53" applyFont="1" applyBorder="1">
      <alignment vertical="center"/>
    </xf>
    <xf numFmtId="0" fontId="42" fillId="0" borderId="120" xfId="3" applyFont="1" applyBorder="1">
      <alignment vertical="center"/>
    </xf>
    <xf numFmtId="177" fontId="42" fillId="0" borderId="124" xfId="3" applyNumberFormat="1" applyFont="1" applyBorder="1" applyAlignment="1">
      <alignment vertical="center" shrinkToFit="1"/>
    </xf>
    <xf numFmtId="177" fontId="42" fillId="0" borderId="149" xfId="3" applyNumberFormat="1" applyFont="1" applyBorder="1" applyAlignment="1">
      <alignment horizontal="center" vertical="center" shrinkToFit="1"/>
    </xf>
    <xf numFmtId="177" fontId="42" fillId="0" borderId="121" xfId="3" applyNumberFormat="1" applyFont="1" applyBorder="1" applyAlignment="1">
      <alignment vertical="center" shrinkToFit="1"/>
    </xf>
    <xf numFmtId="177" fontId="42" fillId="0" borderId="125" xfId="3" applyNumberFormat="1" applyFont="1" applyBorder="1" applyAlignment="1">
      <alignment horizontal="center" vertical="center"/>
    </xf>
    <xf numFmtId="198" fontId="42" fillId="0" borderId="126" xfId="3" applyNumberFormat="1" applyFont="1" applyBorder="1" applyAlignment="1">
      <alignment vertical="center" shrinkToFit="1"/>
    </xf>
    <xf numFmtId="177" fontId="42" fillId="0" borderId="127" xfId="3" applyNumberFormat="1" applyFont="1" applyBorder="1" applyAlignment="1">
      <alignment vertical="center" shrinkToFit="1"/>
    </xf>
    <xf numFmtId="177" fontId="42" fillId="0" borderId="128" xfId="3" applyNumberFormat="1" applyFont="1" applyBorder="1" applyAlignment="1">
      <alignment vertical="center" shrinkToFit="1"/>
    </xf>
    <xf numFmtId="177" fontId="42" fillId="0" borderId="129" xfId="3" applyNumberFormat="1" applyFont="1" applyBorder="1" applyAlignment="1">
      <alignment horizontal="center" vertical="center"/>
    </xf>
    <xf numFmtId="198" fontId="42" fillId="0" borderId="131" xfId="3" applyNumberFormat="1" applyFont="1" applyBorder="1" applyAlignment="1">
      <alignment vertical="center" shrinkToFit="1"/>
    </xf>
    <xf numFmtId="38" fontId="59" fillId="0" borderId="132" xfId="54" applyFont="1" applyBorder="1" applyAlignment="1" applyProtection="1">
      <alignment vertical="center"/>
    </xf>
    <xf numFmtId="0" fontId="42" fillId="0" borderId="143" xfId="53" applyFont="1" applyBorder="1" applyAlignment="1">
      <alignment horizontal="left" vertical="center" shrinkToFit="1"/>
    </xf>
    <xf numFmtId="187" fontId="42" fillId="0" borderId="130" xfId="53" applyNumberFormat="1" applyFont="1" applyBorder="1" applyAlignment="1">
      <alignment vertical="center" shrinkToFit="1"/>
    </xf>
    <xf numFmtId="9" fontId="42" fillId="0" borderId="1" xfId="53" applyNumberFormat="1" applyFont="1" applyBorder="1">
      <alignment vertical="center"/>
    </xf>
    <xf numFmtId="179" fontId="42" fillId="0" borderId="87" xfId="53" applyNumberFormat="1" applyFont="1" applyBorder="1" applyAlignment="1">
      <alignment vertical="center" shrinkToFit="1"/>
    </xf>
    <xf numFmtId="195" fontId="42" fillId="0" borderId="108" xfId="53" applyNumberFormat="1" applyFont="1" applyBorder="1">
      <alignment vertical="center"/>
    </xf>
    <xf numFmtId="38" fontId="42" fillId="0" borderId="108" xfId="52" applyFont="1" applyBorder="1" applyProtection="1">
      <alignment vertical="center"/>
    </xf>
    <xf numFmtId="38" fontId="59" fillId="0" borderId="0" xfId="54" applyFont="1" applyBorder="1" applyAlignment="1" applyProtection="1">
      <alignment vertical="center"/>
    </xf>
    <xf numFmtId="0" fontId="42" fillId="0" borderId="103" xfId="53" applyFont="1" applyBorder="1" applyAlignment="1">
      <alignment horizontal="left" vertical="center" shrinkToFit="1"/>
    </xf>
    <xf numFmtId="0" fontId="42" fillId="0" borderId="137" xfId="53" applyFont="1" applyBorder="1" applyAlignment="1">
      <alignment horizontal="left" vertical="center" shrinkToFit="1"/>
    </xf>
    <xf numFmtId="177" fontId="42" fillId="0" borderId="137" xfId="53" applyNumberFormat="1" applyFont="1" applyBorder="1">
      <alignment vertical="center"/>
    </xf>
    <xf numFmtId="9" fontId="42" fillId="0" borderId="137" xfId="53" applyNumberFormat="1" applyFont="1" applyBorder="1">
      <alignment vertical="center"/>
    </xf>
    <xf numFmtId="179" fontId="42" fillId="0" borderId="137" xfId="53" applyNumberFormat="1" applyFont="1" applyBorder="1" applyAlignment="1">
      <alignment vertical="center" shrinkToFit="1"/>
    </xf>
    <xf numFmtId="0" fontId="42" fillId="0" borderId="130" xfId="0" applyFont="1" applyBorder="1">
      <alignment vertical="center"/>
    </xf>
    <xf numFmtId="0" fontId="42" fillId="0" borderId="81" xfId="53" applyFont="1" applyBorder="1" applyAlignment="1">
      <alignment horizontal="center" vertical="center" shrinkToFit="1"/>
    </xf>
    <xf numFmtId="0" fontId="42" fillId="0" borderId="188" xfId="3" applyFont="1" applyBorder="1">
      <alignment vertical="center"/>
    </xf>
    <xf numFmtId="0" fontId="42" fillId="0" borderId="54" xfId="3" applyFont="1" applyBorder="1">
      <alignment vertical="center"/>
    </xf>
    <xf numFmtId="0" fontId="42" fillId="0" borderId="81" xfId="53" applyFont="1" applyBorder="1" applyAlignment="1">
      <alignment horizontal="left" vertical="center" shrinkToFit="1"/>
    </xf>
    <xf numFmtId="0" fontId="42" fillId="0" borderId="190" xfId="53" applyFont="1" applyBorder="1" applyAlignment="1">
      <alignment horizontal="left" vertical="center" wrapText="1" shrinkToFit="1"/>
    </xf>
    <xf numFmtId="38" fontId="42" fillId="0" borderId="57" xfId="52" applyFont="1" applyBorder="1" applyProtection="1">
      <alignment vertical="center"/>
    </xf>
    <xf numFmtId="0" fontId="42" fillId="0" borderId="191" xfId="53" applyFont="1" applyBorder="1" applyAlignment="1">
      <alignment horizontal="center" vertical="center"/>
    </xf>
    <xf numFmtId="177" fontId="42" fillId="0" borderId="191" xfId="53" applyNumberFormat="1" applyFont="1" applyBorder="1">
      <alignment vertical="center"/>
    </xf>
    <xf numFmtId="9" fontId="42" fillId="0" borderId="191" xfId="53" applyNumberFormat="1" applyFont="1" applyBorder="1">
      <alignment vertical="center"/>
    </xf>
    <xf numFmtId="177" fontId="42" fillId="0" borderId="191" xfId="52" applyNumberFormat="1" applyFont="1" applyBorder="1" applyProtection="1">
      <alignment vertical="center"/>
    </xf>
    <xf numFmtId="38" fontId="42" fillId="0" borderId="191" xfId="52" applyFont="1" applyBorder="1" applyProtection="1">
      <alignment vertical="center"/>
    </xf>
    <xf numFmtId="0" fontId="42" fillId="0" borderId="142" xfId="53" applyFont="1" applyBorder="1" applyAlignment="1">
      <alignment horizontal="center" vertical="center"/>
    </xf>
    <xf numFmtId="0" fontId="42" fillId="0" borderId="65" xfId="3" applyFont="1" applyBorder="1">
      <alignment vertical="center"/>
    </xf>
    <xf numFmtId="0" fontId="42" fillId="0" borderId="8" xfId="53" applyFont="1" applyBorder="1" applyAlignment="1">
      <alignment horizontal="center" vertical="center"/>
    </xf>
    <xf numFmtId="183" fontId="51" fillId="0" borderId="0" xfId="3" applyNumberFormat="1" applyFont="1">
      <alignment vertical="center"/>
    </xf>
    <xf numFmtId="0" fontId="42" fillId="0" borderId="143" xfId="53" applyFont="1" applyBorder="1" applyAlignment="1">
      <alignment horizontal="left" vertical="center"/>
    </xf>
    <xf numFmtId="0" fontId="42" fillId="0" borderId="130" xfId="53" applyFont="1" applyBorder="1" applyAlignment="1">
      <alignment horizontal="left" vertical="center"/>
    </xf>
    <xf numFmtId="179" fontId="42" fillId="0" borderId="108" xfId="53" applyNumberFormat="1" applyFont="1" applyBorder="1">
      <alignment vertical="center"/>
    </xf>
    <xf numFmtId="0" fontId="42" fillId="0" borderId="171" xfId="53" applyFont="1" applyBorder="1" applyAlignment="1">
      <alignment horizontal="center" vertical="center"/>
    </xf>
    <xf numFmtId="0" fontId="42" fillId="0" borderId="172" xfId="53" applyFont="1" applyBorder="1" applyAlignment="1">
      <alignment horizontal="center" vertical="center"/>
    </xf>
    <xf numFmtId="0" fontId="64" fillId="0" borderId="9" xfId="3" applyFont="1" applyBorder="1" applyAlignment="1">
      <alignment vertical="center" wrapText="1"/>
    </xf>
    <xf numFmtId="0" fontId="46" fillId="42" borderId="141" xfId="53" applyFont="1" applyFill="1" applyBorder="1">
      <alignment vertical="center"/>
    </xf>
    <xf numFmtId="0" fontId="46" fillId="42" borderId="141" xfId="53" applyFont="1" applyFill="1" applyBorder="1" applyAlignment="1">
      <alignment horizontal="center" vertical="center"/>
    </xf>
    <xf numFmtId="188" fontId="42" fillId="0" borderId="137" xfId="53" applyNumberFormat="1" applyFont="1" applyBorder="1">
      <alignment vertical="center"/>
    </xf>
    <xf numFmtId="0" fontId="36" fillId="0" borderId="81" xfId="0" applyFont="1" applyBorder="1">
      <alignment vertical="center"/>
    </xf>
    <xf numFmtId="0" fontId="46" fillId="37" borderId="132" xfId="53" applyFont="1" applyFill="1" applyBorder="1">
      <alignment vertical="center"/>
    </xf>
    <xf numFmtId="0" fontId="46" fillId="37" borderId="132" xfId="53" applyFont="1" applyFill="1" applyBorder="1" applyAlignment="1">
      <alignment horizontal="center" vertical="center"/>
    </xf>
    <xf numFmtId="0" fontId="42" fillId="0" borderId="83" xfId="0" applyFont="1" applyBorder="1">
      <alignment vertical="center"/>
    </xf>
    <xf numFmtId="0" fontId="46" fillId="43" borderId="103" xfId="0" applyFont="1" applyFill="1" applyBorder="1">
      <alignment vertical="center"/>
    </xf>
    <xf numFmtId="0" fontId="46" fillId="43" borderId="0" xfId="0" applyFont="1" applyFill="1">
      <alignment vertical="center"/>
    </xf>
    <xf numFmtId="0" fontId="42" fillId="0" borderId="84" xfId="0" applyFont="1" applyBorder="1">
      <alignment vertical="center"/>
    </xf>
    <xf numFmtId="0" fontId="46" fillId="43" borderId="56" xfId="0" applyFont="1" applyFill="1" applyBorder="1">
      <alignment vertical="center"/>
    </xf>
    <xf numFmtId="0" fontId="42" fillId="0" borderId="84" xfId="0" applyFont="1" applyBorder="1" applyAlignment="1">
      <alignment horizontal="center" vertical="center"/>
    </xf>
    <xf numFmtId="0" fontId="46" fillId="43" borderId="56" xfId="0" applyFont="1" applyFill="1" applyBorder="1" applyAlignment="1">
      <alignment horizontal="center" vertical="center"/>
    </xf>
    <xf numFmtId="0" fontId="46" fillId="43" borderId="0" xfId="0" applyFont="1" applyFill="1" applyAlignment="1">
      <alignment horizontal="center" vertical="center"/>
    </xf>
    <xf numFmtId="198" fontId="42" fillId="0" borderId="141" xfId="3" applyNumberFormat="1" applyFont="1" applyBorder="1">
      <alignment vertical="center"/>
    </xf>
    <xf numFmtId="198" fontId="42" fillId="0" borderId="177" xfId="3" applyNumberFormat="1" applyFont="1" applyBorder="1" applyAlignment="1">
      <alignment vertical="center" shrinkToFit="1"/>
    </xf>
    <xf numFmtId="0" fontId="46" fillId="0" borderId="101" xfId="53" applyFont="1" applyBorder="1">
      <alignment vertical="center"/>
    </xf>
    <xf numFmtId="0" fontId="0" fillId="0" borderId="38" xfId="0" applyBorder="1">
      <alignment vertical="center"/>
    </xf>
    <xf numFmtId="198" fontId="0" fillId="0" borderId="38" xfId="0" applyNumberFormat="1" applyBorder="1">
      <alignment vertical="center"/>
    </xf>
    <xf numFmtId="198" fontId="0" fillId="0" borderId="178" xfId="0" applyNumberFormat="1" applyBorder="1">
      <alignment vertical="center"/>
    </xf>
    <xf numFmtId="0" fontId="46" fillId="0" borderId="68" xfId="53" applyFont="1" applyBorder="1">
      <alignment vertical="center"/>
    </xf>
    <xf numFmtId="198" fontId="42" fillId="0" borderId="180" xfId="3" applyNumberFormat="1" applyFont="1" applyBorder="1" applyAlignment="1">
      <alignment vertical="center" shrinkToFit="1"/>
    </xf>
    <xf numFmtId="0" fontId="46" fillId="0" borderId="120" xfId="53" applyFont="1" applyBorder="1">
      <alignment vertical="center"/>
    </xf>
    <xf numFmtId="177" fontId="43" fillId="0" borderId="25" xfId="53" applyNumberFormat="1" applyFont="1" applyBorder="1" applyAlignment="1">
      <alignment horizontal="center" vertical="center"/>
    </xf>
    <xf numFmtId="177" fontId="43" fillId="0" borderId="111" xfId="53" applyNumberFormat="1" applyFont="1" applyBorder="1" applyAlignment="1">
      <alignment horizontal="center" vertical="center"/>
    </xf>
    <xf numFmtId="177" fontId="43" fillId="0" borderId="147" xfId="53" applyNumberFormat="1" applyFont="1" applyBorder="1" applyAlignment="1">
      <alignment horizontal="center" vertical="center"/>
    </xf>
    <xf numFmtId="177" fontId="43" fillId="0" borderId="140" xfId="53" applyNumberFormat="1" applyFont="1" applyBorder="1" applyAlignment="1">
      <alignment horizontal="center" vertical="center"/>
    </xf>
    <xf numFmtId="198" fontId="65" fillId="0" borderId="38" xfId="0" applyNumberFormat="1" applyFont="1" applyBorder="1">
      <alignment vertical="center"/>
    </xf>
    <xf numFmtId="198" fontId="65" fillId="0" borderId="178" xfId="0" applyNumberFormat="1" applyFont="1" applyBorder="1">
      <alignment vertical="center"/>
    </xf>
    <xf numFmtId="0" fontId="46" fillId="0" borderId="179" xfId="53" applyFont="1" applyBorder="1">
      <alignment vertical="center"/>
    </xf>
    <xf numFmtId="177" fontId="42" fillId="0" borderId="24" xfId="53" applyNumberFormat="1" applyFont="1" applyBorder="1" applyAlignment="1">
      <alignment horizontal="center" vertical="center"/>
    </xf>
    <xf numFmtId="0" fontId="51" fillId="0" borderId="41" xfId="53" applyFont="1" applyBorder="1">
      <alignment vertical="center"/>
    </xf>
    <xf numFmtId="180" fontId="51" fillId="0" borderId="52" xfId="53" applyNumberFormat="1" applyFont="1" applyBorder="1" applyAlignment="1">
      <alignment horizontal="right" vertical="center"/>
    </xf>
    <xf numFmtId="0" fontId="51" fillId="0" borderId="52" xfId="53" applyFont="1" applyBorder="1">
      <alignment vertical="center"/>
    </xf>
    <xf numFmtId="177" fontId="46" fillId="0" borderId="108" xfId="53" applyNumberFormat="1" applyFont="1" applyBorder="1">
      <alignment vertical="center"/>
    </xf>
    <xf numFmtId="0" fontId="46" fillId="0" borderId="82" xfId="53" applyFont="1" applyBorder="1" applyAlignment="1">
      <alignment horizontal="center" vertical="center"/>
    </xf>
    <xf numFmtId="177" fontId="46" fillId="0" borderId="82" xfId="53" applyNumberFormat="1" applyFont="1" applyBorder="1">
      <alignment vertical="center"/>
    </xf>
    <xf numFmtId="9" fontId="46" fillId="0" borderId="82" xfId="53" applyNumberFormat="1" applyFont="1" applyBorder="1">
      <alignment vertical="center"/>
    </xf>
    <xf numFmtId="177" fontId="46" fillId="0" borderId="185" xfId="53" applyNumberFormat="1" applyFont="1" applyBorder="1">
      <alignment vertical="center"/>
    </xf>
    <xf numFmtId="177" fontId="46" fillId="0" borderId="82" xfId="52" applyNumberFormat="1" applyFont="1" applyBorder="1" applyProtection="1">
      <alignment vertical="center"/>
    </xf>
    <xf numFmtId="38" fontId="41" fillId="0" borderId="132" xfId="54" applyFont="1" applyBorder="1" applyAlignment="1" applyProtection="1">
      <alignment vertical="center"/>
    </xf>
    <xf numFmtId="183" fontId="43" fillId="5" borderId="73" xfId="53" applyNumberFormat="1" applyFont="1" applyFill="1" applyBorder="1" applyAlignment="1" applyProtection="1">
      <alignment horizontal="center" vertical="center"/>
      <protection locked="0"/>
    </xf>
    <xf numFmtId="198" fontId="42" fillId="5" borderId="33" xfId="3" applyNumberFormat="1" applyFont="1" applyFill="1" applyBorder="1" applyAlignment="1" applyProtection="1">
      <alignment vertical="center" shrinkToFit="1"/>
      <protection locked="0"/>
    </xf>
    <xf numFmtId="0" fontId="40" fillId="0" borderId="0" xfId="0" applyFont="1" applyAlignment="1">
      <alignment horizontal="left" vertical="center"/>
    </xf>
    <xf numFmtId="0" fontId="46" fillId="0" borderId="4" xfId="0" applyFont="1" applyBorder="1" applyAlignment="1">
      <alignment horizontal="center" vertical="center" wrapText="1"/>
    </xf>
    <xf numFmtId="0" fontId="46" fillId="0" borderId="8" xfId="0" applyFont="1" applyBorder="1" applyAlignment="1">
      <alignment horizontal="left" vertical="center" wrapText="1"/>
    </xf>
    <xf numFmtId="0" fontId="42" fillId="29" borderId="137" xfId="49" applyFont="1" applyFill="1" applyBorder="1" applyAlignment="1">
      <alignment vertical="center"/>
    </xf>
    <xf numFmtId="2" fontId="42" fillId="0" borderId="143" xfId="0" applyNumberFormat="1" applyFont="1" applyBorder="1" applyAlignment="1">
      <alignment vertical="center" wrapText="1"/>
    </xf>
    <xf numFmtId="1" fontId="46" fillId="0" borderId="3" xfId="0" applyNumberFormat="1" applyFont="1" applyBorder="1" applyAlignment="1">
      <alignment vertical="center" shrinkToFit="1"/>
    </xf>
    <xf numFmtId="0" fontId="42" fillId="29" borderId="0" xfId="0" applyFont="1" applyFill="1" applyAlignment="1"/>
    <xf numFmtId="0" fontId="42" fillId="29" borderId="1" xfId="0" applyFont="1" applyFill="1" applyBorder="1" applyAlignment="1">
      <alignment horizontal="center" vertical="center"/>
    </xf>
    <xf numFmtId="0" fontId="42" fillId="29" borderId="1" xfId="0" applyFont="1" applyFill="1" applyBorder="1" applyAlignment="1">
      <alignment horizontal="center" vertical="center" wrapText="1"/>
    </xf>
    <xf numFmtId="0" fontId="61" fillId="0" borderId="1" xfId="0" applyFont="1" applyBorder="1">
      <alignment vertical="center"/>
    </xf>
    <xf numFmtId="0" fontId="38" fillId="0" borderId="0" xfId="0" applyFont="1">
      <alignment vertical="center"/>
    </xf>
    <xf numFmtId="0" fontId="42" fillId="0" borderId="4" xfId="0" applyFont="1" applyBorder="1" applyAlignment="1">
      <alignment horizontal="left" vertical="center" wrapText="1"/>
    </xf>
    <xf numFmtId="0" fontId="42" fillId="0" borderId="0" xfId="0" applyFont="1" applyAlignment="1"/>
    <xf numFmtId="0" fontId="42" fillId="28" borderId="0" xfId="0" applyFont="1" applyFill="1" applyAlignment="1">
      <alignment horizontal="distributed" vertical="center"/>
    </xf>
    <xf numFmtId="0" fontId="42" fillId="28" borderId="0" xfId="0" applyFont="1" applyFill="1" applyAlignment="1">
      <alignment vertical="center" wrapText="1"/>
    </xf>
    <xf numFmtId="0" fontId="42" fillId="28" borderId="0" xfId="0" applyFont="1" applyFill="1" applyAlignment="1">
      <alignment horizontal="center" vertical="center"/>
    </xf>
    <xf numFmtId="0" fontId="42" fillId="0" borderId="4" xfId="49" applyFont="1" applyBorder="1" applyAlignment="1">
      <alignment horizontal="center" vertical="center"/>
    </xf>
    <xf numFmtId="0" fontId="42" fillId="0" borderId="3" xfId="49" applyFont="1" applyBorder="1" applyAlignment="1">
      <alignment horizontal="center" vertical="center"/>
    </xf>
    <xf numFmtId="0" fontId="46" fillId="0" borderId="4" xfId="0" applyFont="1" applyBorder="1" applyAlignment="1">
      <alignment horizontal="left" vertical="center" shrinkToFit="1"/>
    </xf>
    <xf numFmtId="181" fontId="42" fillId="0" borderId="4" xfId="49" applyNumberFormat="1" applyFont="1" applyBorder="1" applyAlignment="1">
      <alignment horizontal="center" vertical="center"/>
    </xf>
    <xf numFmtId="0" fontId="46" fillId="0" borderId="4" xfId="0" applyFont="1" applyBorder="1" applyAlignment="1">
      <alignment horizontal="center" vertical="center" shrinkToFit="1"/>
    </xf>
    <xf numFmtId="2" fontId="46" fillId="0" borderId="1" xfId="0" applyNumberFormat="1" applyFont="1" applyBorder="1" applyAlignment="1">
      <alignment horizontal="right" vertical="center"/>
    </xf>
    <xf numFmtId="0" fontId="46" fillId="30" borderId="1" xfId="0" applyFont="1" applyFill="1" applyBorder="1" applyAlignment="1">
      <alignment horizontal="center" vertical="center"/>
    </xf>
    <xf numFmtId="0" fontId="42" fillId="29" borderId="3" xfId="49" applyFont="1" applyFill="1" applyBorder="1" applyAlignment="1">
      <alignment horizontal="center" vertical="center"/>
    </xf>
    <xf numFmtId="0" fontId="42" fillId="29" borderId="1" xfId="49" applyFont="1" applyFill="1" applyBorder="1" applyAlignment="1">
      <alignment horizontal="centerContinuous" vertical="center"/>
    </xf>
    <xf numFmtId="0" fontId="42" fillId="29" borderId="4" xfId="49" applyFont="1" applyFill="1" applyBorder="1" applyAlignment="1">
      <alignment horizontal="center" vertical="center"/>
    </xf>
    <xf numFmtId="0" fontId="42" fillId="29" borderId="0" xfId="0" applyFont="1" applyFill="1">
      <alignment vertical="center"/>
    </xf>
    <xf numFmtId="0" fontId="42" fillId="28" borderId="0" xfId="0" applyFont="1" applyFill="1" applyAlignment="1">
      <alignment vertical="top"/>
    </xf>
    <xf numFmtId="0" fontId="42" fillId="29" borderId="5" xfId="49" applyFont="1" applyFill="1" applyBorder="1" applyAlignment="1">
      <alignment horizontal="distributed" vertical="center" wrapText="1"/>
    </xf>
    <xf numFmtId="0" fontId="42" fillId="29" borderId="6" xfId="49" applyFont="1" applyFill="1" applyBorder="1" applyAlignment="1">
      <alignment horizontal="distributed" vertical="center" wrapText="1"/>
    </xf>
    <xf numFmtId="0" fontId="42" fillId="29" borderId="56" xfId="49" applyFont="1" applyFill="1" applyBorder="1" applyAlignment="1">
      <alignment vertical="center" wrapText="1"/>
    </xf>
    <xf numFmtId="0" fontId="42" fillId="29" borderId="68" xfId="49" applyFont="1" applyFill="1" applyBorder="1" applyAlignment="1">
      <alignment vertical="center" wrapText="1"/>
    </xf>
    <xf numFmtId="0" fontId="35" fillId="0" borderId="0" xfId="0" applyFont="1">
      <alignment vertical="center"/>
    </xf>
    <xf numFmtId="0" fontId="37" fillId="0" borderId="0" xfId="0" applyFont="1">
      <alignment vertical="center"/>
    </xf>
    <xf numFmtId="184" fontId="36" fillId="0" borderId="0" xfId="0" applyNumberFormat="1" applyFont="1">
      <alignment vertical="center"/>
    </xf>
    <xf numFmtId="0" fontId="61" fillId="0" borderId="68" xfId="0" applyFont="1" applyBorder="1">
      <alignment vertical="center"/>
    </xf>
    <xf numFmtId="0" fontId="46" fillId="0" borderId="0" xfId="0" applyFont="1" applyAlignment="1">
      <alignment horizontal="left" vertical="center"/>
    </xf>
    <xf numFmtId="49" fontId="46" fillId="0" borderId="0" xfId="0" applyNumberFormat="1" applyFont="1">
      <alignment vertical="center"/>
    </xf>
    <xf numFmtId="0" fontId="46" fillId="2" borderId="1" xfId="0" applyFont="1" applyFill="1" applyBorder="1">
      <alignment vertical="center"/>
    </xf>
    <xf numFmtId="0" fontId="46" fillId="2" borderId="34" xfId="0" applyFont="1" applyFill="1" applyBorder="1">
      <alignment vertical="center"/>
    </xf>
    <xf numFmtId="182" fontId="46" fillId="0" borderId="0" xfId="0" applyNumberFormat="1" applyFont="1">
      <alignment vertical="center"/>
    </xf>
    <xf numFmtId="0" fontId="39" fillId="0" borderId="0" xfId="51" applyFont="1" applyProtection="1">
      <alignment vertical="center"/>
    </xf>
    <xf numFmtId="0" fontId="39" fillId="0" borderId="0" xfId="51" applyFont="1" applyAlignment="1" applyProtection="1">
      <alignment vertical="center" wrapText="1"/>
    </xf>
    <xf numFmtId="0" fontId="46" fillId="0" borderId="0" xfId="0" applyFont="1" applyProtection="1">
      <alignment vertical="center"/>
      <protection locked="0"/>
    </xf>
    <xf numFmtId="198" fontId="42" fillId="0" borderId="195" xfId="3" applyNumberFormat="1" applyFont="1" applyBorder="1" applyAlignment="1">
      <alignment vertical="center" shrinkToFit="1"/>
    </xf>
    <xf numFmtId="198" fontId="42" fillId="0" borderId="196" xfId="3" applyNumberFormat="1" applyFont="1" applyBorder="1" applyAlignment="1">
      <alignment vertical="center" shrinkToFit="1"/>
    </xf>
    <xf numFmtId="0" fontId="61" fillId="0" borderId="1" xfId="0" applyFont="1" applyBorder="1" applyProtection="1">
      <alignment vertical="center"/>
      <protection locked="0"/>
    </xf>
    <xf numFmtId="0" fontId="36" fillId="0" borderId="0" xfId="0" applyFont="1" applyProtection="1">
      <alignment vertical="center"/>
      <protection locked="0"/>
    </xf>
    <xf numFmtId="0" fontId="72" fillId="0" borderId="0" xfId="0" applyFont="1">
      <alignment vertical="center"/>
    </xf>
    <xf numFmtId="49" fontId="46" fillId="5" borderId="1" xfId="0" applyNumberFormat="1" applyFont="1" applyFill="1" applyBorder="1" applyProtection="1">
      <alignment vertical="center"/>
      <protection locked="0"/>
    </xf>
    <xf numFmtId="178" fontId="46" fillId="5" borderId="1" xfId="0" applyNumberFormat="1" applyFont="1" applyFill="1" applyBorder="1" applyProtection="1">
      <alignment vertical="center"/>
      <protection locked="0"/>
    </xf>
    <xf numFmtId="0" fontId="46" fillId="5" borderId="34" xfId="0" applyFont="1" applyFill="1" applyBorder="1" applyProtection="1">
      <alignment vertical="center"/>
      <protection locked="0"/>
    </xf>
    <xf numFmtId="0" fontId="46" fillId="0" borderId="0" xfId="0" applyFont="1">
      <alignment vertical="center"/>
    </xf>
    <xf numFmtId="49" fontId="46" fillId="5" borderId="1" xfId="0" applyNumberFormat="1" applyFont="1" applyFill="1" applyBorder="1" applyAlignment="1" applyProtection="1">
      <alignment horizontal="left" vertical="center"/>
      <protection locked="0"/>
    </xf>
    <xf numFmtId="49" fontId="73" fillId="5" borderId="1" xfId="51" applyNumberFormat="1" applyFont="1" applyFill="1" applyBorder="1" applyProtection="1">
      <alignment vertical="center"/>
      <protection locked="0"/>
    </xf>
    <xf numFmtId="0" fontId="42" fillId="29" borderId="1" xfId="49" applyFont="1" applyFill="1" applyBorder="1" applyAlignment="1">
      <alignment horizontal="center" vertical="center" wrapText="1"/>
    </xf>
    <xf numFmtId="0" fontId="42" fillId="5" borderId="2" xfId="0" applyFont="1" applyFill="1" applyBorder="1" applyAlignment="1" applyProtection="1">
      <alignment horizontal="left" vertical="center" wrapText="1"/>
      <protection locked="0"/>
    </xf>
    <xf numFmtId="0" fontId="42" fillId="5"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left" vertical="center" wrapText="1"/>
      <protection locked="0"/>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29" borderId="1" xfId="49" applyFont="1" applyFill="1" applyBorder="1" applyAlignment="1">
      <alignment horizontal="center" vertical="center"/>
    </xf>
    <xf numFmtId="178" fontId="42" fillId="5" borderId="2" xfId="0" applyNumberFormat="1" applyFont="1" applyFill="1" applyBorder="1" applyAlignment="1" applyProtection="1">
      <alignment horizontal="center" vertical="center" wrapText="1"/>
      <protection locked="0"/>
    </xf>
    <xf numFmtId="178" fontId="42" fillId="5" borderId="3" xfId="0" applyNumberFormat="1" applyFont="1" applyFill="1" applyBorder="1" applyAlignment="1" applyProtection="1">
      <alignment horizontal="center" vertical="center" wrapText="1"/>
      <protection locked="0"/>
    </xf>
    <xf numFmtId="0" fontId="42" fillId="5" borderId="2" xfId="0" applyFont="1" applyFill="1" applyBorder="1" applyAlignment="1" applyProtection="1">
      <alignment horizontal="center" vertical="center" wrapText="1"/>
      <protection locked="0"/>
    </xf>
    <xf numFmtId="0" fontId="42" fillId="5" borderId="3" xfId="0" applyFont="1" applyFill="1" applyBorder="1" applyAlignment="1" applyProtection="1">
      <alignment horizontal="center" vertical="center" wrapText="1"/>
      <protection locked="0"/>
    </xf>
    <xf numFmtId="2" fontId="42" fillId="0" borderId="2" xfId="0" applyNumberFormat="1" applyFont="1" applyBorder="1" applyAlignment="1">
      <alignment horizontal="center" vertical="center" wrapText="1"/>
    </xf>
    <xf numFmtId="2" fontId="42" fillId="0" borderId="3" xfId="0" applyNumberFormat="1" applyFont="1" applyBorder="1" applyAlignment="1">
      <alignment horizontal="center" vertical="center" wrapText="1"/>
    </xf>
    <xf numFmtId="0" fontId="42" fillId="0" borderId="4" xfId="0" applyFont="1" applyBorder="1" applyAlignment="1">
      <alignment horizontal="center" vertical="center" wrapText="1"/>
    </xf>
    <xf numFmtId="0" fontId="42" fillId="29" borderId="2" xfId="49" applyFont="1" applyFill="1" applyBorder="1" applyAlignment="1">
      <alignment horizontal="center" vertical="center" wrapText="1"/>
    </xf>
    <xf numFmtId="0" fontId="42" fillId="0" borderId="4" xfId="0" applyFont="1" applyBorder="1" applyAlignment="1">
      <alignment horizontal="center" vertical="center"/>
    </xf>
    <xf numFmtId="2" fontId="42" fillId="5" borderId="2" xfId="0" applyNumberFormat="1" applyFont="1" applyFill="1" applyBorder="1" applyAlignment="1" applyProtection="1">
      <alignment horizontal="center" vertical="center" wrapText="1"/>
      <protection locked="0"/>
    </xf>
    <xf numFmtId="2" fontId="42" fillId="0" borderId="3" xfId="0" applyNumberFormat="1" applyFont="1" applyBorder="1" applyAlignment="1" applyProtection="1">
      <alignment horizontal="center" vertical="center" wrapText="1"/>
      <protection locked="0"/>
    </xf>
    <xf numFmtId="0" fontId="42" fillId="0" borderId="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8" xfId="0" applyFont="1" applyBorder="1" applyAlignment="1">
      <alignment horizontal="center" vertical="center" wrapText="1"/>
    </xf>
    <xf numFmtId="0" fontId="42" fillId="29" borderId="7" xfId="49" applyFont="1" applyFill="1" applyBorder="1" applyAlignment="1">
      <alignment horizontal="center" vertical="top" wrapText="1"/>
    </xf>
    <xf numFmtId="0" fontId="42" fillId="29" borderId="8" xfId="49" applyFont="1" applyFill="1" applyBorder="1" applyAlignment="1">
      <alignment horizontal="center" vertical="top" wrapText="1"/>
    </xf>
    <xf numFmtId="0" fontId="40" fillId="0" borderId="0" xfId="0" applyFont="1" applyAlignment="1">
      <alignment horizontal="center" vertical="center"/>
    </xf>
    <xf numFmtId="0" fontId="42" fillId="0" borderId="1" xfId="0" applyFont="1" applyBorder="1" applyAlignment="1">
      <alignment horizontal="distributed" vertical="center" wrapText="1"/>
    </xf>
    <xf numFmtId="0" fontId="42" fillId="0" borderId="1" xfId="0" applyFont="1" applyBorder="1" applyAlignment="1">
      <alignment horizontal="left"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178" fontId="42" fillId="0" borderId="2" xfId="0" applyNumberFormat="1" applyFont="1" applyBorder="1" applyAlignment="1">
      <alignment horizontal="center" vertical="center" wrapText="1"/>
    </xf>
    <xf numFmtId="178" fontId="42" fillId="0" borderId="3" xfId="0" applyNumberFormat="1" applyFont="1" applyBorder="1" applyAlignment="1">
      <alignment horizontal="center" vertical="center" wrapText="1"/>
    </xf>
    <xf numFmtId="0" fontId="42" fillId="5" borderId="1" xfId="0" applyFont="1" applyFill="1" applyBorder="1" applyAlignment="1" applyProtection="1">
      <alignment horizontal="left" vertical="center" wrapText="1"/>
      <protection locked="0"/>
    </xf>
    <xf numFmtId="0" fontId="46" fillId="0" borderId="2" xfId="0" applyFont="1" applyBorder="1">
      <alignment vertical="center"/>
    </xf>
    <xf numFmtId="0" fontId="46" fillId="0" borderId="3" xfId="0" applyFont="1" applyBorder="1">
      <alignment vertical="center"/>
    </xf>
    <xf numFmtId="0" fontId="42" fillId="0" borderId="3" xfId="0" applyFont="1" applyBorder="1" applyAlignment="1">
      <alignment horizontal="center" vertical="center"/>
    </xf>
    <xf numFmtId="0" fontId="42" fillId="0" borderId="2" xfId="0" applyFont="1" applyBorder="1" applyAlignment="1">
      <alignment horizontal="distributed" vertical="center" wrapText="1"/>
    </xf>
    <xf numFmtId="0" fontId="42" fillId="0" borderId="3" xfId="0" applyFont="1" applyBorder="1" applyAlignment="1">
      <alignment horizontal="distributed" vertical="center" wrapText="1"/>
    </xf>
    <xf numFmtId="0" fontId="42" fillId="0" borderId="4" xfId="0" applyFont="1" applyBorder="1" applyAlignment="1">
      <alignment horizontal="distributed" vertical="center" wrapText="1"/>
    </xf>
    <xf numFmtId="0" fontId="46" fillId="0" borderId="0" xfId="0" applyFont="1" applyAlignment="1">
      <alignment horizontal="center" vertical="center"/>
    </xf>
    <xf numFmtId="0" fontId="46" fillId="0" borderId="2" xfId="0" applyFont="1" applyBorder="1" applyAlignment="1">
      <alignment horizontal="center" vertical="center"/>
    </xf>
    <xf numFmtId="0" fontId="46" fillId="0" borderId="4" xfId="0" applyFont="1" applyBorder="1" applyAlignment="1">
      <alignment horizontal="center" vertical="center"/>
    </xf>
    <xf numFmtId="183" fontId="51" fillId="0" borderId="77" xfId="3" applyNumberFormat="1" applyFont="1" applyBorder="1" applyAlignment="1">
      <alignment vertical="center" shrinkToFit="1"/>
    </xf>
    <xf numFmtId="183" fontId="51" fillId="0" borderId="155" xfId="3" applyNumberFormat="1" applyFont="1" applyBorder="1" applyAlignment="1">
      <alignment vertical="center" shrinkToFit="1"/>
    </xf>
    <xf numFmtId="0" fontId="42" fillId="0" borderId="75" xfId="3" applyFont="1" applyBorder="1" applyAlignment="1">
      <alignment horizontal="center" vertical="center"/>
    </xf>
    <xf numFmtId="0" fontId="42" fillId="0" borderId="154" xfId="3" applyFont="1" applyBorder="1" applyAlignment="1">
      <alignment horizontal="center" vertical="center"/>
    </xf>
    <xf numFmtId="0" fontId="42" fillId="0" borderId="76" xfId="3" applyFont="1" applyBorder="1" applyAlignment="1">
      <alignment horizontal="center" vertical="center"/>
    </xf>
    <xf numFmtId="0" fontId="46" fillId="0" borderId="12" xfId="53" applyFont="1" applyBorder="1" applyAlignment="1">
      <alignment horizontal="center" vertical="center"/>
    </xf>
    <xf numFmtId="0" fontId="46" fillId="0" borderId="137" xfId="53" applyFont="1" applyBorder="1" applyAlignment="1">
      <alignment horizontal="center" vertical="center"/>
    </xf>
    <xf numFmtId="0" fontId="46" fillId="0" borderId="130" xfId="53" applyFont="1" applyBorder="1" applyAlignment="1">
      <alignment horizontal="center" vertical="center"/>
    </xf>
    <xf numFmtId="0" fontId="46" fillId="0" borderId="11" xfId="53" applyFont="1" applyBorder="1" applyAlignment="1">
      <alignment horizontal="center" vertical="center"/>
    </xf>
    <xf numFmtId="0" fontId="46" fillId="0" borderId="9" xfId="53" applyFont="1" applyBorder="1" applyAlignment="1">
      <alignment horizontal="center" vertical="center"/>
    </xf>
    <xf numFmtId="0" fontId="46" fillId="0" borderId="192" xfId="53" applyFont="1" applyBorder="1" applyAlignment="1">
      <alignment horizontal="center" vertical="center"/>
    </xf>
    <xf numFmtId="0" fontId="57" fillId="4" borderId="14" xfId="3" applyFont="1" applyFill="1" applyBorder="1" applyAlignment="1">
      <alignment horizontal="center" vertical="center"/>
    </xf>
    <xf numFmtId="0" fontId="57" fillId="4" borderId="132" xfId="3" applyFont="1" applyFill="1" applyBorder="1" applyAlignment="1">
      <alignment horizontal="center" vertical="center"/>
    </xf>
    <xf numFmtId="0" fontId="57" fillId="4" borderId="15" xfId="3" applyFont="1" applyFill="1" applyBorder="1" applyAlignment="1">
      <alignment horizontal="center" vertical="center"/>
    </xf>
    <xf numFmtId="0" fontId="57" fillId="4" borderId="18" xfId="3" applyFont="1" applyFill="1" applyBorder="1" applyAlignment="1">
      <alignment horizontal="center" vertical="center"/>
    </xf>
    <xf numFmtId="0" fontId="57" fillId="4" borderId="150" xfId="3" applyFont="1" applyFill="1" applyBorder="1" applyAlignment="1">
      <alignment horizontal="center" vertical="center"/>
    </xf>
    <xf numFmtId="0" fontId="57" fillId="4" borderId="20" xfId="3" applyFont="1" applyFill="1" applyBorder="1" applyAlignment="1">
      <alignment horizontal="center" vertical="center"/>
    </xf>
    <xf numFmtId="0" fontId="46" fillId="5" borderId="163" xfId="53" applyFont="1" applyFill="1" applyBorder="1" applyAlignment="1" applyProtection="1">
      <alignment horizontal="center" vertical="center"/>
      <protection locked="0"/>
    </xf>
    <xf numFmtId="0" fontId="46" fillId="5" borderId="13" xfId="53" applyFont="1" applyFill="1" applyBorder="1" applyAlignment="1" applyProtection="1">
      <alignment horizontal="center" vertical="center"/>
      <protection locked="0"/>
    </xf>
    <xf numFmtId="49" fontId="46" fillId="5" borderId="143" xfId="55" applyNumberFormat="1" applyFont="1" applyFill="1" applyBorder="1" applyAlignment="1" applyProtection="1">
      <alignment horizontal="center" vertical="center"/>
      <protection locked="0"/>
    </xf>
    <xf numFmtId="49" fontId="46" fillId="5" borderId="156" xfId="55" applyNumberFormat="1" applyFont="1" applyFill="1" applyBorder="1" applyAlignment="1" applyProtection="1">
      <alignment horizontal="center" vertical="center"/>
      <protection locked="0"/>
    </xf>
    <xf numFmtId="49" fontId="46" fillId="5" borderId="151" xfId="53" applyNumberFormat="1" applyFont="1" applyFill="1" applyBorder="1" applyAlignment="1" applyProtection="1">
      <alignment horizontal="center" vertical="center"/>
      <protection locked="0"/>
    </xf>
    <xf numFmtId="49" fontId="46" fillId="5" borderId="10" xfId="53" applyNumberFormat="1" applyFont="1" applyFill="1" applyBorder="1" applyAlignment="1" applyProtection="1">
      <alignment horizontal="center" vertical="center"/>
      <protection locked="0"/>
    </xf>
    <xf numFmtId="0" fontId="46" fillId="0" borderId="157" xfId="53" applyFont="1" applyBorder="1" applyAlignment="1">
      <alignment horizontal="center" vertical="center"/>
    </xf>
    <xf numFmtId="0" fontId="46" fillId="0" borderId="158" xfId="53" applyFont="1" applyBorder="1" applyAlignment="1">
      <alignment horizontal="center" vertical="center"/>
    </xf>
    <xf numFmtId="0" fontId="46" fillId="0" borderId="193" xfId="53" applyFont="1" applyBorder="1" applyAlignment="1">
      <alignment horizontal="center" vertical="center"/>
    </xf>
    <xf numFmtId="0" fontId="42" fillId="0" borderId="102" xfId="53" applyFont="1" applyBorder="1" applyAlignment="1">
      <alignment horizontal="center" vertical="center" wrapText="1" shrinkToFit="1"/>
    </xf>
    <xf numFmtId="0" fontId="42" fillId="0" borderId="55" xfId="53" applyFont="1" applyBorder="1" applyAlignment="1">
      <alignment horizontal="center" vertical="center" wrapText="1" shrinkToFit="1"/>
    </xf>
    <xf numFmtId="0" fontId="42" fillId="0" borderId="143" xfId="53" applyFont="1" applyBorder="1" applyAlignment="1">
      <alignment horizontal="center" vertical="center"/>
    </xf>
    <xf numFmtId="0" fontId="42" fillId="0" borderId="130" xfId="53" applyFont="1" applyBorder="1" applyAlignment="1">
      <alignment horizontal="center" vertical="center"/>
    </xf>
    <xf numFmtId="0" fontId="42" fillId="0" borderId="103" xfId="53" applyFont="1" applyBorder="1" applyAlignment="1">
      <alignment horizontal="center" vertical="center"/>
    </xf>
    <xf numFmtId="0" fontId="42" fillId="0" borderId="142" xfId="53" applyFont="1" applyBorder="1" applyAlignment="1">
      <alignment horizontal="center" vertical="center"/>
    </xf>
    <xf numFmtId="0" fontId="42" fillId="0" borderId="7" xfId="53" applyFont="1" applyBorder="1" applyAlignment="1">
      <alignment horizontal="center" vertical="center"/>
    </xf>
    <xf numFmtId="0" fontId="42" fillId="0" borderId="8" xfId="53" applyFont="1" applyBorder="1" applyAlignment="1">
      <alignment horizontal="center" vertical="center"/>
    </xf>
    <xf numFmtId="0" fontId="42" fillId="0" borderId="103" xfId="53" applyFont="1" applyBorder="1" applyAlignment="1">
      <alignment horizontal="center" vertical="center" wrapText="1"/>
    </xf>
    <xf numFmtId="0" fontId="42" fillId="0" borderId="7" xfId="53" applyFont="1" applyBorder="1" applyAlignment="1">
      <alignment horizontal="center" vertical="center" wrapText="1"/>
    </xf>
    <xf numFmtId="0" fontId="42" fillId="0" borderId="142" xfId="53" applyFont="1" applyBorder="1" applyAlignment="1">
      <alignment horizontal="center" vertical="center" wrapText="1" shrinkToFit="1"/>
    </xf>
    <xf numFmtId="0" fontId="42" fillId="0" borderId="8" xfId="53" applyFont="1" applyBorder="1" applyAlignment="1">
      <alignment horizontal="center" vertical="center" wrapText="1" shrinkToFit="1"/>
    </xf>
    <xf numFmtId="0" fontId="42" fillId="0" borderId="102" xfId="0" applyFont="1" applyBorder="1" applyAlignment="1">
      <alignment horizontal="center" vertical="center" wrapText="1"/>
    </xf>
    <xf numFmtId="0" fontId="42" fillId="0" borderId="55" xfId="0" applyFont="1" applyBorder="1" applyAlignment="1">
      <alignment horizontal="center" vertical="center"/>
    </xf>
    <xf numFmtId="177" fontId="42" fillId="0" borderId="102" xfId="53" applyNumberFormat="1" applyFont="1" applyBorder="1" applyAlignment="1">
      <alignment horizontal="center" vertical="center"/>
    </xf>
    <xf numFmtId="177" fontId="42" fillId="0" borderId="55" xfId="53" applyNumberFormat="1" applyFont="1" applyBorder="1" applyAlignment="1">
      <alignment horizontal="center" vertical="center"/>
    </xf>
    <xf numFmtId="0" fontId="42" fillId="0" borderId="102" xfId="53" applyFont="1" applyBorder="1" applyAlignment="1">
      <alignment horizontal="center" vertical="center" wrapText="1"/>
    </xf>
    <xf numFmtId="0" fontId="42" fillId="0" borderId="55" xfId="53" applyFont="1" applyBorder="1" applyAlignment="1">
      <alignment horizontal="center" vertical="center" wrapText="1"/>
    </xf>
    <xf numFmtId="0" fontId="52" fillId="0" borderId="52" xfId="53" applyFont="1" applyBorder="1">
      <alignment vertical="center"/>
    </xf>
    <xf numFmtId="0" fontId="52" fillId="0" borderId="41" xfId="53" applyFont="1" applyBorder="1">
      <alignment vertical="center"/>
    </xf>
    <xf numFmtId="176" fontId="47" fillId="4" borderId="133" xfId="3" applyNumberFormat="1" applyFont="1" applyFill="1" applyBorder="1" applyAlignment="1">
      <alignment horizontal="center" vertical="center" wrapText="1"/>
    </xf>
    <xf numFmtId="176" fontId="47" fillId="4" borderId="109" xfId="3" applyNumberFormat="1" applyFont="1" applyFill="1" applyBorder="1" applyAlignment="1">
      <alignment horizontal="center" vertical="center" wrapText="1"/>
    </xf>
    <xf numFmtId="176" fontId="47" fillId="4" borderId="59" xfId="3" applyNumberFormat="1" applyFont="1" applyFill="1" applyBorder="1" applyAlignment="1">
      <alignment horizontal="center" vertical="center" wrapText="1"/>
    </xf>
    <xf numFmtId="176" fontId="47" fillId="4" borderId="162" xfId="3" applyNumberFormat="1" applyFont="1" applyFill="1" applyBorder="1" applyAlignment="1">
      <alignment horizontal="center" vertical="center" wrapText="1"/>
    </xf>
    <xf numFmtId="176" fontId="47" fillId="4" borderId="59" xfId="3" applyNumberFormat="1" applyFont="1" applyFill="1" applyBorder="1" applyAlignment="1">
      <alignment horizontal="center" vertical="center"/>
    </xf>
    <xf numFmtId="176" fontId="47" fillId="4" borderId="162" xfId="3" applyNumberFormat="1" applyFont="1" applyFill="1" applyBorder="1" applyAlignment="1">
      <alignment horizontal="center" vertical="center"/>
    </xf>
    <xf numFmtId="176" fontId="47" fillId="4" borderId="60" xfId="3" applyNumberFormat="1" applyFont="1" applyFill="1" applyBorder="1" applyAlignment="1">
      <alignment horizontal="center" vertical="center"/>
    </xf>
    <xf numFmtId="176" fontId="47" fillId="4" borderId="168" xfId="3" applyNumberFormat="1" applyFont="1" applyFill="1" applyBorder="1" applyAlignment="1">
      <alignment horizontal="center" vertical="center"/>
    </xf>
    <xf numFmtId="0" fontId="47" fillId="4" borderId="61" xfId="3" applyFont="1" applyFill="1" applyBorder="1" applyAlignment="1">
      <alignment horizontal="center" vertical="center" wrapText="1"/>
    </xf>
    <xf numFmtId="0" fontId="47" fillId="4" borderId="55" xfId="3" applyFont="1" applyFill="1" applyBorder="1" applyAlignment="1">
      <alignment horizontal="center" vertical="center" wrapText="1"/>
    </xf>
    <xf numFmtId="0" fontId="47" fillId="4" borderId="58" xfId="3" applyFont="1" applyFill="1" applyBorder="1" applyAlignment="1">
      <alignment horizontal="center" vertical="center" wrapText="1"/>
    </xf>
    <xf numFmtId="0" fontId="47" fillId="4" borderId="169" xfId="3" applyFont="1" applyFill="1" applyBorder="1" applyAlignment="1">
      <alignment horizontal="center" vertical="center" wrapText="1"/>
    </xf>
    <xf numFmtId="198" fontId="47" fillId="4" borderId="61" xfId="3" applyNumberFormat="1" applyFont="1" applyFill="1" applyBorder="1" applyAlignment="1">
      <alignment horizontal="center" vertical="center" wrapText="1"/>
    </xf>
    <xf numFmtId="198" fontId="47" fillId="4" borderId="55" xfId="3" applyNumberFormat="1" applyFont="1" applyFill="1" applyBorder="1" applyAlignment="1">
      <alignment horizontal="center" vertical="center" wrapText="1"/>
    </xf>
    <xf numFmtId="9" fontId="46" fillId="0" borderId="143" xfId="53" applyNumberFormat="1" applyFont="1" applyBorder="1" applyAlignment="1">
      <alignment horizontal="center" vertical="center"/>
    </xf>
    <xf numFmtId="9" fontId="46" fillId="0" borderId="130" xfId="53" applyNumberFormat="1" applyFont="1" applyBorder="1" applyAlignment="1">
      <alignment horizontal="center" vertical="center"/>
    </xf>
    <xf numFmtId="9" fontId="42" fillId="0" borderId="143" xfId="53" applyNumberFormat="1" applyFont="1" applyBorder="1" applyAlignment="1">
      <alignment horizontal="center" vertical="center"/>
    </xf>
    <xf numFmtId="0" fontId="57" fillId="47" borderId="102" xfId="53" applyFont="1" applyFill="1" applyBorder="1" applyAlignment="1">
      <alignment horizontal="center" vertical="center"/>
    </xf>
    <xf numFmtId="0" fontId="57" fillId="47" borderId="55" xfId="53" applyFont="1" applyFill="1" applyBorder="1" applyAlignment="1">
      <alignment horizontal="center" vertical="center"/>
    </xf>
    <xf numFmtId="0" fontId="46" fillId="0" borderId="103" xfId="53" applyFont="1" applyBorder="1" applyAlignment="1">
      <alignment horizontal="center" vertical="center"/>
    </xf>
    <xf numFmtId="0" fontId="46" fillId="0" borderId="141" xfId="53" applyFont="1" applyBorder="1" applyAlignment="1">
      <alignment horizontal="center" vertical="center"/>
    </xf>
    <xf numFmtId="0" fontId="46" fillId="0" borderId="7" xfId="53" applyFont="1" applyBorder="1" applyAlignment="1">
      <alignment horizontal="center" vertical="center"/>
    </xf>
    <xf numFmtId="0" fontId="46" fillId="0" borderId="38" xfId="53" applyFont="1" applyBorder="1" applyAlignment="1">
      <alignment horizontal="center" vertical="center"/>
    </xf>
    <xf numFmtId="180" fontId="42" fillId="0" borderId="85" xfId="53" applyNumberFormat="1" applyFont="1" applyBorder="1">
      <alignment vertical="center"/>
    </xf>
    <xf numFmtId="0" fontId="41" fillId="0" borderId="86" xfId="0" applyFont="1" applyBorder="1">
      <alignment vertical="center"/>
    </xf>
    <xf numFmtId="0" fontId="47" fillId="4" borderId="102" xfId="3" applyFont="1" applyFill="1" applyBorder="1" applyAlignment="1">
      <alignment horizontal="center" vertical="center" wrapText="1"/>
    </xf>
    <xf numFmtId="38" fontId="67" fillId="0" borderId="0" xfId="54" applyFont="1" applyBorder="1" applyAlignment="1" applyProtection="1">
      <alignment horizontal="center" vertical="center"/>
    </xf>
    <xf numFmtId="0" fontId="47" fillId="4" borderId="14" xfId="3" applyFont="1" applyFill="1" applyBorder="1" applyAlignment="1">
      <alignment horizontal="center" vertical="center"/>
    </xf>
    <xf numFmtId="0" fontId="47" fillId="4" borderId="132" xfId="3" applyFont="1" applyFill="1" applyBorder="1" applyAlignment="1">
      <alignment horizontal="center" vertical="center"/>
    </xf>
    <xf numFmtId="0" fontId="47" fillId="4" borderId="166" xfId="3" applyFont="1" applyFill="1" applyBorder="1" applyAlignment="1">
      <alignment horizontal="center" vertical="center"/>
    </xf>
    <xf numFmtId="0" fontId="47" fillId="4" borderId="167" xfId="3" applyFont="1" applyFill="1" applyBorder="1" applyAlignment="1">
      <alignment horizontal="center" vertical="center"/>
    </xf>
    <xf numFmtId="0" fontId="47" fillId="4" borderId="38" xfId="3" applyFont="1" applyFill="1" applyBorder="1" applyAlignment="1">
      <alignment horizontal="center" vertical="center"/>
    </xf>
    <xf numFmtId="0" fontId="47" fillId="4" borderId="8" xfId="3" applyFont="1" applyFill="1" applyBorder="1" applyAlignment="1">
      <alignment horizontal="center" vertical="center"/>
    </xf>
    <xf numFmtId="0" fontId="47" fillId="4" borderId="18" xfId="3" applyFont="1" applyFill="1" applyBorder="1" applyAlignment="1">
      <alignment horizontal="center" vertical="center"/>
    </xf>
    <xf numFmtId="0" fontId="47" fillId="4" borderId="150" xfId="3" applyFont="1" applyFill="1" applyBorder="1" applyAlignment="1">
      <alignment horizontal="center" vertical="center"/>
    </xf>
    <xf numFmtId="0" fontId="47" fillId="4" borderId="64" xfId="3" applyFont="1" applyFill="1" applyBorder="1" applyAlignment="1">
      <alignment horizontal="center" vertical="center"/>
    </xf>
    <xf numFmtId="0" fontId="42" fillId="29" borderId="71" xfId="3" applyFont="1" applyFill="1" applyBorder="1" applyAlignment="1">
      <alignment horizontal="center" vertical="center"/>
    </xf>
    <xf numFmtId="0" fontId="42" fillId="29" borderId="89" xfId="3" applyFont="1" applyFill="1" applyBorder="1" applyAlignment="1">
      <alignment horizontal="center" vertical="center"/>
    </xf>
    <xf numFmtId="0" fontId="42" fillId="29" borderId="28" xfId="3" applyFont="1" applyFill="1" applyBorder="1" applyAlignment="1">
      <alignment horizontal="center" vertical="center"/>
    </xf>
    <xf numFmtId="0" fontId="42" fillId="29" borderId="90" xfId="3" applyFont="1" applyFill="1" applyBorder="1" applyAlignment="1">
      <alignment horizontal="center" vertical="center"/>
    </xf>
    <xf numFmtId="0" fontId="42" fillId="29" borderId="94" xfId="3" applyFont="1" applyFill="1" applyBorder="1" applyAlignment="1">
      <alignment horizontal="center" vertical="center"/>
    </xf>
    <xf numFmtId="0" fontId="42" fillId="29" borderId="93" xfId="3" applyFont="1" applyFill="1" applyBorder="1" applyAlignment="1">
      <alignment horizontal="center" vertical="center"/>
    </xf>
    <xf numFmtId="0" fontId="42" fillId="0" borderId="71" xfId="0" applyFont="1" applyBorder="1" applyAlignment="1">
      <alignment horizontal="center" vertical="center"/>
    </xf>
    <xf numFmtId="0" fontId="42" fillId="0" borderId="89" xfId="0" applyFont="1" applyBorder="1" applyAlignment="1">
      <alignment horizontal="center" vertical="center"/>
    </xf>
    <xf numFmtId="0" fontId="42" fillId="0" borderId="28" xfId="0" applyFont="1" applyBorder="1" applyAlignment="1">
      <alignment horizontal="center" vertical="center"/>
    </xf>
    <xf numFmtId="0" fontId="42" fillId="0" borderId="90" xfId="0" applyFont="1" applyBorder="1" applyAlignment="1">
      <alignment horizontal="center" vertical="center"/>
    </xf>
    <xf numFmtId="0" fontId="42" fillId="0" borderId="102" xfId="3" applyFont="1" applyBorder="1" applyAlignment="1">
      <alignment horizontal="center" vertical="center" textRotation="255" wrapText="1"/>
    </xf>
    <xf numFmtId="0" fontId="42" fillId="0" borderId="81" xfId="3" applyFont="1" applyBorder="1" applyAlignment="1">
      <alignment horizontal="center" vertical="center" textRotation="255" wrapText="1"/>
    </xf>
    <xf numFmtId="0" fontId="42" fillId="0" borderId="190" xfId="3" applyFont="1" applyBorder="1" applyAlignment="1">
      <alignment horizontal="center" vertical="center" textRotation="255" wrapText="1"/>
    </xf>
    <xf numFmtId="0" fontId="42" fillId="0" borderId="18" xfId="3" applyFont="1" applyBorder="1" applyAlignment="1">
      <alignment horizontal="center" vertical="center"/>
    </xf>
    <xf numFmtId="0" fontId="42" fillId="0" borderId="150" xfId="3" applyFont="1" applyBorder="1" applyAlignment="1">
      <alignment horizontal="center" vertical="center"/>
    </xf>
    <xf numFmtId="0" fontId="42" fillId="0" borderId="64" xfId="3" applyFont="1" applyBorder="1" applyAlignment="1">
      <alignment horizontal="center" vertical="center"/>
    </xf>
    <xf numFmtId="0" fontId="42" fillId="0" borderId="121" xfId="3" applyFont="1" applyBorder="1">
      <alignment vertical="center"/>
    </xf>
    <xf numFmtId="0" fontId="42" fillId="0" borderId="122" xfId="3" applyFont="1" applyBorder="1">
      <alignment vertical="center"/>
    </xf>
    <xf numFmtId="0" fontId="42" fillId="0" borderId="123" xfId="3" applyFont="1" applyBorder="1">
      <alignment vertical="center"/>
    </xf>
    <xf numFmtId="0" fontId="47" fillId="4" borderId="101" xfId="3" applyFont="1" applyFill="1" applyBorder="1" applyAlignment="1">
      <alignment horizontal="center" vertical="center"/>
    </xf>
    <xf numFmtId="0" fontId="47" fillId="4" borderId="0" xfId="3" applyFont="1" applyFill="1" applyAlignment="1">
      <alignment horizontal="center" vertical="center"/>
    </xf>
    <xf numFmtId="0" fontId="47" fillId="4" borderId="68" xfId="3" applyFont="1" applyFill="1" applyBorder="1" applyAlignment="1">
      <alignment horizontal="center" vertical="center"/>
    </xf>
    <xf numFmtId="0" fontId="44" fillId="3" borderId="0" xfId="3" applyFont="1" applyFill="1" applyAlignment="1">
      <alignment horizontal="center" vertical="center"/>
    </xf>
    <xf numFmtId="198" fontId="47" fillId="4" borderId="58" xfId="3" applyNumberFormat="1" applyFont="1" applyFill="1" applyBorder="1" applyAlignment="1">
      <alignment horizontal="center" vertical="center" wrapText="1"/>
    </xf>
    <xf numFmtId="198" fontId="47" fillId="4" borderId="169" xfId="3" applyNumberFormat="1" applyFont="1" applyFill="1" applyBorder="1" applyAlignment="1">
      <alignment horizontal="center" vertical="center" wrapText="1"/>
    </xf>
    <xf numFmtId="0" fontId="42" fillId="0" borderId="102" xfId="3" applyFont="1" applyBorder="1" applyAlignment="1">
      <alignment horizontal="center" vertical="center" textRotation="255"/>
    </xf>
    <xf numFmtId="0" fontId="42" fillId="0" borderId="81" xfId="3" applyFont="1" applyBorder="1" applyAlignment="1">
      <alignment horizontal="center" vertical="center" textRotation="255"/>
    </xf>
    <xf numFmtId="0" fontId="42" fillId="0" borderId="55" xfId="3" applyFont="1" applyBorder="1" applyAlignment="1">
      <alignment horizontal="center" vertical="center" textRotation="255"/>
    </xf>
    <xf numFmtId="0" fontId="57" fillId="4" borderId="166" xfId="3" applyFont="1" applyFill="1" applyBorder="1" applyAlignment="1">
      <alignment horizontal="center" vertical="center"/>
    </xf>
    <xf numFmtId="0" fontId="57" fillId="4" borderId="64" xfId="3" applyFont="1" applyFill="1" applyBorder="1" applyAlignment="1">
      <alignment horizontal="center" vertical="center"/>
    </xf>
    <xf numFmtId="0" fontId="47" fillId="4" borderId="16" xfId="3" applyFont="1" applyFill="1" applyBorder="1" applyAlignment="1">
      <alignment horizontal="center" vertical="center" wrapText="1"/>
    </xf>
    <xf numFmtId="0" fontId="47" fillId="4" borderId="15" xfId="3" applyFont="1" applyFill="1" applyBorder="1" applyAlignment="1">
      <alignment horizontal="center" vertical="center" wrapText="1"/>
    </xf>
    <xf numFmtId="0" fontId="47" fillId="4" borderId="19" xfId="3" applyFont="1" applyFill="1" applyBorder="1" applyAlignment="1">
      <alignment horizontal="center" vertical="center" wrapText="1"/>
    </xf>
    <xf numFmtId="0" fontId="47" fillId="4" borderId="20" xfId="3" applyFont="1" applyFill="1" applyBorder="1" applyAlignment="1">
      <alignment horizontal="center" vertical="center" wrapText="1"/>
    </xf>
    <xf numFmtId="183" fontId="51" fillId="0" borderId="77" xfId="3" applyNumberFormat="1" applyFont="1" applyBorder="1">
      <alignment vertical="center"/>
    </xf>
    <xf numFmtId="183" fontId="51" fillId="0" borderId="155" xfId="3" applyNumberFormat="1" applyFont="1" applyBorder="1">
      <alignment vertical="center"/>
    </xf>
    <xf numFmtId="183" fontId="42" fillId="5" borderId="67" xfId="3" applyNumberFormat="1" applyFont="1" applyFill="1" applyBorder="1" applyAlignment="1" applyProtection="1">
      <alignment vertical="center" shrinkToFit="1"/>
      <protection locked="0"/>
    </xf>
    <xf numFmtId="183" fontId="42" fillId="5" borderId="153" xfId="3" applyNumberFormat="1" applyFont="1" applyFill="1" applyBorder="1" applyAlignment="1" applyProtection="1">
      <alignment vertical="center" shrinkToFit="1"/>
      <protection locked="0"/>
    </xf>
    <xf numFmtId="183" fontId="42" fillId="5" borderId="31" xfId="3" applyNumberFormat="1" applyFont="1" applyFill="1" applyBorder="1" applyAlignment="1" applyProtection="1">
      <alignment vertical="center" shrinkToFit="1"/>
      <protection locked="0"/>
    </xf>
    <xf numFmtId="183" fontId="42" fillId="5" borderId="152" xfId="3" applyNumberFormat="1" applyFont="1" applyFill="1" applyBorder="1" applyAlignment="1" applyProtection="1">
      <alignment vertical="center" shrinkToFit="1"/>
      <protection locked="0"/>
    </xf>
    <xf numFmtId="183" fontId="42" fillId="5" borderId="99" xfId="3" applyNumberFormat="1" applyFont="1" applyFill="1" applyBorder="1" applyAlignment="1" applyProtection="1">
      <alignment vertical="center" shrinkToFit="1"/>
      <protection locked="0"/>
    </xf>
    <xf numFmtId="183" fontId="42" fillId="5" borderId="189" xfId="3" applyNumberFormat="1" applyFont="1" applyFill="1" applyBorder="1" applyAlignment="1" applyProtection="1">
      <alignment vertical="center" shrinkToFit="1"/>
      <protection locked="0"/>
    </xf>
    <xf numFmtId="0" fontId="42" fillId="5" borderId="65" xfId="3" applyFont="1" applyFill="1" applyBorder="1" applyAlignment="1" applyProtection="1">
      <alignment horizontal="center" vertical="center"/>
      <protection locked="0"/>
    </xf>
    <xf numFmtId="0" fontId="42" fillId="5" borderId="66" xfId="3" applyFont="1" applyFill="1" applyBorder="1" applyAlignment="1" applyProtection="1">
      <alignment horizontal="center" vertical="center"/>
      <protection locked="0"/>
    </xf>
    <xf numFmtId="0" fontId="42" fillId="5" borderId="69" xfId="3" applyFont="1" applyFill="1" applyBorder="1" applyAlignment="1" applyProtection="1">
      <alignment horizontal="center" vertical="center"/>
      <protection locked="0"/>
    </xf>
    <xf numFmtId="0" fontId="42" fillId="5" borderId="54" xfId="3" applyFont="1" applyFill="1" applyBorder="1" applyAlignment="1" applyProtection="1">
      <alignment horizontal="center" vertical="center"/>
      <protection locked="0"/>
    </xf>
    <xf numFmtId="0" fontId="42" fillId="5" borderId="29" xfId="3" applyFont="1" applyFill="1" applyBorder="1" applyAlignment="1" applyProtection="1">
      <alignment horizontal="center" vertical="center"/>
      <protection locked="0"/>
    </xf>
    <xf numFmtId="0" fontId="42" fillId="5" borderId="30" xfId="3" applyFont="1" applyFill="1" applyBorder="1" applyAlignment="1" applyProtection="1">
      <alignment horizontal="center" vertical="center"/>
      <protection locked="0"/>
    </xf>
    <xf numFmtId="0" fontId="42" fillId="5" borderId="188" xfId="3" applyFont="1" applyFill="1" applyBorder="1" applyAlignment="1" applyProtection="1">
      <alignment horizontal="center" vertical="center"/>
      <protection locked="0"/>
    </xf>
    <xf numFmtId="0" fontId="42" fillId="5" borderId="96" xfId="3" applyFont="1" applyFill="1" applyBorder="1" applyAlignment="1" applyProtection="1">
      <alignment horizontal="center" vertical="center"/>
      <protection locked="0"/>
    </xf>
    <xf numFmtId="0" fontId="42" fillId="5" borderId="97" xfId="3"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2" fillId="0" borderId="37"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38"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distributed" vertical="center"/>
    </xf>
    <xf numFmtId="0" fontId="42" fillId="0" borderId="37" xfId="0" applyFont="1" applyBorder="1" applyAlignment="1">
      <alignment horizontal="distributed" vertical="center"/>
    </xf>
    <xf numFmtId="0" fontId="42" fillId="0" borderId="6" xfId="0" applyFont="1" applyBorder="1" applyAlignment="1">
      <alignment horizontal="distributed" vertical="center"/>
    </xf>
    <xf numFmtId="0" fontId="42" fillId="0" borderId="56" xfId="0" applyFont="1" applyBorder="1" applyAlignment="1">
      <alignment horizontal="distributed" vertical="center"/>
    </xf>
    <xf numFmtId="0" fontId="42" fillId="0" borderId="0" xfId="0" applyFont="1" applyAlignment="1">
      <alignment horizontal="distributed" vertical="center"/>
    </xf>
    <xf numFmtId="0" fontId="42" fillId="0" borderId="68" xfId="0" applyFont="1" applyBorder="1" applyAlignment="1">
      <alignment horizontal="distributed" vertical="center"/>
    </xf>
    <xf numFmtId="0" fontId="42" fillId="0" borderId="7" xfId="0" applyFont="1" applyBorder="1" applyAlignment="1">
      <alignment horizontal="distributed" vertical="center"/>
    </xf>
    <xf numFmtId="0" fontId="42" fillId="0" borderId="38" xfId="0" applyFont="1" applyBorder="1" applyAlignment="1">
      <alignment horizontal="distributed" vertical="center"/>
    </xf>
    <xf numFmtId="0" fontId="42" fillId="0" borderId="8" xfId="0" applyFont="1" applyBorder="1" applyAlignment="1">
      <alignment horizontal="distributed" vertical="center"/>
    </xf>
    <xf numFmtId="0" fontId="42" fillId="0" borderId="2" xfId="0" applyFont="1" applyBorder="1" applyAlignment="1">
      <alignment horizontal="center" vertical="center"/>
    </xf>
    <xf numFmtId="0" fontId="46" fillId="0" borderId="1" xfId="0" applyFont="1" applyBorder="1">
      <alignment vertical="center"/>
    </xf>
    <xf numFmtId="0" fontId="42" fillId="0" borderId="1" xfId="0" applyFont="1" applyBorder="1" applyAlignment="1">
      <alignment horizontal="center" vertical="center"/>
    </xf>
    <xf numFmtId="0" fontId="42" fillId="0" borderId="2" xfId="0" applyFont="1" applyBorder="1" applyAlignment="1">
      <alignment horizontal="left" vertical="center"/>
    </xf>
    <xf numFmtId="0" fontId="42" fillId="0" borderId="4" xfId="0" applyFont="1" applyBorder="1" applyAlignment="1">
      <alignment horizontal="left" vertical="center"/>
    </xf>
    <xf numFmtId="0" fontId="46" fillId="0" borderId="0" xfId="0" applyFont="1" applyAlignment="1">
      <alignment horizontal="distributed" vertical="center"/>
    </xf>
    <xf numFmtId="0" fontId="42" fillId="0" borderId="34" xfId="0" applyFont="1" applyBorder="1" applyAlignment="1">
      <alignment horizontal="center" vertical="center" textRotation="255"/>
    </xf>
    <xf numFmtId="0" fontId="42" fillId="0" borderId="55" xfId="0" applyFont="1" applyBorder="1" applyAlignment="1">
      <alignment horizontal="center" vertical="center" textRotation="255"/>
    </xf>
    <xf numFmtId="0" fontId="42" fillId="0" borderId="0" xfId="0" applyFont="1" applyAlignment="1">
      <alignment horizontal="left" vertical="center" wrapText="1"/>
    </xf>
    <xf numFmtId="0" fontId="46" fillId="0" borderId="0" xfId="0" applyFont="1" applyAlignment="1">
      <alignment vertical="center" wrapText="1"/>
    </xf>
    <xf numFmtId="0" fontId="42" fillId="0" borderId="56" xfId="0" applyFont="1" applyBorder="1" applyAlignment="1">
      <alignment horizontal="center" vertical="center" wrapText="1"/>
    </xf>
    <xf numFmtId="0" fontId="42" fillId="0" borderId="0" xfId="0" applyFont="1" applyAlignment="1">
      <alignment horizontal="center" vertical="center" wrapText="1"/>
    </xf>
    <xf numFmtId="0" fontId="42" fillId="0" borderId="68" xfId="0" applyFont="1" applyBorder="1" applyAlignment="1">
      <alignment horizontal="center" vertical="center" wrapText="1"/>
    </xf>
    <xf numFmtId="0" fontId="46" fillId="0" borderId="1" xfId="0" applyFont="1" applyBorder="1" applyAlignment="1">
      <alignment horizontal="left" vertical="center" wrapText="1"/>
    </xf>
    <xf numFmtId="0" fontId="42" fillId="32" borderId="143" xfId="0" applyFont="1" applyFill="1" applyBorder="1" applyAlignment="1">
      <alignment horizontal="center" vertical="center" wrapText="1"/>
    </xf>
    <xf numFmtId="0" fontId="42" fillId="32" borderId="137" xfId="0" applyFont="1" applyFill="1" applyBorder="1" applyAlignment="1">
      <alignment horizontal="center" vertical="center" wrapText="1"/>
    </xf>
    <xf numFmtId="0" fontId="42" fillId="32" borderId="130" xfId="0" applyFont="1" applyFill="1" applyBorder="1" applyAlignment="1">
      <alignment horizontal="center" vertical="center" wrapText="1"/>
    </xf>
    <xf numFmtId="0" fontId="46" fillId="32" borderId="2" xfId="0" applyFont="1" applyFill="1" applyBorder="1" applyAlignment="1">
      <alignment horizontal="center" vertical="center"/>
    </xf>
    <xf numFmtId="0" fontId="46" fillId="32" borderId="3" xfId="0" applyFont="1" applyFill="1" applyBorder="1" applyAlignment="1">
      <alignment horizontal="center" vertical="center"/>
    </xf>
    <xf numFmtId="0" fontId="46" fillId="32" borderId="143" xfId="0" applyFont="1" applyFill="1" applyBorder="1" applyAlignment="1">
      <alignment horizontal="center" vertical="center"/>
    </xf>
    <xf numFmtId="0" fontId="46" fillId="32" borderId="137" xfId="0" applyFont="1" applyFill="1" applyBorder="1" applyAlignment="1">
      <alignment horizontal="center" vertical="center"/>
    </xf>
    <xf numFmtId="0" fontId="46" fillId="32" borderId="130" xfId="0" applyFont="1" applyFill="1" applyBorder="1" applyAlignment="1">
      <alignment horizontal="center" vertical="center"/>
    </xf>
    <xf numFmtId="0" fontId="42" fillId="32" borderId="2" xfId="0" applyFont="1" applyFill="1" applyBorder="1" applyAlignment="1">
      <alignment horizontal="distributed" vertical="center" wrapText="1"/>
    </xf>
    <xf numFmtId="0" fontId="42" fillId="32" borderId="3" xfId="0" applyFont="1" applyFill="1" applyBorder="1" applyAlignment="1">
      <alignment horizontal="distributed" vertical="center" wrapText="1"/>
    </xf>
    <xf numFmtId="0" fontId="42" fillId="32" borderId="4" xfId="0" applyFont="1" applyFill="1" applyBorder="1" applyAlignment="1">
      <alignment horizontal="distributed"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2" fillId="32" borderId="5" xfId="0" applyFont="1" applyFill="1" applyBorder="1" applyAlignment="1">
      <alignment horizontal="distributed" vertical="center" wrapText="1"/>
    </xf>
    <xf numFmtId="0" fontId="42" fillId="32" borderId="37" xfId="0" applyFont="1" applyFill="1" applyBorder="1" applyAlignment="1">
      <alignment horizontal="distributed" vertical="center" wrapText="1"/>
    </xf>
    <xf numFmtId="0" fontId="46" fillId="0" borderId="141" xfId="0" applyFont="1" applyBorder="1" applyAlignment="1">
      <alignment horizontal="center" vertical="center" wrapText="1"/>
    </xf>
    <xf numFmtId="0" fontId="46" fillId="0" borderId="0" xfId="0" applyFont="1" applyAlignment="1">
      <alignment horizontal="center" vertical="center" wrapText="1"/>
    </xf>
    <xf numFmtId="0" fontId="46" fillId="0" borderId="38" xfId="0" applyFont="1" applyBorder="1" applyAlignment="1">
      <alignment horizontal="center" vertical="center" wrapText="1"/>
    </xf>
    <xf numFmtId="2" fontId="46" fillId="0" borderId="2" xfId="0" applyNumberFormat="1" applyFont="1" applyBorder="1">
      <alignment vertical="center"/>
    </xf>
    <xf numFmtId="2" fontId="46" fillId="0" borderId="137" xfId="0" applyNumberFormat="1" applyFont="1" applyBorder="1">
      <alignment vertical="center"/>
    </xf>
    <xf numFmtId="0" fontId="42" fillId="0" borderId="130" xfId="0" applyFont="1" applyBorder="1" applyAlignment="1">
      <alignment horizontal="center" vertical="center"/>
    </xf>
    <xf numFmtId="0" fontId="42" fillId="32" borderId="103" xfId="0" applyFont="1" applyFill="1" applyBorder="1" applyAlignment="1">
      <alignment horizontal="distributed" vertical="center" wrapText="1"/>
    </xf>
    <xf numFmtId="0" fontId="42" fillId="0" borderId="141" xfId="0" applyFont="1" applyBorder="1" applyAlignment="1">
      <alignment horizontal="distributed" vertical="center" wrapText="1"/>
    </xf>
    <xf numFmtId="0" fontId="42" fillId="0" borderId="142" xfId="0" applyFont="1" applyBorder="1" applyAlignment="1">
      <alignment horizontal="distributed" vertical="center" wrapText="1"/>
    </xf>
    <xf numFmtId="0" fontId="42" fillId="0" borderId="56" xfId="0" applyFont="1" applyBorder="1" applyAlignment="1">
      <alignment horizontal="distributed" vertical="center" wrapText="1"/>
    </xf>
    <xf numFmtId="0" fontId="42" fillId="0" borderId="0" xfId="0" applyFont="1" applyAlignment="1">
      <alignment horizontal="distributed" vertical="center" wrapText="1"/>
    </xf>
    <xf numFmtId="0" fontId="42" fillId="0" borderId="68" xfId="0" applyFont="1" applyBorder="1" applyAlignment="1">
      <alignment horizontal="distributed" vertical="center" wrapText="1"/>
    </xf>
    <xf numFmtId="0" fontId="42" fillId="0" borderId="7" xfId="0" applyFont="1" applyBorder="1" applyAlignment="1">
      <alignment horizontal="distributed" vertical="center" wrapText="1"/>
    </xf>
    <xf numFmtId="0" fontId="42" fillId="0" borderId="38" xfId="0" applyFont="1" applyBorder="1" applyAlignment="1">
      <alignment horizontal="distributed" vertical="center" wrapText="1"/>
    </xf>
    <xf numFmtId="0" fontId="42" fillId="0" borderId="8" xfId="0" applyFont="1" applyBorder="1" applyAlignment="1">
      <alignment horizontal="distributed" vertical="center" wrapText="1"/>
    </xf>
    <xf numFmtId="0" fontId="46" fillId="0" borderId="130" xfId="0" applyFont="1" applyBorder="1" applyAlignment="1">
      <alignment horizontal="center" vertical="center"/>
    </xf>
    <xf numFmtId="0" fontId="46" fillId="32" borderId="143" xfId="0" applyFont="1" applyFill="1" applyBorder="1" applyAlignment="1">
      <alignment horizontal="center" vertical="center" wrapText="1"/>
    </xf>
    <xf numFmtId="1" fontId="46" fillId="0" borderId="3" xfId="50" applyNumberFormat="1" applyFont="1" applyBorder="1">
      <alignment vertical="center"/>
    </xf>
    <xf numFmtId="0" fontId="46" fillId="32" borderId="103" xfId="0" applyFont="1" applyFill="1" applyBorder="1" applyAlignment="1">
      <alignment horizontal="center" vertical="center" wrapText="1"/>
    </xf>
    <xf numFmtId="0" fontId="46" fillId="0" borderId="141" xfId="0" applyFont="1" applyBorder="1" applyAlignment="1">
      <alignment horizontal="center" vertical="center"/>
    </xf>
    <xf numFmtId="0" fontId="46" fillId="0" borderId="56" xfId="0" applyFont="1" applyBorder="1" applyAlignment="1">
      <alignment horizontal="center" vertical="center"/>
    </xf>
    <xf numFmtId="0" fontId="46" fillId="0" borderId="7" xfId="0" applyFont="1" applyBorder="1" applyAlignment="1">
      <alignment horizontal="center" vertical="center"/>
    </xf>
    <xf numFmtId="0" fontId="46" fillId="0" borderId="38" xfId="0" applyFont="1" applyBorder="1" applyAlignment="1">
      <alignment horizontal="center" vertical="center"/>
    </xf>
    <xf numFmtId="0" fontId="46" fillId="32" borderId="1" xfId="0" applyFont="1" applyFill="1" applyBorder="1" applyAlignment="1">
      <alignment horizontal="center" vertical="center"/>
    </xf>
    <xf numFmtId="2" fontId="46" fillId="0" borderId="3" xfId="0" applyNumberFormat="1" applyFont="1" applyBorder="1">
      <alignment vertical="center"/>
    </xf>
    <xf numFmtId="0" fontId="46" fillId="0" borderId="2" xfId="0" applyFont="1" applyBorder="1" applyAlignment="1">
      <alignment horizontal="right" vertical="center"/>
    </xf>
    <xf numFmtId="0" fontId="46" fillId="0" borderId="4" xfId="0" applyFont="1" applyBorder="1" applyAlignment="1">
      <alignment horizontal="right" vertical="center"/>
    </xf>
    <xf numFmtId="0" fontId="42" fillId="32" borderId="1" xfId="0" applyFont="1" applyFill="1" applyBorder="1" applyAlignment="1">
      <alignment horizontal="distributed" vertical="center" wrapText="1"/>
    </xf>
    <xf numFmtId="0" fontId="42" fillId="32" borderId="6" xfId="0" applyFont="1" applyFill="1" applyBorder="1" applyAlignment="1">
      <alignment horizontal="distributed" vertical="center" wrapText="1"/>
    </xf>
    <xf numFmtId="0" fontId="42" fillId="32" borderId="56" xfId="0" applyFont="1" applyFill="1" applyBorder="1" applyAlignment="1">
      <alignment horizontal="distributed" vertical="center" wrapText="1"/>
    </xf>
    <xf numFmtId="0" fontId="42" fillId="32" borderId="0" xfId="0" applyFont="1" applyFill="1" applyAlignment="1">
      <alignment horizontal="distributed" vertical="center" wrapText="1"/>
    </xf>
    <xf numFmtId="0" fontId="42" fillId="32" borderId="68" xfId="0" applyFont="1" applyFill="1" applyBorder="1" applyAlignment="1">
      <alignment horizontal="distributed" vertical="center" wrapText="1"/>
    </xf>
    <xf numFmtId="0" fontId="42" fillId="32" borderId="7" xfId="0" applyFont="1" applyFill="1" applyBorder="1" applyAlignment="1">
      <alignment horizontal="distributed" vertical="center" wrapText="1"/>
    </xf>
    <xf numFmtId="0" fontId="42" fillId="32" borderId="38" xfId="0" applyFont="1" applyFill="1" applyBorder="1" applyAlignment="1">
      <alignment horizontal="distributed" vertical="center" wrapText="1"/>
    </xf>
    <xf numFmtId="0" fontId="42" fillId="32" borderId="8" xfId="0" applyFont="1" applyFill="1" applyBorder="1" applyAlignment="1">
      <alignment horizontal="distributed" vertical="center" wrapText="1"/>
    </xf>
    <xf numFmtId="178" fontId="46" fillId="0" borderId="2" xfId="0" applyNumberFormat="1" applyFont="1" applyBorder="1">
      <alignment vertical="center"/>
    </xf>
    <xf numFmtId="178" fontId="46" fillId="0" borderId="3" xfId="0" applyNumberFormat="1" applyFont="1" applyBorder="1">
      <alignment vertical="center"/>
    </xf>
    <xf numFmtId="0" fontId="46" fillId="0" borderId="142" xfId="0" applyFont="1" applyBorder="1" applyAlignment="1">
      <alignment horizontal="center" vertical="center" wrapText="1"/>
    </xf>
    <xf numFmtId="0" fontId="46" fillId="0" borderId="68" xfId="0" applyFont="1" applyBorder="1" applyAlignment="1">
      <alignment horizontal="center" vertical="center" wrapText="1"/>
    </xf>
    <xf numFmtId="0" fontId="46" fillId="0" borderId="8" xfId="0" applyFont="1" applyBorder="1" applyAlignment="1">
      <alignment horizontal="center" vertical="center" wrapText="1"/>
    </xf>
    <xf numFmtId="0" fontId="46" fillId="32" borderId="108" xfId="0" applyFont="1" applyFill="1" applyBorder="1" applyAlignment="1">
      <alignment horizontal="center" vertical="center"/>
    </xf>
    <xf numFmtId="0" fontId="46" fillId="32" borderId="2" xfId="0" applyFont="1" applyFill="1" applyBorder="1" applyAlignment="1">
      <alignment horizontal="center" vertical="center" wrapText="1"/>
    </xf>
    <xf numFmtId="0" fontId="46" fillId="0" borderId="137" xfId="0" applyFont="1" applyBorder="1" applyAlignment="1">
      <alignment horizontal="center" vertical="center"/>
    </xf>
    <xf numFmtId="0" fontId="46" fillId="32" borderId="7" xfId="0" applyFont="1" applyFill="1" applyBorder="1" applyAlignment="1">
      <alignment horizontal="center" vertical="center" wrapText="1"/>
    </xf>
    <xf numFmtId="0" fontId="46" fillId="0" borderId="38" xfId="0" applyFont="1" applyBorder="1">
      <alignment vertical="center"/>
    </xf>
    <xf numFmtId="0" fontId="46" fillId="0" borderId="108" xfId="0" applyFont="1" applyBorder="1">
      <alignment vertical="center"/>
    </xf>
    <xf numFmtId="0" fontId="46" fillId="0" borderId="108" xfId="0" applyFont="1" applyBorder="1" applyAlignment="1">
      <alignment horizontal="left" vertical="center" wrapText="1"/>
    </xf>
    <xf numFmtId="0" fontId="46" fillId="32" borderId="55" xfId="0" applyFont="1" applyFill="1" applyBorder="1" applyAlignment="1">
      <alignment horizontal="center"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33" borderId="1" xfId="0" applyFont="1" applyFill="1" applyBorder="1" applyAlignment="1" applyProtection="1">
      <alignment horizontal="left" vertical="center" wrapText="1"/>
      <protection locked="0"/>
    </xf>
    <xf numFmtId="0" fontId="42" fillId="40" borderId="1" xfId="0" applyFont="1" applyFill="1" applyBorder="1" applyAlignment="1" applyProtection="1">
      <alignment horizontal="left" vertical="center" wrapText="1"/>
      <protection locked="0"/>
    </xf>
    <xf numFmtId="0" fontId="42" fillId="0" borderId="1" xfId="49" applyFont="1" applyBorder="1" applyAlignment="1">
      <alignment horizontal="distributed" vertical="center" wrapText="1"/>
    </xf>
    <xf numFmtId="0" fontId="42" fillId="0" borderId="1" xfId="2" applyFont="1" applyBorder="1" applyAlignment="1">
      <alignment horizontal="distributed" vertical="center"/>
    </xf>
    <xf numFmtId="0" fontId="42" fillId="0" borderId="2" xfId="0" applyFont="1" applyBorder="1" applyAlignment="1">
      <alignment vertical="center" wrapText="1"/>
    </xf>
    <xf numFmtId="0" fontId="42" fillId="0" borderId="3" xfId="0" applyFont="1" applyBorder="1" applyAlignment="1">
      <alignment vertical="center" wrapText="1"/>
    </xf>
    <xf numFmtId="0" fontId="42" fillId="0" borderId="1" xfId="49" applyFont="1" applyBorder="1" applyAlignment="1">
      <alignment horizontal="center" vertical="center"/>
    </xf>
    <xf numFmtId="0" fontId="42" fillId="0" borderId="5" xfId="0" applyFont="1" applyBorder="1" applyAlignment="1">
      <alignment vertical="center" wrapText="1"/>
    </xf>
    <xf numFmtId="0" fontId="42" fillId="0" borderId="37" xfId="0" applyFont="1" applyBorder="1" applyAlignment="1">
      <alignment vertical="center" wrapText="1"/>
    </xf>
    <xf numFmtId="0" fontId="42" fillId="0" borderId="7" xfId="0" applyFont="1" applyBorder="1" applyAlignment="1">
      <alignment vertical="center" wrapText="1"/>
    </xf>
    <xf numFmtId="0" fontId="42" fillId="0" borderId="38" xfId="0" applyFont="1" applyBorder="1" applyAlignment="1">
      <alignment vertical="center" wrapText="1"/>
    </xf>
    <xf numFmtId="0" fontId="42" fillId="0" borderId="6" xfId="0" applyFont="1" applyBorder="1" applyAlignment="1">
      <alignment horizontal="left" vertical="center" wrapText="1"/>
    </xf>
    <xf numFmtId="0" fontId="42" fillId="0" borderId="8" xfId="0" applyFont="1" applyBorder="1" applyAlignment="1">
      <alignment horizontal="left" vertical="center" wrapText="1"/>
    </xf>
    <xf numFmtId="0" fontId="42" fillId="29" borderId="5" xfId="49" applyFont="1" applyFill="1" applyBorder="1" applyAlignment="1">
      <alignment horizontal="center" vertical="center" wrapText="1"/>
    </xf>
    <xf numFmtId="0" fontId="42" fillId="29" borderId="6" xfId="49" applyFont="1" applyFill="1" applyBorder="1" applyAlignment="1">
      <alignment horizontal="center" vertical="center" wrapText="1"/>
    </xf>
    <xf numFmtId="0" fontId="42" fillId="29" borderId="56" xfId="49" applyFont="1" applyFill="1" applyBorder="1" applyAlignment="1">
      <alignment horizontal="center" vertical="center" wrapText="1"/>
    </xf>
    <xf numFmtId="0" fontId="42" fillId="29" borderId="68" xfId="49" applyFont="1" applyFill="1" applyBorder="1" applyAlignment="1">
      <alignment horizontal="center" vertical="center" wrapText="1"/>
    </xf>
    <xf numFmtId="0" fontId="42" fillId="29" borderId="7" xfId="49" applyFont="1" applyFill="1" applyBorder="1" applyAlignment="1">
      <alignment horizontal="center" vertical="center" wrapText="1"/>
    </xf>
    <xf numFmtId="0" fontId="42" fillId="29" borderId="8" xfId="49" applyFont="1" applyFill="1" applyBorder="1" applyAlignment="1">
      <alignment horizontal="center" vertical="center" wrapText="1"/>
    </xf>
    <xf numFmtId="186" fontId="42" fillId="0" borderId="2" xfId="0" applyNumberFormat="1" applyFont="1" applyBorder="1" applyAlignment="1">
      <alignment horizontal="center" vertical="center" wrapText="1"/>
    </xf>
    <xf numFmtId="186" fontId="42" fillId="0" borderId="3" xfId="0" applyNumberFormat="1" applyFont="1" applyBorder="1" applyAlignment="1">
      <alignment horizontal="center" vertical="center" wrapText="1"/>
    </xf>
    <xf numFmtId="0" fontId="42" fillId="0" borderId="143" xfId="0" applyFont="1" applyBorder="1" applyAlignment="1">
      <alignment vertical="center" wrapText="1"/>
    </xf>
    <xf numFmtId="0" fontId="42" fillId="0" borderId="137" xfId="0" applyFont="1" applyBorder="1" applyAlignment="1">
      <alignment vertical="center" wrapText="1"/>
    </xf>
    <xf numFmtId="2" fontId="42" fillId="0" borderId="143" xfId="0" applyNumberFormat="1" applyFont="1" applyBorder="1" applyAlignment="1">
      <alignment vertical="center" wrapText="1"/>
    </xf>
    <xf numFmtId="2" fontId="42" fillId="0" borderId="137" xfId="0" applyNumberFormat="1" applyFont="1" applyBorder="1" applyAlignment="1">
      <alignment vertical="center" wrapText="1"/>
    </xf>
    <xf numFmtId="178" fontId="42" fillId="0" borderId="143" xfId="0" applyNumberFormat="1" applyFont="1" applyBorder="1" applyAlignment="1">
      <alignment vertical="center" wrapText="1"/>
    </xf>
    <xf numFmtId="178" fontId="42" fillId="0" borderId="137" xfId="0" applyNumberFormat="1" applyFont="1" applyBorder="1" applyAlignment="1">
      <alignment vertical="center" wrapText="1"/>
    </xf>
    <xf numFmtId="181" fontId="42" fillId="5" borderId="1" xfId="0" applyNumberFormat="1" applyFont="1" applyFill="1" applyBorder="1" applyAlignment="1" applyProtection="1">
      <alignment horizontal="left" vertical="center" wrapText="1"/>
      <protection locked="0"/>
    </xf>
    <xf numFmtId="178" fontId="42" fillId="0" borderId="2" xfId="0" applyNumberFormat="1" applyFont="1" applyBorder="1" applyAlignment="1">
      <alignment vertical="center" wrapText="1"/>
    </xf>
    <xf numFmtId="178" fontId="42" fillId="0" borderId="3" xfId="0" applyNumberFormat="1" applyFont="1" applyBorder="1" applyAlignment="1">
      <alignment vertical="center" wrapText="1"/>
    </xf>
    <xf numFmtId="2" fontId="42" fillId="0" borderId="2" xfId="0" applyNumberFormat="1" applyFont="1" applyBorder="1" applyAlignment="1">
      <alignment vertical="center" wrapText="1"/>
    </xf>
    <xf numFmtId="2" fontId="42" fillId="0" borderId="3" xfId="0" applyNumberFormat="1" applyFont="1" applyBorder="1" applyAlignment="1">
      <alignment vertical="center" wrapText="1"/>
    </xf>
    <xf numFmtId="0" fontId="46" fillId="5" borderId="1" xfId="0" applyFont="1" applyFill="1" applyBorder="1" applyAlignment="1" applyProtection="1">
      <alignment vertical="center" wrapText="1"/>
      <protection locked="0"/>
    </xf>
    <xf numFmtId="0" fontId="42" fillId="0" borderId="1" xfId="0" applyFont="1" applyBorder="1" applyAlignment="1">
      <alignment horizontal="center" vertical="center" textRotation="255" shrinkToFit="1"/>
    </xf>
    <xf numFmtId="0" fontId="42" fillId="0" borderId="1" xfId="0" applyFont="1" applyBorder="1" applyAlignment="1">
      <alignment horizontal="center" vertical="center" wrapText="1"/>
    </xf>
    <xf numFmtId="0" fontId="42" fillId="28" borderId="1" xfId="0" applyFont="1" applyFill="1" applyBorder="1" applyAlignment="1">
      <alignment horizontal="center" vertical="center"/>
    </xf>
    <xf numFmtId="0" fontId="46" fillId="0" borderId="1" xfId="0" applyFont="1" applyBorder="1" applyAlignment="1">
      <alignment horizontal="center" vertical="center"/>
    </xf>
    <xf numFmtId="0" fontId="46" fillId="29" borderId="1" xfId="0" applyFont="1" applyFill="1" applyBorder="1" applyAlignment="1" applyProtection="1">
      <alignment vertical="center" wrapText="1"/>
      <protection locked="0"/>
    </xf>
    <xf numFmtId="0" fontId="46" fillId="0" borderId="1" xfId="0" applyFont="1" applyBorder="1" applyAlignment="1">
      <alignment vertical="center" wrapText="1"/>
    </xf>
    <xf numFmtId="0" fontId="46" fillId="0" borderId="3" xfId="0" applyFont="1" applyBorder="1" applyAlignment="1">
      <alignment horizontal="center" vertical="center"/>
    </xf>
    <xf numFmtId="0" fontId="46" fillId="40" borderId="151" xfId="53" applyFont="1" applyFill="1" applyBorder="1" applyAlignment="1">
      <alignment horizontal="center" vertical="center"/>
    </xf>
    <xf numFmtId="0" fontId="46" fillId="40" borderId="10" xfId="53" applyFont="1" applyFill="1" applyBorder="1" applyAlignment="1">
      <alignment horizontal="center" vertical="center"/>
    </xf>
    <xf numFmtId="0" fontId="46" fillId="40" borderId="143" xfId="55" applyNumberFormat="1" applyFont="1" applyFill="1" applyBorder="1" applyAlignment="1" applyProtection="1">
      <alignment horizontal="center" vertical="center"/>
    </xf>
    <xf numFmtId="0" fontId="46" fillId="40" borderId="156" xfId="55" applyNumberFormat="1" applyFont="1" applyFill="1" applyBorder="1" applyAlignment="1" applyProtection="1">
      <alignment horizontal="center" vertical="center"/>
    </xf>
    <xf numFmtId="0" fontId="46" fillId="0" borderId="102" xfId="53" applyFont="1" applyBorder="1" applyAlignment="1">
      <alignment horizontal="center" vertical="center" wrapText="1" shrinkToFit="1"/>
    </xf>
    <xf numFmtId="0" fontId="46" fillId="0" borderId="55" xfId="53" applyFont="1" applyBorder="1" applyAlignment="1">
      <alignment horizontal="center" vertical="center" wrapText="1" shrinkToFit="1"/>
    </xf>
    <xf numFmtId="9" fontId="42" fillId="0" borderId="130" xfId="53" applyNumberFormat="1" applyFont="1" applyBorder="1" applyAlignment="1">
      <alignment horizontal="center" vertical="center"/>
    </xf>
    <xf numFmtId="0" fontId="51" fillId="0" borderId="52" xfId="53" applyFont="1" applyBorder="1">
      <alignment vertical="center"/>
    </xf>
    <xf numFmtId="0" fontId="51" fillId="0" borderId="41" xfId="53" applyFont="1" applyBorder="1">
      <alignment vertical="center"/>
    </xf>
    <xf numFmtId="0" fontId="42" fillId="0" borderId="141" xfId="53" applyFont="1" applyBorder="1" applyAlignment="1">
      <alignment horizontal="center" vertical="center"/>
    </xf>
    <xf numFmtId="0" fontId="42" fillId="0" borderId="38" xfId="53" applyFont="1" applyBorder="1" applyAlignment="1">
      <alignment horizontal="center" vertical="center"/>
    </xf>
    <xf numFmtId="0" fontId="42" fillId="0" borderId="1" xfId="0" applyFont="1" applyBorder="1" applyAlignment="1">
      <alignment horizontal="center" vertical="center" textRotation="255"/>
    </xf>
    <xf numFmtId="0" fontId="42" fillId="0" borderId="1" xfId="0" applyFont="1" applyBorder="1" applyAlignment="1">
      <alignment horizontal="distributed" vertical="center"/>
    </xf>
    <xf numFmtId="0" fontId="46" fillId="32" borderId="130" xfId="0" applyFont="1" applyFill="1" applyBorder="1" applyAlignment="1">
      <alignment horizontal="center" vertical="center" wrapText="1"/>
    </xf>
    <xf numFmtId="0" fontId="46" fillId="32" borderId="137" xfId="0" applyFont="1" applyFill="1" applyBorder="1" applyAlignment="1">
      <alignment horizontal="center" vertical="center" wrapText="1"/>
    </xf>
    <xf numFmtId="0" fontId="42" fillId="0" borderId="137" xfId="0" applyFont="1" applyBorder="1" applyAlignment="1">
      <alignment horizontal="center" vertical="center" wrapText="1"/>
    </xf>
    <xf numFmtId="0" fontId="42" fillId="0" borderId="130" xfId="0" applyFont="1" applyBorder="1" applyAlignment="1">
      <alignment horizontal="center" vertical="center" wrapText="1"/>
    </xf>
    <xf numFmtId="0" fontId="46" fillId="32" borderId="4" xfId="0" applyFont="1" applyFill="1" applyBorder="1" applyAlignment="1">
      <alignment horizontal="center" vertical="center" wrapText="1"/>
    </xf>
    <xf numFmtId="2" fontId="42" fillId="0" borderId="143" xfId="0" applyNumberFormat="1" applyFont="1" applyBorder="1" applyAlignment="1">
      <alignment horizontal="center" vertical="center" wrapText="1"/>
    </xf>
    <xf numFmtId="2" fontId="42" fillId="0" borderId="137" xfId="0" applyNumberFormat="1" applyFont="1" applyBorder="1" applyAlignment="1">
      <alignment horizontal="center" vertical="center" wrapText="1"/>
    </xf>
    <xf numFmtId="0" fontId="46" fillId="32" borderId="141" xfId="0" applyFont="1" applyFill="1" applyBorder="1" applyAlignment="1">
      <alignment horizontal="center" vertical="center" wrapText="1"/>
    </xf>
    <xf numFmtId="0" fontId="46" fillId="32" borderId="56" xfId="0" applyFont="1" applyFill="1" applyBorder="1" applyAlignment="1">
      <alignment horizontal="center" vertical="center" wrapText="1"/>
    </xf>
    <xf numFmtId="0" fontId="46" fillId="32" borderId="0" xfId="0" applyFont="1" applyFill="1" applyAlignment="1">
      <alignment horizontal="center" vertical="center" wrapText="1"/>
    </xf>
    <xf numFmtId="0" fontId="46" fillId="32" borderId="38" xfId="0" applyFont="1" applyFill="1" applyBorder="1" applyAlignment="1">
      <alignment horizontal="center" vertical="center" wrapText="1"/>
    </xf>
    <xf numFmtId="0" fontId="46" fillId="32" borderId="3" xfId="0" applyFont="1" applyFill="1" applyBorder="1" applyAlignment="1">
      <alignment horizontal="center" vertical="center" wrapText="1"/>
    </xf>
    <xf numFmtId="0" fontId="46" fillId="32" borderId="4" xfId="0" applyFont="1" applyFill="1" applyBorder="1" applyAlignment="1">
      <alignment horizontal="center" vertical="center"/>
    </xf>
    <xf numFmtId="0" fontId="46" fillId="0" borderId="0" xfId="0" applyFont="1" applyAlignment="1">
      <alignment horizontal="left" vertical="center" wrapText="1"/>
    </xf>
    <xf numFmtId="0" fontId="46" fillId="32" borderId="5" xfId="0" applyFont="1" applyFill="1" applyBorder="1" applyAlignment="1">
      <alignment horizontal="center" vertical="center"/>
    </xf>
    <xf numFmtId="0" fontId="46" fillId="32" borderId="6" xfId="0" applyFont="1" applyFill="1" applyBorder="1" applyAlignment="1">
      <alignment horizontal="center" vertical="center"/>
    </xf>
    <xf numFmtId="0" fontId="46" fillId="32" borderId="5" xfId="0" applyFont="1" applyFill="1" applyBorder="1" applyAlignment="1">
      <alignment horizontal="center" vertical="center" wrapText="1"/>
    </xf>
    <xf numFmtId="0" fontId="46" fillId="32" borderId="6" xfId="0" applyFont="1" applyFill="1" applyBorder="1" applyAlignment="1">
      <alignment horizontal="center" vertical="center" wrapText="1"/>
    </xf>
    <xf numFmtId="1" fontId="46" fillId="0" borderId="143" xfId="0" applyNumberFormat="1" applyFont="1" applyBorder="1" applyAlignment="1">
      <alignment vertical="center" shrinkToFit="1"/>
    </xf>
    <xf numFmtId="1" fontId="46" fillId="0" borderId="137" xfId="0" applyNumberFormat="1" applyFont="1" applyBorder="1" applyAlignment="1">
      <alignment vertical="center" shrinkToFit="1"/>
    </xf>
    <xf numFmtId="0" fontId="42" fillId="32" borderId="103" xfId="0" applyFont="1" applyFill="1" applyBorder="1" applyAlignment="1">
      <alignment horizontal="center" vertical="center" wrapText="1"/>
    </xf>
    <xf numFmtId="0" fontId="42" fillId="32" borderId="141" xfId="0" applyFont="1" applyFill="1" applyBorder="1" applyAlignment="1">
      <alignment horizontal="center" vertical="center" wrapText="1"/>
    </xf>
    <xf numFmtId="0" fontId="42" fillId="32" borderId="142" xfId="0" applyFont="1" applyFill="1" applyBorder="1" applyAlignment="1">
      <alignment horizontal="center" vertical="center" wrapText="1"/>
    </xf>
    <xf numFmtId="0" fontId="42" fillId="32" borderId="56"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68" xfId="0" applyFont="1" applyFill="1" applyBorder="1" applyAlignment="1">
      <alignment horizontal="center" vertical="center" wrapText="1"/>
    </xf>
    <xf numFmtId="0" fontId="42" fillId="32" borderId="7" xfId="0" applyFont="1" applyFill="1" applyBorder="1" applyAlignment="1">
      <alignment horizontal="center" vertical="center" wrapText="1"/>
    </xf>
    <xf numFmtId="0" fontId="42" fillId="32" borderId="38" xfId="0" applyFont="1" applyFill="1" applyBorder="1" applyAlignment="1">
      <alignment horizontal="center" vertical="center" wrapText="1"/>
    </xf>
    <xf numFmtId="0" fontId="42" fillId="32" borderId="8" xfId="0" applyFont="1" applyFill="1" applyBorder="1" applyAlignment="1">
      <alignment horizontal="center" vertical="center" wrapText="1"/>
    </xf>
    <xf numFmtId="0" fontId="40" fillId="0" borderId="0" xfId="0" applyFont="1" applyAlignment="1">
      <alignment horizontal="right" vertical="center"/>
    </xf>
    <xf numFmtId="0" fontId="40" fillId="0" borderId="0" xfId="0" applyFont="1" applyAlignment="1">
      <alignment horizontal="left" vertical="center"/>
    </xf>
    <xf numFmtId="0" fontId="42" fillId="0" borderId="108" xfId="0" applyFont="1" applyBorder="1" applyAlignment="1">
      <alignment horizontal="left" vertical="center" wrapText="1"/>
    </xf>
    <xf numFmtId="0" fontId="46" fillId="0" borderId="137" xfId="0" applyFont="1" applyBorder="1" applyAlignment="1">
      <alignment horizontal="left" vertical="center" wrapText="1"/>
    </xf>
    <xf numFmtId="0" fontId="42" fillId="0" borderId="137" xfId="0" applyFont="1" applyBorder="1" applyAlignment="1">
      <alignment horizontal="center" vertical="center"/>
    </xf>
    <xf numFmtId="2" fontId="46" fillId="0" borderId="143" xfId="0" applyNumberFormat="1" applyFont="1" applyBorder="1" applyAlignment="1">
      <alignment horizontal="center" vertical="center" shrinkToFit="1"/>
    </xf>
    <xf numFmtId="2" fontId="46" fillId="0" borderId="137" xfId="0" applyNumberFormat="1" applyFont="1" applyBorder="1" applyAlignment="1">
      <alignment horizontal="center" vertical="center" shrinkToFit="1"/>
    </xf>
    <xf numFmtId="0" fontId="46" fillId="0" borderId="137" xfId="0" applyFont="1" applyBorder="1" applyAlignment="1">
      <alignment horizontal="center" vertical="center" wrapText="1"/>
    </xf>
    <xf numFmtId="178" fontId="46" fillId="0" borderId="143" xfId="0" applyNumberFormat="1" applyFont="1" applyBorder="1" applyAlignment="1">
      <alignment horizontal="center" vertical="center"/>
    </xf>
    <xf numFmtId="178" fontId="46" fillId="0" borderId="137" xfId="0" applyNumberFormat="1" applyFont="1" applyBorder="1" applyAlignment="1">
      <alignment horizontal="center" vertical="center"/>
    </xf>
    <xf numFmtId="2" fontId="46" fillId="0" borderId="2" xfId="0" applyNumberFormat="1" applyFont="1" applyBorder="1" applyAlignment="1">
      <alignment vertical="center" shrinkToFit="1"/>
    </xf>
    <xf numFmtId="2" fontId="46" fillId="0" borderId="3" xfId="0" applyNumberFormat="1" applyFont="1" applyBorder="1" applyAlignment="1">
      <alignment vertical="center" shrinkToFit="1"/>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4" xfId="0" applyFont="1" applyBorder="1">
      <alignment vertical="center"/>
    </xf>
    <xf numFmtId="0" fontId="46" fillId="0" borderId="108" xfId="0" applyFont="1" applyBorder="1" applyAlignment="1">
      <alignment vertical="center" wrapText="1"/>
    </xf>
    <xf numFmtId="1" fontId="46" fillId="0" borderId="143" xfId="0" applyNumberFormat="1" applyFont="1" applyBorder="1">
      <alignment vertical="center"/>
    </xf>
    <xf numFmtId="1" fontId="46" fillId="0" borderId="137" xfId="0" applyNumberFormat="1" applyFont="1" applyBorder="1">
      <alignment vertical="center"/>
    </xf>
    <xf numFmtId="0" fontId="46" fillId="0" borderId="130" xfId="0" applyFont="1" applyBorder="1" applyAlignment="1">
      <alignment horizontal="left" vertical="center" wrapText="1"/>
    </xf>
    <xf numFmtId="0" fontId="46" fillId="2" borderId="0" xfId="0" applyFont="1" applyFill="1" applyAlignment="1" applyProtection="1">
      <alignment vertical="center" wrapText="1"/>
      <protection locked="0"/>
    </xf>
    <xf numFmtId="0" fontId="46" fillId="2" borderId="0" xfId="0" applyFont="1" applyFill="1" applyProtection="1">
      <alignment vertical="center"/>
      <protection locked="0"/>
    </xf>
    <xf numFmtId="0" fontId="46" fillId="0" borderId="34" xfId="0" applyFont="1" applyBorder="1">
      <alignment vertical="center"/>
    </xf>
    <xf numFmtId="0" fontId="46" fillId="0" borderId="55" xfId="0" applyFont="1" applyBorder="1">
      <alignment vertical="center"/>
    </xf>
    <xf numFmtId="0" fontId="46" fillId="0" borderId="1" xfId="0" applyFont="1" applyBorder="1" applyAlignment="1">
      <alignment horizontal="center" vertical="center" wrapText="1"/>
    </xf>
    <xf numFmtId="0" fontId="36" fillId="29" borderId="94" xfId="0" applyFont="1" applyFill="1" applyBorder="1" applyAlignment="1">
      <alignment horizontal="center" vertical="center" wrapText="1"/>
    </xf>
    <xf numFmtId="0" fontId="36" fillId="29" borderId="93" xfId="0" applyFont="1" applyFill="1" applyBorder="1" applyAlignment="1">
      <alignment horizontal="center" vertical="center" wrapText="1"/>
    </xf>
    <xf numFmtId="0" fontId="36" fillId="29" borderId="159" xfId="0" applyFont="1" applyFill="1" applyBorder="1" applyAlignment="1">
      <alignment horizontal="center" vertical="center"/>
    </xf>
    <xf numFmtId="0" fontId="36" fillId="29" borderId="136" xfId="0" applyFont="1" applyFill="1" applyBorder="1" applyAlignment="1">
      <alignment horizontal="center" vertical="center"/>
    </xf>
    <xf numFmtId="0" fontId="36" fillId="29" borderId="109" xfId="0" applyFont="1" applyFill="1" applyBorder="1" applyAlignment="1">
      <alignment horizontal="center" vertical="center"/>
    </xf>
    <xf numFmtId="0" fontId="36" fillId="29" borderId="89" xfId="0" applyFont="1" applyFill="1" applyBorder="1" applyAlignment="1">
      <alignment horizontal="center" vertical="center"/>
    </xf>
    <xf numFmtId="0" fontId="36" fillId="29" borderId="92" xfId="0" applyFont="1" applyFill="1" applyBorder="1" applyAlignment="1">
      <alignment horizontal="center" vertical="center"/>
    </xf>
    <xf numFmtId="0" fontId="36" fillId="29" borderId="165" xfId="0" applyFont="1" applyFill="1" applyBorder="1" applyAlignment="1">
      <alignment horizontal="center" vertical="center"/>
    </xf>
    <xf numFmtId="0" fontId="36" fillId="29" borderId="94" xfId="0" applyFont="1" applyFill="1" applyBorder="1">
      <alignment vertical="center"/>
    </xf>
    <xf numFmtId="0" fontId="36" fillId="29" borderId="162" xfId="0" applyFont="1" applyFill="1" applyBorder="1">
      <alignment vertical="center"/>
    </xf>
    <xf numFmtId="0" fontId="36" fillId="29" borderId="91" xfId="0" applyFont="1" applyFill="1" applyBorder="1" applyAlignment="1">
      <alignment horizontal="center" vertical="center" wrapText="1"/>
    </xf>
    <xf numFmtId="0" fontId="36" fillId="29" borderId="104" xfId="0" applyFont="1" applyFill="1" applyBorder="1" applyAlignment="1">
      <alignment horizontal="center" vertical="center"/>
    </xf>
    <xf numFmtId="0" fontId="36" fillId="29" borderId="90" xfId="0" applyFont="1" applyFill="1" applyBorder="1" applyAlignment="1">
      <alignment horizontal="center" vertical="center"/>
    </xf>
    <xf numFmtId="38" fontId="36" fillId="46" borderId="102" xfId="52" applyFont="1" applyFill="1" applyBorder="1" applyAlignment="1">
      <alignment horizontal="center" vertical="center"/>
    </xf>
    <xf numFmtId="38" fontId="36" fillId="46" borderId="81" xfId="52" applyFont="1" applyFill="1" applyBorder="1" applyAlignment="1">
      <alignment horizontal="center" vertical="center"/>
    </xf>
    <xf numFmtId="38" fontId="36" fillId="46" borderId="55" xfId="52" applyFont="1" applyFill="1" applyBorder="1" applyAlignment="1">
      <alignment horizontal="center" vertical="center"/>
    </xf>
    <xf numFmtId="38" fontId="36" fillId="30" borderId="102" xfId="52" applyFont="1" applyFill="1" applyBorder="1" applyAlignment="1">
      <alignment horizontal="center" vertical="center" wrapText="1"/>
    </xf>
    <xf numFmtId="38" fontId="36" fillId="30" borderId="81" xfId="52" applyFont="1" applyFill="1" applyBorder="1" applyAlignment="1">
      <alignment horizontal="center" vertical="center" wrapText="1"/>
    </xf>
    <xf numFmtId="38" fontId="36" fillId="30" borderId="55" xfId="52" applyFont="1" applyFill="1" applyBorder="1" applyAlignment="1">
      <alignment horizontal="center" vertical="center" wrapText="1"/>
    </xf>
    <xf numFmtId="0" fontId="42" fillId="29" borderId="144" xfId="3" applyFont="1" applyFill="1" applyBorder="1" applyAlignment="1">
      <alignment horizontal="center" vertical="center" wrapText="1"/>
    </xf>
    <xf numFmtId="0" fontId="42" fillId="29" borderId="104" xfId="3" applyFont="1" applyFill="1" applyBorder="1" applyAlignment="1">
      <alignment horizontal="center" vertical="center" wrapText="1"/>
    </xf>
    <xf numFmtId="0" fontId="42" fillId="29" borderId="164" xfId="3" applyFont="1" applyFill="1" applyBorder="1" applyAlignment="1">
      <alignment horizontal="center" vertical="center" wrapText="1"/>
    </xf>
    <xf numFmtId="0" fontId="42" fillId="29" borderId="90" xfId="3" applyFont="1" applyFill="1" applyBorder="1" applyAlignment="1">
      <alignment horizontal="center" vertical="center" wrapText="1"/>
    </xf>
    <xf numFmtId="0" fontId="36" fillId="29" borderId="136" xfId="0" applyFont="1" applyFill="1" applyBorder="1" applyAlignment="1">
      <alignment horizontal="center" vertical="center" wrapText="1"/>
    </xf>
    <xf numFmtId="0" fontId="36" fillId="29" borderId="104" xfId="0" applyFont="1" applyFill="1" applyBorder="1" applyAlignment="1">
      <alignment horizontal="center" vertical="center" wrapText="1"/>
    </xf>
    <xf numFmtId="0" fontId="36" fillId="29" borderId="92" xfId="0" applyFont="1" applyFill="1" applyBorder="1" applyAlignment="1">
      <alignment horizontal="center" vertical="center" wrapText="1"/>
    </xf>
    <xf numFmtId="0" fontId="36" fillId="29" borderId="90" xfId="0" applyFont="1" applyFill="1" applyBorder="1" applyAlignment="1">
      <alignment horizontal="center" vertical="center" wrapText="1"/>
    </xf>
    <xf numFmtId="0" fontId="42" fillId="29" borderId="91" xfId="3" applyFont="1" applyFill="1" applyBorder="1" applyAlignment="1">
      <alignment horizontal="center" vertical="center"/>
    </xf>
    <xf numFmtId="0" fontId="36" fillId="45" borderId="102" xfId="0" applyFont="1" applyFill="1" applyBorder="1" applyAlignment="1">
      <alignment horizontal="center" vertical="center" wrapText="1"/>
    </xf>
    <xf numFmtId="0" fontId="36" fillId="45" borderId="81" xfId="0" applyFont="1" applyFill="1" applyBorder="1" applyAlignment="1">
      <alignment horizontal="center" vertical="center" wrapText="1"/>
    </xf>
    <xf numFmtId="0" fontId="36" fillId="45" borderId="55" xfId="0" applyFont="1" applyFill="1" applyBorder="1" applyAlignment="1">
      <alignment horizontal="center" vertical="center" wrapText="1"/>
    </xf>
    <xf numFmtId="0" fontId="36" fillId="45" borderId="103" xfId="0" applyFont="1" applyFill="1" applyBorder="1" applyAlignment="1">
      <alignment horizontal="center" vertical="center" wrapText="1"/>
    </xf>
    <xf numFmtId="0" fontId="36" fillId="45" borderId="56" xfId="0" applyFont="1" applyFill="1" applyBorder="1" applyAlignment="1">
      <alignment horizontal="center" vertical="center" wrapText="1"/>
    </xf>
    <xf numFmtId="0" fontId="36" fillId="45" borderId="7" xfId="0" applyFont="1" applyFill="1" applyBorder="1" applyAlignment="1">
      <alignment horizontal="center" vertical="center" wrapText="1"/>
    </xf>
    <xf numFmtId="38" fontId="36" fillId="29" borderId="159" xfId="52" applyFont="1" applyFill="1" applyBorder="1" applyAlignment="1">
      <alignment horizontal="center" vertical="center" wrapText="1"/>
    </xf>
    <xf numFmtId="38" fontId="36" fillId="29" borderId="104" xfId="52" applyFont="1" applyFill="1" applyBorder="1" applyAlignment="1">
      <alignment horizontal="center" vertical="center" wrapText="1"/>
    </xf>
    <xf numFmtId="0" fontId="36" fillId="44" borderId="102" xfId="0" applyFont="1" applyFill="1" applyBorder="1" applyAlignment="1">
      <alignment horizontal="center" vertical="center" wrapText="1"/>
    </xf>
    <xf numFmtId="0" fontId="36" fillId="44" borderId="81" xfId="0" applyFont="1" applyFill="1" applyBorder="1" applyAlignment="1">
      <alignment horizontal="center" vertical="center" wrapText="1"/>
    </xf>
    <xf numFmtId="0" fontId="36" fillId="44" borderId="55" xfId="0" applyFont="1" applyFill="1" applyBorder="1" applyAlignment="1">
      <alignment horizontal="center" vertical="center" wrapText="1"/>
    </xf>
    <xf numFmtId="0" fontId="36" fillId="44" borderId="103" xfId="0" applyFont="1" applyFill="1" applyBorder="1" applyAlignment="1">
      <alignment horizontal="center" vertical="center" wrapText="1"/>
    </xf>
    <xf numFmtId="0" fontId="36" fillId="44" borderId="56" xfId="0" applyFont="1" applyFill="1" applyBorder="1" applyAlignment="1">
      <alignment horizontal="center" vertical="center" wrapText="1"/>
    </xf>
    <xf numFmtId="0" fontId="36" fillId="44" borderId="7" xfId="0" applyFont="1" applyFill="1" applyBorder="1" applyAlignment="1">
      <alignment horizontal="center" vertical="center" wrapText="1"/>
    </xf>
    <xf numFmtId="0" fontId="42" fillId="29" borderId="159" xfId="3" applyFont="1" applyFill="1" applyBorder="1" applyAlignment="1">
      <alignment horizontal="center" vertical="center" wrapText="1"/>
    </xf>
    <xf numFmtId="0" fontId="42" fillId="29" borderId="89" xfId="3" applyFont="1" applyFill="1" applyBorder="1" applyAlignment="1">
      <alignment horizontal="center" vertical="center" wrapText="1"/>
    </xf>
    <xf numFmtId="0" fontId="42" fillId="29" borderId="159" xfId="3" applyFont="1" applyFill="1" applyBorder="1" applyAlignment="1">
      <alignment horizontal="center" vertical="center"/>
    </xf>
    <xf numFmtId="0" fontId="42" fillId="29" borderId="136" xfId="3" applyFont="1" applyFill="1" applyBorder="1" applyAlignment="1">
      <alignment horizontal="center" vertical="center"/>
    </xf>
    <xf numFmtId="0" fontId="42" fillId="29" borderId="104" xfId="3" applyFont="1" applyFill="1" applyBorder="1" applyAlignment="1">
      <alignment horizontal="center" vertical="center"/>
    </xf>
    <xf numFmtId="0" fontId="42" fillId="29" borderId="92" xfId="3" applyFont="1" applyFill="1" applyBorder="1" applyAlignment="1">
      <alignment horizontal="center" vertical="center"/>
    </xf>
    <xf numFmtId="180" fontId="42" fillId="0" borderId="23" xfId="3" applyNumberFormat="1" applyFont="1" applyBorder="1" applyAlignment="1">
      <alignment vertical="center" shrinkToFit="1"/>
    </xf>
    <xf numFmtId="180" fontId="42" fillId="0" borderId="31" xfId="3" applyNumberFormat="1" applyFont="1" applyBorder="1" applyAlignment="1">
      <alignment vertical="center" shrinkToFit="1"/>
    </xf>
    <xf numFmtId="180" fontId="43" fillId="5" borderId="71" xfId="53" applyNumberFormat="1" applyFont="1" applyFill="1" applyBorder="1" applyAlignment="1" applyProtection="1">
      <alignment vertical="center" shrinkToFit="1"/>
      <protection locked="0"/>
    </xf>
    <xf numFmtId="180" fontId="42" fillId="0" borderId="77" xfId="3" applyNumberFormat="1" applyFont="1" applyBorder="1" applyAlignment="1">
      <alignment vertical="center" shrinkToFit="1"/>
    </xf>
    <xf numFmtId="180" fontId="42" fillId="0" borderId="99" xfId="3" applyNumberFormat="1" applyFont="1" applyBorder="1" applyAlignment="1">
      <alignment vertical="center" shrinkToFit="1"/>
    </xf>
    <xf numFmtId="180" fontId="42" fillId="0" borderId="28" xfId="3" applyNumberFormat="1" applyFont="1" applyBorder="1" applyAlignment="1">
      <alignment vertical="center" shrinkToFit="1"/>
    </xf>
    <xf numFmtId="180" fontId="42" fillId="5" borderId="31" xfId="3" applyNumberFormat="1" applyFont="1" applyFill="1" applyBorder="1" applyAlignment="1" applyProtection="1">
      <alignment vertical="center" shrinkToFit="1"/>
      <protection locked="0"/>
    </xf>
    <xf numFmtId="180" fontId="42" fillId="5" borderId="71" xfId="3" applyNumberFormat="1" applyFont="1" applyFill="1" applyBorder="1" applyAlignment="1" applyProtection="1">
      <alignment vertical="center" shrinkToFit="1"/>
      <protection locked="0"/>
    </xf>
    <xf numFmtId="180" fontId="42" fillId="0" borderId="182" xfId="53" applyNumberFormat="1" applyFont="1" applyBorder="1" applyAlignment="1">
      <alignment vertical="center" shrinkToFit="1"/>
    </xf>
    <xf numFmtId="180" fontId="46" fillId="0" borderId="118" xfId="53" applyNumberFormat="1" applyFont="1" applyBorder="1" applyAlignment="1">
      <alignment vertical="center" shrinkToFit="1"/>
    </xf>
    <xf numFmtId="180" fontId="42" fillId="0" borderId="135" xfId="3" applyNumberFormat="1" applyFont="1" applyBorder="1" applyAlignment="1">
      <alignment vertical="center" shrinkToFit="1"/>
    </xf>
    <xf numFmtId="180" fontId="42" fillId="0" borderId="160" xfId="3" applyNumberFormat="1" applyFont="1" applyBorder="1" applyAlignment="1">
      <alignment vertical="center" shrinkToFit="1"/>
    </xf>
    <xf numFmtId="180" fontId="42" fillId="0" borderId="161" xfId="3" applyNumberFormat="1" applyFont="1" applyBorder="1" applyAlignment="1">
      <alignment vertical="center" shrinkToFit="1"/>
    </xf>
    <xf numFmtId="180" fontId="42" fillId="0" borderId="108" xfId="3" applyNumberFormat="1" applyFont="1" applyBorder="1" applyAlignment="1">
      <alignment vertical="center" shrinkToFit="1"/>
    </xf>
    <xf numFmtId="180" fontId="42" fillId="0" borderId="57" xfId="3" applyNumberFormat="1" applyFont="1" applyBorder="1" applyAlignment="1">
      <alignment vertical="center" shrinkToFit="1"/>
    </xf>
    <xf numFmtId="180" fontId="42" fillId="0" borderId="187" xfId="53" applyNumberFormat="1" applyFont="1" applyBorder="1" applyAlignment="1">
      <alignment vertical="center" shrinkToFit="1"/>
    </xf>
    <xf numFmtId="180" fontId="46" fillId="0" borderId="182" xfId="53" applyNumberFormat="1" applyFont="1" applyBorder="1" applyAlignment="1">
      <alignment vertical="center" shrinkToFit="1"/>
    </xf>
    <xf numFmtId="180" fontId="46" fillId="0" borderId="187" xfId="53" applyNumberFormat="1" applyFont="1" applyBorder="1" applyAlignment="1">
      <alignment vertical="center" shrinkToFi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スタイル 1" xfId="30" xr:uid="{00000000-0005-0000-0000-000018000000}"/>
    <cellStyle name="タイトル 2" xfId="31" xr:uid="{00000000-0005-0000-0000-000019000000}"/>
    <cellStyle name="チェック セル 2" xfId="32" xr:uid="{00000000-0005-0000-0000-00001A000000}"/>
    <cellStyle name="どちらでもない 2" xfId="33" xr:uid="{00000000-0005-0000-0000-00001B000000}"/>
    <cellStyle name="パーセント" xfId="50" builtinId="5"/>
    <cellStyle name="ハイパーリンク" xfId="51" builtinId="8"/>
    <cellStyle name="ハイパーリンク 2" xfId="5" xr:uid="{00000000-0005-0000-0000-00001E000000}"/>
    <cellStyle name="メモ 2" xfId="34" xr:uid="{00000000-0005-0000-0000-00001F000000}"/>
    <cellStyle name="リンク セル 2" xfId="35" xr:uid="{00000000-0005-0000-0000-000020000000}"/>
    <cellStyle name="悪い 2" xfId="36" xr:uid="{00000000-0005-0000-0000-000021000000}"/>
    <cellStyle name="計算 2" xfId="37" xr:uid="{00000000-0005-0000-0000-000022000000}"/>
    <cellStyle name="警告文 2" xfId="38" xr:uid="{00000000-0005-0000-0000-000023000000}"/>
    <cellStyle name="桁区切り" xfId="52" builtinId="6"/>
    <cellStyle name="桁区切り 2" xfId="4" xr:uid="{00000000-0005-0000-0000-000024000000}"/>
    <cellStyle name="桁区切り 2 2" xfId="54" xr:uid="{3B07B953-CE5C-451B-9426-03218801E662}"/>
    <cellStyle name="桁区切り 2 2 2" xfId="55" xr:uid="{83D5A43D-4D2B-48C4-9BB4-F2F2F7C3ED28}"/>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入力 2" xfId="46" xr:uid="{00000000-0005-0000-0000-00002C000000}"/>
    <cellStyle name="標準" xfId="0" builtinId="0"/>
    <cellStyle name="標準 2" xfId="1" xr:uid="{00000000-0005-0000-0000-00002E000000}"/>
    <cellStyle name="標準 2 2" xfId="3" xr:uid="{00000000-0005-0000-0000-00002F000000}"/>
    <cellStyle name="標準 2 3" xfId="53" xr:uid="{BBC512C6-4DDF-4D6D-91B9-0EA80789B966}"/>
    <cellStyle name="標準 3" xfId="2" xr:uid="{00000000-0005-0000-0000-000030000000}"/>
    <cellStyle name="標準 3 2" xfId="56" xr:uid="{21BB1099-DA2B-493A-8EAA-02C7A42BFD6F}"/>
    <cellStyle name="標準 4" xfId="47" xr:uid="{00000000-0005-0000-0000-000031000000}"/>
    <cellStyle name="標準_01 地球温暖化対策計画書20090728" xfId="49" xr:uid="{00000000-0005-0000-0000-000032000000}"/>
    <cellStyle name="良い 2" xfId="48" xr:uid="{00000000-0005-0000-0000-000033000000}"/>
  </cellStyles>
  <dxfs count="460">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ont>
        <color auto="1"/>
      </font>
    </dxf>
    <dxf>
      <font>
        <color auto="1"/>
      </font>
    </dxf>
    <dxf>
      <font>
        <color auto="1"/>
      </font>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bgColor theme="0" tint="-4.9989318521683403E-2"/>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ont>
        <color auto="1"/>
      </font>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1" tint="0.499984740745262"/>
        </patternFill>
      </fill>
    </dxf>
    <dxf>
      <fill>
        <patternFill>
          <bgColor theme="1" tint="0.499984740745262"/>
        </patternFill>
      </fill>
    </dxf>
    <dxf>
      <fill>
        <patternFill>
          <fgColor indexed="64"/>
          <bgColor theme="0"/>
        </patternFill>
      </fill>
    </dxf>
    <dxf>
      <fill>
        <patternFill>
          <bgColor theme="0"/>
        </patternFill>
      </fill>
    </dxf>
    <dxf>
      <fill>
        <patternFill>
          <bgColor theme="1" tint="0.499984740745262"/>
        </patternFill>
      </fill>
    </dxf>
    <dxf>
      <fill>
        <patternFill>
          <bgColor theme="1" tint="0.499984740745262"/>
        </patternFill>
      </fill>
    </dxf>
    <dxf>
      <fill>
        <patternFill>
          <fgColor indexed="64"/>
          <bgColor theme="0"/>
        </patternFill>
      </fill>
    </dxf>
    <dxf>
      <fill>
        <patternFill>
          <bgColor theme="1" tint="0.499984740745262"/>
        </patternFill>
      </fill>
    </dxf>
    <dxf>
      <fill>
        <patternFill>
          <bgColor theme="1" tint="0.499984740745262"/>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tint="-0.499984740745262"/>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colors>
    <mruColors>
      <color rgb="FFCCECFF"/>
      <color rgb="FF0000FF"/>
      <color rgb="FFFF3399"/>
      <color rgb="FFFFCCCC"/>
      <color rgb="FF9966FF"/>
      <color rgb="FFFF5050"/>
      <color rgb="FFCC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10" lockText="1" noThreeD="1"/>
</file>

<file path=xl/ctrlProps/ctrlProp2.xml><?xml version="1.0" encoding="utf-8"?>
<formControlPr xmlns="http://schemas.microsoft.com/office/spreadsheetml/2009/9/main" objectType="CheckBox" fmlaLink="$S$11" lockText="1" noThreeD="1"/>
</file>

<file path=xl/ctrlProps/ctrlProp3.xml><?xml version="1.0" encoding="utf-8"?>
<formControlPr xmlns="http://schemas.microsoft.com/office/spreadsheetml/2009/9/main" objectType="CheckBox" fmlaLink="$S$12" lockText="1" noThreeD="1"/>
</file>

<file path=xl/ctrlProps/ctrlProp4.xml><?xml version="1.0" encoding="utf-8"?>
<formControlPr xmlns="http://schemas.microsoft.com/office/spreadsheetml/2009/9/main" objectType="CheckBox" fmlaLink="$S$13" lockText="1" noThreeD="1"/>
</file>

<file path=xl/drawings/_rels/drawing6.xml.rels><?xml version="1.0" encoding="UTF-8" standalone="yes"?>
<Relationships xmlns="http://schemas.openxmlformats.org/package/2006/relationships"><Relationship Id="rId3" Type="http://schemas.openxmlformats.org/officeDocument/2006/relationships/hyperlink" Target="#'&#22577;&#21578;&#26360;&#9313; &#31532;1&#24180;&#24230;(&#21462;&#32068;&#65289;'!C121"/><Relationship Id="rId2" Type="http://schemas.openxmlformats.org/officeDocument/2006/relationships/hyperlink" Target="#'&#22577;&#21578;&#26360;&#9313; &#31532;1&#24180;&#24230;(&#21462;&#32068;&#65289;'!F45"/><Relationship Id="rId1" Type="http://schemas.openxmlformats.org/officeDocument/2006/relationships/hyperlink" Target="#'&#22577;&#21578;&#26360;&#9313; &#31532;1&#24180;&#24230;(&#21462;&#32068;&#65289;'!C91"/><Relationship Id="rId4" Type="http://schemas.openxmlformats.org/officeDocument/2006/relationships/hyperlink" Target="#'&#22577;&#21578;&#26360;&#9313; &#31532;1&#24180;&#24230;(&#21462;&#32068;&#65289;'!F70"/></Relationships>
</file>

<file path=xl/drawings/_rels/drawing7.xml.rels><?xml version="1.0" encoding="UTF-8" standalone="yes"?>
<Relationships xmlns="http://schemas.openxmlformats.org/package/2006/relationships"><Relationship Id="rId3" Type="http://schemas.openxmlformats.org/officeDocument/2006/relationships/hyperlink" Target="#'&#22577;&#21578;&#26360;&#9313; &#31532;2&#24180;&#24230;(&#21462;&#32068;&#65289;'!C121"/><Relationship Id="rId2" Type="http://schemas.openxmlformats.org/officeDocument/2006/relationships/hyperlink" Target="#'&#22577;&#21578;&#26360;&#9313; &#31532;2&#24180;&#24230;(&#21462;&#32068;&#65289;'!G45"/><Relationship Id="rId1" Type="http://schemas.openxmlformats.org/officeDocument/2006/relationships/hyperlink" Target="#'&#22577;&#21578;&#26360;&#9313; &#31532;2&#24180;&#24230;(&#21462;&#32068;&#65289;'!C91"/><Relationship Id="rId4" Type="http://schemas.openxmlformats.org/officeDocument/2006/relationships/hyperlink" Target="#'&#22577;&#21578;&#26360;&#9313; &#31532;2&#24180;&#24230;(&#21462;&#32068;&#65289;'!G70"/></Relationships>
</file>

<file path=xl/drawings/_rels/drawing8.xml.rels><?xml version="1.0" encoding="UTF-8" standalone="yes"?>
<Relationships xmlns="http://schemas.openxmlformats.org/package/2006/relationships"><Relationship Id="rId3" Type="http://schemas.openxmlformats.org/officeDocument/2006/relationships/hyperlink" Target="#'&#22577;&#21578;&#26360;&#9313; &#31532;3&#24180;&#24230;(&#21462;&#32068;&#65289;'!C121"/><Relationship Id="rId2" Type="http://schemas.openxmlformats.org/officeDocument/2006/relationships/hyperlink" Target="#'&#22577;&#21578;&#26360;&#9313; &#31532;3&#24180;&#24230;(&#21462;&#32068;&#65289;'!H45"/><Relationship Id="rId1" Type="http://schemas.openxmlformats.org/officeDocument/2006/relationships/hyperlink" Target="#'&#22577;&#21578;&#26360;&#9313; &#31532;3&#24180;&#24230;(&#21462;&#32068;&#65289;'!C91"/><Relationship Id="rId4" Type="http://schemas.openxmlformats.org/officeDocument/2006/relationships/hyperlink" Target="#'&#22577;&#21578;&#26360;&#9313; &#31532;3&#24180;&#24230;(&#21462;&#32068;&#65289;'!H70"/></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137160</xdr:colOff>
          <xdr:row>9</xdr:row>
          <xdr:rowOff>0</xdr:rowOff>
        </xdr:from>
        <xdr:to>
          <xdr:col>4</xdr:col>
          <xdr:colOff>365760</xdr:colOff>
          <xdr:row>10</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10</xdr:row>
          <xdr:rowOff>30480</xdr:rowOff>
        </xdr:from>
        <xdr:to>
          <xdr:col>4</xdr:col>
          <xdr:colOff>365760</xdr:colOff>
          <xdr:row>11</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11</xdr:row>
          <xdr:rowOff>30480</xdr:rowOff>
        </xdr:from>
        <xdr:to>
          <xdr:col>4</xdr:col>
          <xdr:colOff>365760</xdr:colOff>
          <xdr:row>12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12</xdr:row>
          <xdr:rowOff>30480</xdr:rowOff>
        </xdr:from>
        <xdr:to>
          <xdr:col>4</xdr:col>
          <xdr:colOff>365760</xdr:colOff>
          <xdr:row>13</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129540</xdr:colOff>
      <xdr:row>2</xdr:row>
      <xdr:rowOff>53340</xdr:rowOff>
    </xdr:from>
    <xdr:to>
      <xdr:col>32</xdr:col>
      <xdr:colOff>53340</xdr:colOff>
      <xdr:row>43</xdr:row>
      <xdr:rowOff>139067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65820" y="152400"/>
          <a:ext cx="6377940" cy="1018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21031</xdr:colOff>
      <xdr:row>0</xdr:row>
      <xdr:rowOff>0</xdr:rowOff>
    </xdr:from>
    <xdr:ext cx="877163" cy="46616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272402"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29890</xdr:colOff>
      <xdr:row>84</xdr:row>
      <xdr:rowOff>46304</xdr:rowOff>
    </xdr:from>
    <xdr:to>
      <xdr:col>19</xdr:col>
      <xdr:colOff>217713</xdr:colOff>
      <xdr:row>87</xdr:row>
      <xdr:rowOff>189109</xdr:rowOff>
    </xdr:to>
    <xdr:sp macro="" textlink="">
      <xdr:nvSpPr>
        <xdr:cNvPr id="5" name="右中かっこ 4">
          <a:extLst>
            <a:ext uri="{FF2B5EF4-FFF2-40B4-BE49-F238E27FC236}">
              <a16:creationId xmlns:a16="http://schemas.microsoft.com/office/drawing/2014/main" id="{00000000-0008-0000-0400-000005000000}"/>
            </a:ext>
          </a:extLst>
        </xdr:cNvPr>
        <xdr:cNvSpPr/>
      </xdr:nvSpPr>
      <xdr:spPr>
        <a:xfrm>
          <a:off x="8381410" y="21290864"/>
          <a:ext cx="194173" cy="874325"/>
        </a:xfrm>
        <a:prstGeom prst="rightBrace">
          <a:avLst>
            <a:gd name="adj1" fmla="val 45370"/>
            <a:gd name="adj2" fmla="val 50749"/>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363174</xdr:colOff>
      <xdr:row>88</xdr:row>
      <xdr:rowOff>37709</xdr:rowOff>
    </xdr:from>
    <xdr:to>
      <xdr:col>19</xdr:col>
      <xdr:colOff>905858</xdr:colOff>
      <xdr:row>111</xdr:row>
      <xdr:rowOff>7025</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rot="10800000">
          <a:off x="8714694" y="22257629"/>
          <a:ext cx="547417" cy="5583986"/>
        </a:xfrm>
        <a:prstGeom prst="rightBrace">
          <a:avLst>
            <a:gd name="adj1" fmla="val 63252"/>
            <a:gd name="adj2" fmla="val 49772"/>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227238</xdr:colOff>
      <xdr:row>86</xdr:row>
      <xdr:rowOff>9832</xdr:rowOff>
    </xdr:from>
    <xdr:to>
      <xdr:col>19</xdr:col>
      <xdr:colOff>359999</xdr:colOff>
      <xdr:row>99</xdr:row>
      <xdr:rowOff>160795</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5" idx="1"/>
          <a:endCxn id="6" idx="1"/>
        </xdr:cNvCxnSpPr>
      </xdr:nvCxnSpPr>
      <xdr:spPr>
        <a:xfrm>
          <a:off x="8578758" y="21735722"/>
          <a:ext cx="132761" cy="3327233"/>
        </a:xfrm>
        <a:prstGeom prst="straightConnector1">
          <a:avLst/>
        </a:prstGeom>
        <a:ln w="9525">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19</xdr:col>
      <xdr:colOff>30389</xdr:colOff>
      <xdr:row>80</xdr:row>
      <xdr:rowOff>6623</xdr:rowOff>
    </xdr:from>
    <xdr:to>
      <xdr:col>19</xdr:col>
      <xdr:colOff>164192</xdr:colOff>
      <xdr:row>84</xdr:row>
      <xdr:rowOff>9344</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8375559" y="20275823"/>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692312</xdr:colOff>
      <xdr:row>77</xdr:row>
      <xdr:rowOff>152671</xdr:rowOff>
    </xdr:from>
    <xdr:to>
      <xdr:col>19</xdr:col>
      <xdr:colOff>973075</xdr:colOff>
      <xdr:row>86</xdr:row>
      <xdr:rowOff>121828</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rot="10800000">
          <a:off x="9061265" y="19690351"/>
          <a:ext cx="274413" cy="217006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82</xdr:row>
      <xdr:rowOff>18516</xdr:rowOff>
    </xdr:from>
    <xdr:to>
      <xdr:col>19</xdr:col>
      <xdr:colOff>701837</xdr:colOff>
      <xdr:row>82</xdr:row>
      <xdr:rowOff>18516</xdr:rowOff>
    </xdr:to>
    <xdr:cxnSp macro="">
      <xdr:nvCxnSpPr>
        <xdr:cNvPr id="14" name="直線矢印コネクタ 13">
          <a:extLst>
            <a:ext uri="{FF2B5EF4-FFF2-40B4-BE49-F238E27FC236}">
              <a16:creationId xmlns:a16="http://schemas.microsoft.com/office/drawing/2014/main" id="{00000000-0008-0000-0400-00000E000000}"/>
            </a:ext>
          </a:extLst>
        </xdr:cNvPr>
        <xdr:cNvCxnSpPr>
          <a:stCxn id="11" idx="1"/>
          <a:endCxn id="13" idx="1"/>
        </xdr:cNvCxnSpPr>
      </xdr:nvCxnSpPr>
      <xdr:spPr>
        <a:xfrm>
          <a:off x="8509362" y="20775396"/>
          <a:ext cx="555078"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71</xdr:row>
      <xdr:rowOff>6623</xdr:rowOff>
    </xdr:from>
    <xdr:to>
      <xdr:col>19</xdr:col>
      <xdr:colOff>244927</xdr:colOff>
      <xdr:row>76</xdr:row>
      <xdr:rowOff>6622</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8351520" y="17319263"/>
          <a:ext cx="244927" cy="1981199"/>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725877</xdr:colOff>
      <xdr:row>69</xdr:row>
      <xdr:rowOff>141790</xdr:rowOff>
    </xdr:from>
    <xdr:to>
      <xdr:col>20</xdr:col>
      <xdr:colOff>19791</xdr:colOff>
      <xdr:row>76</xdr:row>
      <xdr:rowOff>65132</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rot="10800000">
          <a:off x="9088480" y="17034060"/>
          <a:ext cx="277587" cy="2331262"/>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248102</xdr:colOff>
      <xdr:row>73</xdr:row>
      <xdr:rowOff>104664</xdr:rowOff>
    </xdr:from>
    <xdr:to>
      <xdr:col>19</xdr:col>
      <xdr:colOff>725877</xdr:colOff>
      <xdr:row>73</xdr:row>
      <xdr:rowOff>218704</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6" idx="1"/>
          <a:endCxn id="17" idx="1"/>
        </xdr:cNvCxnSpPr>
      </xdr:nvCxnSpPr>
      <xdr:spPr>
        <a:xfrm flipV="1">
          <a:off x="8599622" y="18209784"/>
          <a:ext cx="488858" cy="11404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37643</xdr:colOff>
      <xdr:row>61</xdr:row>
      <xdr:rowOff>6622</xdr:rowOff>
    </xdr:from>
    <xdr:to>
      <xdr:col>19</xdr:col>
      <xdr:colOff>254906</xdr:colOff>
      <xdr:row>66</xdr:row>
      <xdr:rowOff>141514</xdr:rowOff>
    </xdr:to>
    <xdr:sp macro="" textlink="">
      <xdr:nvSpPr>
        <xdr:cNvPr id="19" name="右中かっこ 18">
          <a:extLst>
            <a:ext uri="{FF2B5EF4-FFF2-40B4-BE49-F238E27FC236}">
              <a16:creationId xmlns:a16="http://schemas.microsoft.com/office/drawing/2014/main" id="{00000000-0008-0000-0400-000013000000}"/>
            </a:ext>
          </a:extLst>
        </xdr:cNvPr>
        <xdr:cNvSpPr/>
      </xdr:nvSpPr>
      <xdr:spPr>
        <a:xfrm>
          <a:off x="8278129" y="14691451"/>
          <a:ext cx="223613" cy="1332320"/>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788466</xdr:colOff>
      <xdr:row>59</xdr:row>
      <xdr:rowOff>132261</xdr:rowOff>
    </xdr:from>
    <xdr:to>
      <xdr:col>19</xdr:col>
      <xdr:colOff>968827</xdr:colOff>
      <xdr:row>64</xdr:row>
      <xdr:rowOff>76200</xdr:rowOff>
    </xdr:to>
    <xdr:sp macro="" textlink="">
      <xdr:nvSpPr>
        <xdr:cNvPr id="21" name="右中かっこ 20">
          <a:extLst>
            <a:ext uri="{FF2B5EF4-FFF2-40B4-BE49-F238E27FC236}">
              <a16:creationId xmlns:a16="http://schemas.microsoft.com/office/drawing/2014/main" id="{00000000-0008-0000-0400-000015000000}"/>
            </a:ext>
          </a:extLst>
        </xdr:cNvPr>
        <xdr:cNvSpPr/>
      </xdr:nvSpPr>
      <xdr:spPr>
        <a:xfrm rot="10800000">
          <a:off x="9035302" y="14338118"/>
          <a:ext cx="174011" cy="1141368"/>
        </a:xfrm>
        <a:prstGeom prst="rightBrace">
          <a:avLst>
            <a:gd name="adj1" fmla="val 63252"/>
            <a:gd name="adj2" fmla="val 47673"/>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254906</xdr:colOff>
      <xdr:row>62</xdr:row>
      <xdr:rowOff>11048</xdr:rowOff>
    </xdr:from>
    <xdr:to>
      <xdr:col>19</xdr:col>
      <xdr:colOff>788466</xdr:colOff>
      <xdr:row>63</xdr:row>
      <xdr:rowOff>197440</xdr:rowOff>
    </xdr:to>
    <xdr:cxnSp macro="">
      <xdr:nvCxnSpPr>
        <xdr:cNvPr id="24" name="直線矢印コネクタ 23">
          <a:extLst>
            <a:ext uri="{FF2B5EF4-FFF2-40B4-BE49-F238E27FC236}">
              <a16:creationId xmlns:a16="http://schemas.microsoft.com/office/drawing/2014/main" id="{00000000-0008-0000-0400-000018000000}"/>
            </a:ext>
          </a:extLst>
        </xdr:cNvPr>
        <xdr:cNvCxnSpPr>
          <a:stCxn id="19" idx="1"/>
          <a:endCxn id="21" idx="1"/>
        </xdr:cNvCxnSpPr>
      </xdr:nvCxnSpPr>
      <xdr:spPr>
        <a:xfrm flipV="1">
          <a:off x="8501742" y="14935362"/>
          <a:ext cx="533560" cy="43222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27213</xdr:colOff>
      <xdr:row>55</xdr:row>
      <xdr:rowOff>162651</xdr:rowOff>
    </xdr:from>
    <xdr:to>
      <xdr:col>19</xdr:col>
      <xdr:colOff>847436</xdr:colOff>
      <xdr:row>55</xdr:row>
      <xdr:rowOff>163431</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flipV="1">
          <a:off x="8378733" y="13628461"/>
          <a:ext cx="837656" cy="557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27377</xdr:colOff>
      <xdr:row>33</xdr:row>
      <xdr:rowOff>85090</xdr:rowOff>
    </xdr:from>
    <xdr:to>
      <xdr:col>19</xdr:col>
      <xdr:colOff>866650</xdr:colOff>
      <xdr:row>33</xdr:row>
      <xdr:rowOff>93835</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V="1">
          <a:off x="8318745" y="8404167"/>
          <a:ext cx="832923" cy="2395"/>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75292</xdr:colOff>
      <xdr:row>34</xdr:row>
      <xdr:rowOff>120919</xdr:rowOff>
    </xdr:from>
    <xdr:to>
      <xdr:col>19</xdr:col>
      <xdr:colOff>827479</xdr:colOff>
      <xdr:row>36</xdr:row>
      <xdr:rowOff>85089</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8426812" y="8502919"/>
          <a:ext cx="769620" cy="45820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27213</xdr:colOff>
      <xdr:row>67</xdr:row>
      <xdr:rowOff>101873</xdr:rowOff>
    </xdr:from>
    <xdr:to>
      <xdr:col>19</xdr:col>
      <xdr:colOff>847436</xdr:colOff>
      <xdr:row>67</xdr:row>
      <xdr:rowOff>102653</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V="1">
          <a:off x="8267699" y="16223616"/>
          <a:ext cx="826573" cy="557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057775" y="24003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14</xdr:col>
      <xdr:colOff>93345</xdr:colOff>
      <xdr:row>0</xdr:row>
      <xdr:rowOff>137160</xdr:rowOff>
    </xdr:from>
    <xdr:ext cx="877163" cy="4800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213985" y="137160"/>
          <a:ext cx="877163" cy="4800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16</xdr:col>
      <xdr:colOff>160020</xdr:colOff>
      <xdr:row>0</xdr:row>
      <xdr:rowOff>213360</xdr:rowOff>
    </xdr:from>
    <xdr:to>
      <xdr:col>31</xdr:col>
      <xdr:colOff>160020</xdr:colOff>
      <xdr:row>22</xdr:row>
      <xdr:rowOff>70487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537960" y="213360"/>
          <a:ext cx="6377940" cy="1018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8</xdr:col>
      <xdr:colOff>411704</xdr:colOff>
      <xdr:row>43</xdr:row>
      <xdr:rowOff>28650</xdr:rowOff>
    </xdr:from>
    <xdr:to>
      <xdr:col>11</xdr:col>
      <xdr:colOff>262479</xdr:colOff>
      <xdr:row>44</xdr:row>
      <xdr:rowOff>320750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5844764" y="28055010"/>
          <a:ext cx="1641475" cy="71120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LocksWithSheet="0" fPrintsWithSheet="0"/>
  </xdr:twoCellAnchor>
  <xdr:twoCellAnchor editAs="absolute">
    <xdr:from>
      <xdr:col>4</xdr:col>
      <xdr:colOff>468086</xdr:colOff>
      <xdr:row>89</xdr:row>
      <xdr:rowOff>55155</xdr:rowOff>
    </xdr:from>
    <xdr:to>
      <xdr:col>9</xdr:col>
      <xdr:colOff>307885</xdr:colOff>
      <xdr:row>93</xdr:row>
      <xdr:rowOff>30480</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4712426" y="61022775"/>
          <a:ext cx="1600019" cy="79828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LocksWithSheet="0" fPrintsWithSheet="0"/>
  </xdr:twoCellAnchor>
  <xdr:twoCellAnchor editAs="absolute">
    <xdr:from>
      <xdr:col>9</xdr:col>
      <xdr:colOff>111760</xdr:colOff>
      <xdr:row>67</xdr:row>
      <xdr:rowOff>50800</xdr:rowOff>
    </xdr:from>
    <xdr:to>
      <xdr:col>11</xdr:col>
      <xdr:colOff>534035</xdr:colOff>
      <xdr:row>69</xdr:row>
      <xdr:rowOff>213360</xdr:rowOff>
    </xdr:to>
    <xdr:sp macro="" textlink="">
      <xdr:nvSpPr>
        <xdr:cNvPr id="10" name="角丸四角形 9">
          <a:hlinkClick xmlns:r="http://schemas.openxmlformats.org/officeDocument/2006/relationships" r:id="rId3"/>
          <a:extLst>
            <a:ext uri="{FF2B5EF4-FFF2-40B4-BE49-F238E27FC236}">
              <a16:creationId xmlns:a16="http://schemas.microsoft.com/office/drawing/2014/main" id="{00000000-0008-0000-0800-00000A000000}"/>
            </a:ext>
          </a:extLst>
        </xdr:cNvPr>
        <xdr:cNvSpPr/>
      </xdr:nvSpPr>
      <xdr:spPr>
        <a:xfrm>
          <a:off x="6116320" y="46944280"/>
          <a:ext cx="1641475" cy="74930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LocksWithSheet="0" fPrintsWithSheet="0"/>
  </xdr:twoCellAnchor>
  <xdr:twoCellAnchor editAs="absolute">
    <xdr:from>
      <xdr:col>5</xdr:col>
      <xdr:colOff>102507</xdr:colOff>
      <xdr:row>120</xdr:row>
      <xdr:rowOff>120648</xdr:rowOff>
    </xdr:from>
    <xdr:to>
      <xdr:col>9</xdr:col>
      <xdr:colOff>588917</xdr:colOff>
      <xdr:row>120</xdr:row>
      <xdr:rowOff>944879</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4941207" y="67466208"/>
          <a:ext cx="1652270" cy="824231"/>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68580</xdr:colOff>
      <xdr:row>43</xdr:row>
      <xdr:rowOff>170953</xdr:rowOff>
    </xdr:from>
    <xdr:to>
      <xdr:col>12</xdr:col>
      <xdr:colOff>379730</xdr:colOff>
      <xdr:row>44</xdr:row>
      <xdr:rowOff>484974</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705600" y="29340313"/>
          <a:ext cx="1530350" cy="733121"/>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LocksWithSheet="0" fPrintsWithSheet="0"/>
  </xdr:twoCellAnchor>
  <xdr:twoCellAnchor editAs="absolute">
    <xdr:from>
      <xdr:col>5</xdr:col>
      <xdr:colOff>219710</xdr:colOff>
      <xdr:row>88</xdr:row>
      <xdr:rowOff>165754</xdr:rowOff>
    </xdr:from>
    <xdr:to>
      <xdr:col>10</xdr:col>
      <xdr:colOff>72390</xdr:colOff>
      <xdr:row>92</xdr:row>
      <xdr:rowOff>106680</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058410" y="62070634"/>
          <a:ext cx="1651000" cy="763886"/>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LocksWithSheet="0" fPrintsWithSheet="0"/>
  </xdr:twoCellAnchor>
  <xdr:twoCellAnchor editAs="absolute">
    <xdr:from>
      <xdr:col>10</xdr:col>
      <xdr:colOff>132080</xdr:colOff>
      <xdr:row>68</xdr:row>
      <xdr:rowOff>28051</xdr:rowOff>
    </xdr:from>
    <xdr:to>
      <xdr:col>12</xdr:col>
      <xdr:colOff>397510</xdr:colOff>
      <xdr:row>69</xdr:row>
      <xdr:rowOff>327660</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6769100" y="48232171"/>
          <a:ext cx="1484630" cy="718709"/>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LocksWithSheet="0" fPrintsWithSheet="0"/>
  </xdr:twoCellAnchor>
  <xdr:twoCellAnchor editAs="absolute">
    <xdr:from>
      <xdr:col>6</xdr:col>
      <xdr:colOff>327660</xdr:colOff>
      <xdr:row>120</xdr:row>
      <xdr:rowOff>127655</xdr:rowOff>
    </xdr:from>
    <xdr:to>
      <xdr:col>11</xdr:col>
      <xdr:colOff>163830</xdr:colOff>
      <xdr:row>120</xdr:row>
      <xdr:rowOff>883920</xdr:rowOff>
    </xdr:to>
    <xdr:sp macro="" textlink="">
      <xdr:nvSpPr>
        <xdr:cNvPr id="6" name="角丸四角形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760720" y="68616215"/>
          <a:ext cx="1649730" cy="75626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8</xdr:col>
      <xdr:colOff>259080</xdr:colOff>
      <xdr:row>41</xdr:row>
      <xdr:rowOff>152400</xdr:rowOff>
    </xdr:from>
    <xdr:to>
      <xdr:col>30</xdr:col>
      <xdr:colOff>449580</xdr:colOff>
      <xdr:row>44</xdr:row>
      <xdr:rowOff>106680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7094220" y="36720780"/>
          <a:ext cx="1409700" cy="74676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PrintsWithSheet="0"/>
  </xdr:twoCellAnchor>
  <xdr:twoCellAnchor editAs="absolute">
    <xdr:from>
      <xdr:col>4</xdr:col>
      <xdr:colOff>518160</xdr:colOff>
      <xdr:row>90</xdr:row>
      <xdr:rowOff>30480</xdr:rowOff>
    </xdr:from>
    <xdr:to>
      <xdr:col>7</xdr:col>
      <xdr:colOff>373380</xdr:colOff>
      <xdr:row>94</xdr:row>
      <xdr:rowOff>15240</xdr:rowOff>
    </xdr:to>
    <xdr:sp macro="" textlink="">
      <xdr:nvSpPr>
        <xdr:cNvPr id="4" name="角丸四角形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4762500" y="70119240"/>
          <a:ext cx="1798320" cy="80772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選択対策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PrintsWithSheet="0"/>
  </xdr:twoCellAnchor>
  <xdr:twoCellAnchor editAs="absolute">
    <xdr:from>
      <xdr:col>8</xdr:col>
      <xdr:colOff>289560</xdr:colOff>
      <xdr:row>68</xdr:row>
      <xdr:rowOff>15240</xdr:rowOff>
    </xdr:from>
    <xdr:to>
      <xdr:col>31</xdr:col>
      <xdr:colOff>30480</xdr:colOff>
      <xdr:row>69</xdr:row>
      <xdr:rowOff>449580</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7124700" y="55991760"/>
          <a:ext cx="1569720" cy="85344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項目追加欄へ移動</a:t>
          </a:r>
        </a:p>
      </xdr:txBody>
    </xdr:sp>
    <xdr:clientData fPrintsWithSheet="0"/>
  </xdr:twoCellAnchor>
  <xdr:twoCellAnchor editAs="absolute">
    <xdr:from>
      <xdr:col>5</xdr:col>
      <xdr:colOff>38100</xdr:colOff>
      <xdr:row>120</xdr:row>
      <xdr:rowOff>30480</xdr:rowOff>
    </xdr:from>
    <xdr:to>
      <xdr:col>7</xdr:col>
      <xdr:colOff>419100</xdr:colOff>
      <xdr:row>120</xdr:row>
      <xdr:rowOff>800100</xdr:rowOff>
    </xdr:to>
    <xdr:sp macro="" textlink="">
      <xdr:nvSpPr>
        <xdr:cNvPr id="6" name="角丸四角形 5">
          <a:hlinkClick xmlns:r="http://schemas.openxmlformats.org/officeDocument/2006/relationships" r:id="rId4"/>
          <a:extLst>
            <a:ext uri="{FF2B5EF4-FFF2-40B4-BE49-F238E27FC236}">
              <a16:creationId xmlns:a16="http://schemas.microsoft.com/office/drawing/2014/main" id="{00000000-0008-0000-0A00-000006000000}"/>
            </a:ext>
          </a:extLst>
        </xdr:cNvPr>
        <xdr:cNvSpPr/>
      </xdr:nvSpPr>
      <xdr:spPr>
        <a:xfrm>
          <a:off x="4930140" y="76291440"/>
          <a:ext cx="1676400" cy="76962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その他の対策</a:t>
          </a:r>
          <a:endPar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実施状況欄へ移動</a:t>
          </a: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19</xdr:col>
      <xdr:colOff>23825</xdr:colOff>
      <xdr:row>0</xdr:row>
      <xdr:rowOff>0</xdr:rowOff>
    </xdr:from>
    <xdr:ext cx="877163" cy="46616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307213"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13</xdr:col>
      <xdr:colOff>706581</xdr:colOff>
      <xdr:row>84</xdr:row>
      <xdr:rowOff>83658</xdr:rowOff>
    </xdr:from>
    <xdr:to>
      <xdr:col>19</xdr:col>
      <xdr:colOff>199528</xdr:colOff>
      <xdr:row>87</xdr:row>
      <xdr:rowOff>216188</xdr:rowOff>
    </xdr:to>
    <xdr:sp macro="" textlink="">
      <xdr:nvSpPr>
        <xdr:cNvPr id="15" name="右中かっこ 14">
          <a:extLst>
            <a:ext uri="{FF2B5EF4-FFF2-40B4-BE49-F238E27FC236}">
              <a16:creationId xmlns:a16="http://schemas.microsoft.com/office/drawing/2014/main" id="{00000000-0008-0000-0C00-00000F000000}"/>
            </a:ext>
          </a:extLst>
        </xdr:cNvPr>
        <xdr:cNvSpPr/>
      </xdr:nvSpPr>
      <xdr:spPr>
        <a:xfrm>
          <a:off x="8257308" y="21741488"/>
          <a:ext cx="224063" cy="874325"/>
        </a:xfrm>
        <a:prstGeom prst="rightBrace">
          <a:avLst>
            <a:gd name="adj1" fmla="val 45370"/>
            <a:gd name="adj2" fmla="val 50749"/>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332289</xdr:colOff>
      <xdr:row>88</xdr:row>
      <xdr:rowOff>47354</xdr:rowOff>
    </xdr:from>
    <xdr:to>
      <xdr:col>19</xdr:col>
      <xdr:colOff>868623</xdr:colOff>
      <xdr:row>110</xdr:row>
      <xdr:rowOff>153657</xdr:rowOff>
    </xdr:to>
    <xdr:sp macro="" textlink="">
      <xdr:nvSpPr>
        <xdr:cNvPr id="16" name="右中かっこ 15">
          <a:extLst>
            <a:ext uri="{FF2B5EF4-FFF2-40B4-BE49-F238E27FC236}">
              <a16:creationId xmlns:a16="http://schemas.microsoft.com/office/drawing/2014/main" id="{00000000-0008-0000-0C00-000010000000}"/>
            </a:ext>
          </a:extLst>
        </xdr:cNvPr>
        <xdr:cNvSpPr/>
      </xdr:nvSpPr>
      <xdr:spPr>
        <a:xfrm rot="10800000">
          <a:off x="8620482" y="22702711"/>
          <a:ext cx="536334" cy="5589528"/>
        </a:xfrm>
        <a:prstGeom prst="rightBrace">
          <a:avLst>
            <a:gd name="adj1" fmla="val 63252"/>
            <a:gd name="adj2" fmla="val 49772"/>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202703</xdr:colOff>
      <xdr:row>86</xdr:row>
      <xdr:rowOff>25942</xdr:rowOff>
    </xdr:from>
    <xdr:to>
      <xdr:col>19</xdr:col>
      <xdr:colOff>335464</xdr:colOff>
      <xdr:row>99</xdr:row>
      <xdr:rowOff>121372</xdr:rowOff>
    </xdr:to>
    <xdr:cxnSp macro="">
      <xdr:nvCxnSpPr>
        <xdr:cNvPr id="17" name="直線矢印コネクタ 16">
          <a:extLst>
            <a:ext uri="{FF2B5EF4-FFF2-40B4-BE49-F238E27FC236}">
              <a16:creationId xmlns:a16="http://schemas.microsoft.com/office/drawing/2014/main" id="{00000000-0008-0000-0C00-000011000000}"/>
            </a:ext>
          </a:extLst>
        </xdr:cNvPr>
        <xdr:cNvCxnSpPr>
          <a:stCxn id="15" idx="1"/>
          <a:endCxn id="16" idx="1"/>
        </xdr:cNvCxnSpPr>
      </xdr:nvCxnSpPr>
      <xdr:spPr>
        <a:xfrm>
          <a:off x="8484546" y="22182535"/>
          <a:ext cx="132761" cy="3331044"/>
        </a:xfrm>
        <a:prstGeom prst="straightConnector1">
          <a:avLst/>
        </a:prstGeom>
        <a:ln w="9525">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13</xdr:col>
      <xdr:colOff>706581</xdr:colOff>
      <xdr:row>79</xdr:row>
      <xdr:rowOff>230030</xdr:rowOff>
    </xdr:from>
    <xdr:to>
      <xdr:col>19</xdr:col>
      <xdr:colOff>207818</xdr:colOff>
      <xdr:row>83</xdr:row>
      <xdr:rowOff>210583</xdr:rowOff>
    </xdr:to>
    <xdr:sp macro="" textlink="">
      <xdr:nvSpPr>
        <xdr:cNvPr id="18" name="右中かっこ 17">
          <a:extLst>
            <a:ext uri="{FF2B5EF4-FFF2-40B4-BE49-F238E27FC236}">
              <a16:creationId xmlns:a16="http://schemas.microsoft.com/office/drawing/2014/main" id="{00000000-0008-0000-0C00-000012000000}"/>
            </a:ext>
          </a:extLst>
        </xdr:cNvPr>
        <xdr:cNvSpPr/>
      </xdr:nvSpPr>
      <xdr:spPr>
        <a:xfrm>
          <a:off x="8257308" y="20637775"/>
          <a:ext cx="235528"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674127</xdr:colOff>
      <xdr:row>77</xdr:row>
      <xdr:rowOff>145688</xdr:rowOff>
    </xdr:from>
    <xdr:to>
      <xdr:col>20</xdr:col>
      <xdr:colOff>27790</xdr:colOff>
      <xdr:row>86</xdr:row>
      <xdr:rowOff>74494</xdr:rowOff>
    </xdr:to>
    <xdr:sp macro="" textlink="">
      <xdr:nvSpPr>
        <xdr:cNvPr id="19" name="右中かっこ 18">
          <a:extLst>
            <a:ext uri="{FF2B5EF4-FFF2-40B4-BE49-F238E27FC236}">
              <a16:creationId xmlns:a16="http://schemas.microsoft.com/office/drawing/2014/main" id="{00000000-0008-0000-0C00-000013000000}"/>
            </a:ext>
          </a:extLst>
        </xdr:cNvPr>
        <xdr:cNvSpPr/>
      </xdr:nvSpPr>
      <xdr:spPr>
        <a:xfrm rot="10800000">
          <a:off x="9022472" y="19686543"/>
          <a:ext cx="274413" cy="212019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207818</xdr:colOff>
      <xdr:row>81</xdr:row>
      <xdr:rowOff>227632</xdr:rowOff>
    </xdr:from>
    <xdr:to>
      <xdr:col>19</xdr:col>
      <xdr:colOff>674127</xdr:colOff>
      <xdr:row>82</xdr:row>
      <xdr:rowOff>1831</xdr:rowOff>
    </xdr:to>
    <xdr:cxnSp macro="">
      <xdr:nvCxnSpPr>
        <xdr:cNvPr id="20" name="直線矢印コネクタ 19">
          <a:extLst>
            <a:ext uri="{FF2B5EF4-FFF2-40B4-BE49-F238E27FC236}">
              <a16:creationId xmlns:a16="http://schemas.microsoft.com/office/drawing/2014/main" id="{00000000-0008-0000-0C00-000014000000}"/>
            </a:ext>
          </a:extLst>
        </xdr:cNvPr>
        <xdr:cNvCxnSpPr>
          <a:stCxn id="18" idx="1"/>
          <a:endCxn id="19" idx="1"/>
        </xdr:cNvCxnSpPr>
      </xdr:nvCxnSpPr>
      <xdr:spPr>
        <a:xfrm>
          <a:off x="8492836" y="21134141"/>
          <a:ext cx="463134" cy="13685"/>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13</xdr:col>
      <xdr:colOff>706581</xdr:colOff>
      <xdr:row>71</xdr:row>
      <xdr:rowOff>36066</xdr:rowOff>
    </xdr:from>
    <xdr:to>
      <xdr:col>19</xdr:col>
      <xdr:colOff>220392</xdr:colOff>
      <xdr:row>76</xdr:row>
      <xdr:rowOff>11531</xdr:rowOff>
    </xdr:to>
    <xdr:sp macro="" textlink="">
      <xdr:nvSpPr>
        <xdr:cNvPr id="21" name="右中かっこ 20">
          <a:extLst>
            <a:ext uri="{FF2B5EF4-FFF2-40B4-BE49-F238E27FC236}">
              <a16:creationId xmlns:a16="http://schemas.microsoft.com/office/drawing/2014/main" id="{00000000-0008-0000-0C00-000015000000}"/>
            </a:ext>
          </a:extLst>
        </xdr:cNvPr>
        <xdr:cNvSpPr/>
      </xdr:nvSpPr>
      <xdr:spPr>
        <a:xfrm>
          <a:off x="8326581" y="17348706"/>
          <a:ext cx="242156" cy="1953490"/>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694992</xdr:colOff>
      <xdr:row>70</xdr:row>
      <xdr:rowOff>2372</xdr:rowOff>
    </xdr:from>
    <xdr:to>
      <xdr:col>20</xdr:col>
      <xdr:colOff>49866</xdr:colOff>
      <xdr:row>76</xdr:row>
      <xdr:rowOff>73216</xdr:rowOff>
    </xdr:to>
    <xdr:sp macro="" textlink="">
      <xdr:nvSpPr>
        <xdr:cNvPr id="22" name="右中かっこ 21">
          <a:extLst>
            <a:ext uri="{FF2B5EF4-FFF2-40B4-BE49-F238E27FC236}">
              <a16:creationId xmlns:a16="http://schemas.microsoft.com/office/drawing/2014/main" id="{00000000-0008-0000-0C00-000016000000}"/>
            </a:ext>
          </a:extLst>
        </xdr:cNvPr>
        <xdr:cNvSpPr/>
      </xdr:nvSpPr>
      <xdr:spPr>
        <a:xfrm rot="10800000">
          <a:off x="9049687" y="17062464"/>
          <a:ext cx="269274" cy="2304592"/>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217217</xdr:colOff>
      <xdr:row>73</xdr:row>
      <xdr:rowOff>126198</xdr:rowOff>
    </xdr:from>
    <xdr:to>
      <xdr:col>19</xdr:col>
      <xdr:colOff>694992</xdr:colOff>
      <xdr:row>73</xdr:row>
      <xdr:rowOff>231521</xdr:rowOff>
    </xdr:to>
    <xdr:cxnSp macro="">
      <xdr:nvCxnSpPr>
        <xdr:cNvPr id="23" name="直線矢印コネクタ 22">
          <a:extLst>
            <a:ext uri="{FF2B5EF4-FFF2-40B4-BE49-F238E27FC236}">
              <a16:creationId xmlns:a16="http://schemas.microsoft.com/office/drawing/2014/main" id="{00000000-0008-0000-0C00-000017000000}"/>
            </a:ext>
          </a:extLst>
        </xdr:cNvPr>
        <xdr:cNvCxnSpPr>
          <a:stCxn id="21" idx="1"/>
          <a:endCxn id="22" idx="1"/>
        </xdr:cNvCxnSpPr>
      </xdr:nvCxnSpPr>
      <xdr:spPr>
        <a:xfrm flipV="1">
          <a:off x="8571912" y="18228143"/>
          <a:ext cx="477775" cy="10849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61</xdr:row>
      <xdr:rowOff>44742</xdr:rowOff>
    </xdr:from>
    <xdr:to>
      <xdr:col>19</xdr:col>
      <xdr:colOff>206828</xdr:colOff>
      <xdr:row>67</xdr:row>
      <xdr:rowOff>1</xdr:rowOff>
    </xdr:to>
    <xdr:sp macro="" textlink="">
      <xdr:nvSpPr>
        <xdr:cNvPr id="24" name="右中かっこ 23">
          <a:extLst>
            <a:ext uri="{FF2B5EF4-FFF2-40B4-BE49-F238E27FC236}">
              <a16:creationId xmlns:a16="http://schemas.microsoft.com/office/drawing/2014/main" id="{00000000-0008-0000-0C00-000018000000}"/>
            </a:ext>
          </a:extLst>
        </xdr:cNvPr>
        <xdr:cNvSpPr/>
      </xdr:nvSpPr>
      <xdr:spPr>
        <a:xfrm>
          <a:off x="8240486" y="14726396"/>
          <a:ext cx="206828" cy="1395348"/>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770279</xdr:colOff>
      <xdr:row>59</xdr:row>
      <xdr:rowOff>217527</xdr:rowOff>
    </xdr:from>
    <xdr:to>
      <xdr:col>20</xdr:col>
      <xdr:colOff>1718</xdr:colOff>
      <xdr:row>64</xdr:row>
      <xdr:rowOff>7710</xdr:rowOff>
    </xdr:to>
    <xdr:sp macro="" textlink="">
      <xdr:nvSpPr>
        <xdr:cNvPr id="25" name="右中かっこ 24">
          <a:extLst>
            <a:ext uri="{FF2B5EF4-FFF2-40B4-BE49-F238E27FC236}">
              <a16:creationId xmlns:a16="http://schemas.microsoft.com/office/drawing/2014/main" id="{00000000-0008-0000-0C00-000019000000}"/>
            </a:ext>
          </a:extLst>
        </xdr:cNvPr>
        <xdr:cNvSpPr/>
      </xdr:nvSpPr>
      <xdr:spPr>
        <a:xfrm rot="10800000">
          <a:off x="9007590" y="14420209"/>
          <a:ext cx="147295" cy="993962"/>
        </a:xfrm>
        <a:prstGeom prst="rightBrace">
          <a:avLst>
            <a:gd name="adj1" fmla="val 63252"/>
            <a:gd name="adj2" fmla="val 47673"/>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206828</xdr:colOff>
      <xdr:row>62</xdr:row>
      <xdr:rowOff>16005</xdr:rowOff>
    </xdr:from>
    <xdr:to>
      <xdr:col>19</xdr:col>
      <xdr:colOff>770279</xdr:colOff>
      <xdr:row>64</xdr:row>
      <xdr:rowOff>28060</xdr:rowOff>
    </xdr:to>
    <xdr:cxnSp macro="">
      <xdr:nvCxnSpPr>
        <xdr:cNvPr id="26" name="直線矢印コネクタ 25">
          <a:extLst>
            <a:ext uri="{FF2B5EF4-FFF2-40B4-BE49-F238E27FC236}">
              <a16:creationId xmlns:a16="http://schemas.microsoft.com/office/drawing/2014/main" id="{00000000-0008-0000-0C00-00001A000000}"/>
            </a:ext>
          </a:extLst>
        </xdr:cNvPr>
        <xdr:cNvCxnSpPr>
          <a:stCxn id="24" idx="1"/>
          <a:endCxn id="25" idx="1"/>
        </xdr:cNvCxnSpPr>
      </xdr:nvCxnSpPr>
      <xdr:spPr>
        <a:xfrm flipV="1">
          <a:off x="8447314" y="14940319"/>
          <a:ext cx="560276" cy="49420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55</xdr:row>
      <xdr:rowOff>75382</xdr:rowOff>
    </xdr:from>
    <xdr:to>
      <xdr:col>19</xdr:col>
      <xdr:colOff>859972</xdr:colOff>
      <xdr:row>55</xdr:row>
      <xdr:rowOff>75382</xdr:rowOff>
    </xdr:to>
    <xdr:cxnSp macro="">
      <xdr:nvCxnSpPr>
        <xdr:cNvPr id="27" name="直線矢印コネクタ 26">
          <a:extLst>
            <a:ext uri="{FF2B5EF4-FFF2-40B4-BE49-F238E27FC236}">
              <a16:creationId xmlns:a16="http://schemas.microsoft.com/office/drawing/2014/main" id="{00000000-0008-0000-0C00-00001B000000}"/>
            </a:ext>
          </a:extLst>
        </xdr:cNvPr>
        <xdr:cNvCxnSpPr/>
      </xdr:nvCxnSpPr>
      <xdr:spPr>
        <a:xfrm>
          <a:off x="8239496" y="13334182"/>
          <a:ext cx="860962"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33</xdr:row>
      <xdr:rowOff>66100</xdr:rowOff>
    </xdr:from>
    <xdr:to>
      <xdr:col>19</xdr:col>
      <xdr:colOff>838940</xdr:colOff>
      <xdr:row>33</xdr:row>
      <xdr:rowOff>73230</xdr:rowOff>
    </xdr:to>
    <xdr:cxnSp macro="">
      <xdr:nvCxnSpPr>
        <xdr:cNvPr id="28" name="直線矢印コネクタ 27">
          <a:extLst>
            <a:ext uri="{FF2B5EF4-FFF2-40B4-BE49-F238E27FC236}">
              <a16:creationId xmlns:a16="http://schemas.microsoft.com/office/drawing/2014/main" id="{00000000-0008-0000-0C00-00001C000000}"/>
            </a:ext>
          </a:extLst>
        </xdr:cNvPr>
        <xdr:cNvCxnSpPr/>
      </xdr:nvCxnSpPr>
      <xdr:spPr>
        <a:xfrm flipV="1">
          <a:off x="8291035" y="8382002"/>
          <a:ext cx="832923" cy="2395"/>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50757</xdr:colOff>
      <xdr:row>34</xdr:row>
      <xdr:rowOff>93212</xdr:rowOff>
    </xdr:from>
    <xdr:to>
      <xdr:col>19</xdr:col>
      <xdr:colOff>809294</xdr:colOff>
      <xdr:row>36</xdr:row>
      <xdr:rowOff>83532</xdr:rowOff>
    </xdr:to>
    <xdr:cxnSp macro="">
      <xdr:nvCxnSpPr>
        <xdr:cNvPr id="29" name="直線矢印コネクタ 28">
          <a:extLst>
            <a:ext uri="{FF2B5EF4-FFF2-40B4-BE49-F238E27FC236}">
              <a16:creationId xmlns:a16="http://schemas.microsoft.com/office/drawing/2014/main" id="{00000000-0008-0000-0C00-00001D000000}"/>
            </a:ext>
          </a:extLst>
        </xdr:cNvPr>
        <xdr:cNvCxnSpPr/>
      </xdr:nvCxnSpPr>
      <xdr:spPr>
        <a:xfrm>
          <a:off x="8332600" y="8655321"/>
          <a:ext cx="758537" cy="45820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13</xdr:col>
      <xdr:colOff>706581</xdr:colOff>
      <xdr:row>67</xdr:row>
      <xdr:rowOff>122099</xdr:rowOff>
    </xdr:from>
    <xdr:to>
      <xdr:col>19</xdr:col>
      <xdr:colOff>845910</xdr:colOff>
      <xdr:row>67</xdr:row>
      <xdr:rowOff>122099</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8217724" y="16240667"/>
          <a:ext cx="871847"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64573</xdr:colOff>
      <xdr:row>0</xdr:row>
      <xdr:rowOff>0</xdr:rowOff>
    </xdr:from>
    <xdr:ext cx="877163" cy="46616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349591"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14</xdr:col>
      <xdr:colOff>0</xdr:colOff>
      <xdr:row>84</xdr:row>
      <xdr:rowOff>8839</xdr:rowOff>
    </xdr:from>
    <xdr:to>
      <xdr:col>19</xdr:col>
      <xdr:colOff>220888</xdr:colOff>
      <xdr:row>87</xdr:row>
      <xdr:rowOff>140214</xdr:rowOff>
    </xdr:to>
    <xdr:sp macro="" textlink="">
      <xdr:nvSpPr>
        <xdr:cNvPr id="15" name="右中かっこ 14">
          <a:extLst>
            <a:ext uri="{FF2B5EF4-FFF2-40B4-BE49-F238E27FC236}">
              <a16:creationId xmlns:a16="http://schemas.microsoft.com/office/drawing/2014/main" id="{00000000-0008-0000-0D00-00000F000000}"/>
            </a:ext>
          </a:extLst>
        </xdr:cNvPr>
        <xdr:cNvSpPr/>
      </xdr:nvSpPr>
      <xdr:spPr>
        <a:xfrm>
          <a:off x="8286750" y="21538514"/>
          <a:ext cx="224063" cy="874325"/>
        </a:xfrm>
        <a:prstGeom prst="rightBrace">
          <a:avLst>
            <a:gd name="adj1" fmla="val 45370"/>
            <a:gd name="adj2" fmla="val 50749"/>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363174</xdr:colOff>
      <xdr:row>88</xdr:row>
      <xdr:rowOff>10030</xdr:rowOff>
    </xdr:from>
    <xdr:to>
      <xdr:col>19</xdr:col>
      <xdr:colOff>902683</xdr:colOff>
      <xdr:row>110</xdr:row>
      <xdr:rowOff>120690</xdr:rowOff>
    </xdr:to>
    <xdr:sp macro="" textlink="">
      <xdr:nvSpPr>
        <xdr:cNvPr id="16" name="右中かっこ 15">
          <a:extLst>
            <a:ext uri="{FF2B5EF4-FFF2-40B4-BE49-F238E27FC236}">
              <a16:creationId xmlns:a16="http://schemas.microsoft.com/office/drawing/2014/main" id="{00000000-0008-0000-0D00-000010000000}"/>
            </a:ext>
          </a:extLst>
        </xdr:cNvPr>
        <xdr:cNvSpPr/>
      </xdr:nvSpPr>
      <xdr:spPr>
        <a:xfrm rot="10800000">
          <a:off x="8649924" y="22505279"/>
          <a:ext cx="536334" cy="5583986"/>
        </a:xfrm>
        <a:prstGeom prst="rightBrace">
          <a:avLst>
            <a:gd name="adj1" fmla="val 63252"/>
            <a:gd name="adj2" fmla="val 49772"/>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227238</xdr:colOff>
      <xdr:row>85</xdr:row>
      <xdr:rowOff>209222</xdr:rowOff>
    </xdr:from>
    <xdr:to>
      <xdr:col>19</xdr:col>
      <xdr:colOff>359999</xdr:colOff>
      <xdr:row>99</xdr:row>
      <xdr:rowOff>66180</xdr:rowOff>
    </xdr:to>
    <xdr:cxnSp macro="">
      <xdr:nvCxnSpPr>
        <xdr:cNvPr id="17" name="直線矢印コネクタ 16">
          <a:extLst>
            <a:ext uri="{FF2B5EF4-FFF2-40B4-BE49-F238E27FC236}">
              <a16:creationId xmlns:a16="http://schemas.microsoft.com/office/drawing/2014/main" id="{00000000-0008-0000-0D00-000011000000}"/>
            </a:ext>
          </a:extLst>
        </xdr:cNvPr>
        <xdr:cNvCxnSpPr>
          <a:stCxn id="15" idx="1"/>
          <a:endCxn id="16" idx="1"/>
        </xdr:cNvCxnSpPr>
      </xdr:nvCxnSpPr>
      <xdr:spPr>
        <a:xfrm>
          <a:off x="8513988" y="21983372"/>
          <a:ext cx="132761" cy="3327233"/>
        </a:xfrm>
        <a:prstGeom prst="straightConnector1">
          <a:avLst/>
        </a:prstGeom>
        <a:ln w="9525">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xdr:col>
      <xdr:colOff>0</xdr:colOff>
      <xdr:row>80</xdr:row>
      <xdr:rowOff>3075</xdr:rowOff>
    </xdr:from>
    <xdr:to>
      <xdr:col>19</xdr:col>
      <xdr:colOff>228600</xdr:colOff>
      <xdr:row>83</xdr:row>
      <xdr:rowOff>219529</xdr:rowOff>
    </xdr:to>
    <xdr:sp macro="" textlink="">
      <xdr:nvSpPr>
        <xdr:cNvPr id="18" name="右中かっこ 17">
          <a:extLst>
            <a:ext uri="{FF2B5EF4-FFF2-40B4-BE49-F238E27FC236}">
              <a16:creationId xmlns:a16="http://schemas.microsoft.com/office/drawing/2014/main" id="{00000000-0008-0000-0D00-000012000000}"/>
            </a:ext>
          </a:extLst>
        </xdr:cNvPr>
        <xdr:cNvSpPr/>
      </xdr:nvSpPr>
      <xdr:spPr>
        <a:xfrm>
          <a:off x="8286750" y="20523473"/>
          <a:ext cx="228600"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695487</xdr:colOff>
      <xdr:row>77</xdr:row>
      <xdr:rowOff>141876</xdr:rowOff>
    </xdr:from>
    <xdr:to>
      <xdr:col>19</xdr:col>
      <xdr:colOff>973075</xdr:colOff>
      <xdr:row>86</xdr:row>
      <xdr:rowOff>83093</xdr:rowOff>
    </xdr:to>
    <xdr:sp macro="" textlink="">
      <xdr:nvSpPr>
        <xdr:cNvPr id="19" name="右中かっこ 18">
          <a:extLst>
            <a:ext uri="{FF2B5EF4-FFF2-40B4-BE49-F238E27FC236}">
              <a16:creationId xmlns:a16="http://schemas.microsoft.com/office/drawing/2014/main" id="{00000000-0008-0000-0D00-000013000000}"/>
            </a:ext>
          </a:extLst>
        </xdr:cNvPr>
        <xdr:cNvSpPr/>
      </xdr:nvSpPr>
      <xdr:spPr>
        <a:xfrm rot="10800000">
          <a:off x="8985412" y="19938001"/>
          <a:ext cx="274413" cy="217006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228600</xdr:colOff>
      <xdr:row>82</xdr:row>
      <xdr:rowOff>10490</xdr:rowOff>
    </xdr:from>
    <xdr:to>
      <xdr:col>19</xdr:col>
      <xdr:colOff>695487</xdr:colOff>
      <xdr:row>82</xdr:row>
      <xdr:rowOff>12859</xdr:rowOff>
    </xdr:to>
    <xdr:cxnSp macro="">
      <xdr:nvCxnSpPr>
        <xdr:cNvPr id="20" name="直線矢印コネクタ 19">
          <a:extLst>
            <a:ext uri="{FF2B5EF4-FFF2-40B4-BE49-F238E27FC236}">
              <a16:creationId xmlns:a16="http://schemas.microsoft.com/office/drawing/2014/main" id="{00000000-0008-0000-0D00-000014000000}"/>
            </a:ext>
          </a:extLst>
        </xdr:cNvPr>
        <xdr:cNvCxnSpPr>
          <a:stCxn id="18" idx="1"/>
          <a:endCxn id="19" idx="1"/>
        </xdr:cNvCxnSpPr>
      </xdr:nvCxnSpPr>
      <xdr:spPr>
        <a:xfrm>
          <a:off x="8515350" y="21019839"/>
          <a:ext cx="470062" cy="814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71</xdr:row>
      <xdr:rowOff>21863</xdr:rowOff>
    </xdr:from>
    <xdr:to>
      <xdr:col>19</xdr:col>
      <xdr:colOff>244927</xdr:colOff>
      <xdr:row>76</xdr:row>
      <xdr:rowOff>2812</xdr:rowOff>
    </xdr:to>
    <xdr:sp macro="" textlink="">
      <xdr:nvSpPr>
        <xdr:cNvPr id="21" name="右中かっこ 20">
          <a:extLst>
            <a:ext uri="{FF2B5EF4-FFF2-40B4-BE49-F238E27FC236}">
              <a16:creationId xmlns:a16="http://schemas.microsoft.com/office/drawing/2014/main" id="{00000000-0008-0000-0D00-000015000000}"/>
            </a:ext>
          </a:extLst>
        </xdr:cNvPr>
        <xdr:cNvSpPr/>
      </xdr:nvSpPr>
      <xdr:spPr>
        <a:xfrm>
          <a:off x="8286750" y="17566913"/>
          <a:ext cx="244927" cy="1981199"/>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725877</xdr:colOff>
      <xdr:row>69</xdr:row>
      <xdr:rowOff>158935</xdr:rowOff>
    </xdr:from>
    <xdr:to>
      <xdr:col>20</xdr:col>
      <xdr:colOff>7726</xdr:colOff>
      <xdr:row>76</xdr:row>
      <xdr:rowOff>64497</xdr:rowOff>
    </xdr:to>
    <xdr:sp macro="" textlink="">
      <xdr:nvSpPr>
        <xdr:cNvPr id="22" name="右中かっこ 21">
          <a:extLst>
            <a:ext uri="{FF2B5EF4-FFF2-40B4-BE49-F238E27FC236}">
              <a16:creationId xmlns:a16="http://schemas.microsoft.com/office/drawing/2014/main" id="{00000000-0008-0000-0D00-000016000000}"/>
            </a:ext>
          </a:extLst>
        </xdr:cNvPr>
        <xdr:cNvSpPr/>
      </xdr:nvSpPr>
      <xdr:spPr>
        <a:xfrm rot="10800000">
          <a:off x="9012627" y="17281710"/>
          <a:ext cx="269274" cy="2331262"/>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248102</xdr:colOff>
      <xdr:row>73</xdr:row>
      <xdr:rowOff>112284</xdr:rowOff>
    </xdr:from>
    <xdr:to>
      <xdr:col>19</xdr:col>
      <xdr:colOff>725877</xdr:colOff>
      <xdr:row>73</xdr:row>
      <xdr:rowOff>226324</xdr:rowOff>
    </xdr:to>
    <xdr:cxnSp macro="">
      <xdr:nvCxnSpPr>
        <xdr:cNvPr id="23" name="直線矢印コネクタ 22">
          <a:extLst>
            <a:ext uri="{FF2B5EF4-FFF2-40B4-BE49-F238E27FC236}">
              <a16:creationId xmlns:a16="http://schemas.microsoft.com/office/drawing/2014/main" id="{00000000-0008-0000-0D00-000017000000}"/>
            </a:ext>
          </a:extLst>
        </xdr:cNvPr>
        <xdr:cNvCxnSpPr>
          <a:stCxn id="21" idx="1"/>
          <a:endCxn id="22" idx="1"/>
        </xdr:cNvCxnSpPr>
      </xdr:nvCxnSpPr>
      <xdr:spPr>
        <a:xfrm flipV="1">
          <a:off x="8534852" y="18457434"/>
          <a:ext cx="477775" cy="11404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37645</xdr:colOff>
      <xdr:row>61</xdr:row>
      <xdr:rowOff>47897</xdr:rowOff>
    </xdr:from>
    <xdr:to>
      <xdr:col>19</xdr:col>
      <xdr:colOff>174171</xdr:colOff>
      <xdr:row>66</xdr:row>
      <xdr:rowOff>130629</xdr:rowOff>
    </xdr:to>
    <xdr:sp macro="" textlink="">
      <xdr:nvSpPr>
        <xdr:cNvPr id="24" name="右中かっこ 23">
          <a:extLst>
            <a:ext uri="{FF2B5EF4-FFF2-40B4-BE49-F238E27FC236}">
              <a16:creationId xmlns:a16="http://schemas.microsoft.com/office/drawing/2014/main" id="{00000000-0008-0000-0D00-000018000000}"/>
            </a:ext>
          </a:extLst>
        </xdr:cNvPr>
        <xdr:cNvSpPr/>
      </xdr:nvSpPr>
      <xdr:spPr>
        <a:xfrm>
          <a:off x="8278131" y="14729551"/>
          <a:ext cx="136526" cy="1283335"/>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783931</xdr:colOff>
      <xdr:row>59</xdr:row>
      <xdr:rowOff>218349</xdr:rowOff>
    </xdr:from>
    <xdr:to>
      <xdr:col>19</xdr:col>
      <xdr:colOff>961118</xdr:colOff>
      <xdr:row>64</xdr:row>
      <xdr:rowOff>0</xdr:rowOff>
    </xdr:to>
    <xdr:sp macro="" textlink="">
      <xdr:nvSpPr>
        <xdr:cNvPr id="25" name="右中かっこ 24">
          <a:extLst>
            <a:ext uri="{FF2B5EF4-FFF2-40B4-BE49-F238E27FC236}">
              <a16:creationId xmlns:a16="http://schemas.microsoft.com/office/drawing/2014/main" id="{00000000-0008-0000-0D00-000019000000}"/>
            </a:ext>
          </a:extLst>
        </xdr:cNvPr>
        <xdr:cNvSpPr/>
      </xdr:nvSpPr>
      <xdr:spPr>
        <a:xfrm rot="10800000">
          <a:off x="9024417" y="14427381"/>
          <a:ext cx="174012" cy="975905"/>
        </a:xfrm>
        <a:prstGeom prst="rightBrace">
          <a:avLst>
            <a:gd name="adj1" fmla="val 63252"/>
            <a:gd name="adj2" fmla="val 47673"/>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174171</xdr:colOff>
      <xdr:row>62</xdr:row>
      <xdr:rowOff>10554</xdr:rowOff>
    </xdr:from>
    <xdr:to>
      <xdr:col>19</xdr:col>
      <xdr:colOff>783931</xdr:colOff>
      <xdr:row>63</xdr:row>
      <xdr:rowOff>220206</xdr:rowOff>
    </xdr:to>
    <xdr:cxnSp macro="">
      <xdr:nvCxnSpPr>
        <xdr:cNvPr id="26" name="直線矢印コネクタ 25">
          <a:extLst>
            <a:ext uri="{FF2B5EF4-FFF2-40B4-BE49-F238E27FC236}">
              <a16:creationId xmlns:a16="http://schemas.microsoft.com/office/drawing/2014/main" id="{00000000-0008-0000-0D00-00001A000000}"/>
            </a:ext>
          </a:extLst>
        </xdr:cNvPr>
        <xdr:cNvCxnSpPr>
          <a:stCxn id="24" idx="1"/>
          <a:endCxn id="25" idx="1"/>
        </xdr:cNvCxnSpPr>
      </xdr:nvCxnSpPr>
      <xdr:spPr>
        <a:xfrm flipV="1">
          <a:off x="8414657" y="14938043"/>
          <a:ext cx="609760" cy="44278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55</xdr:row>
      <xdr:rowOff>105356</xdr:rowOff>
    </xdr:from>
    <xdr:to>
      <xdr:col>20</xdr:col>
      <xdr:colOff>0</xdr:colOff>
      <xdr:row>55</xdr:row>
      <xdr:rowOff>105356</xdr:rowOff>
    </xdr:to>
    <xdr:cxnSp macro="">
      <xdr:nvCxnSpPr>
        <xdr:cNvPr id="27" name="直線矢印コネクタ 26">
          <a:extLst>
            <a:ext uri="{FF2B5EF4-FFF2-40B4-BE49-F238E27FC236}">
              <a16:creationId xmlns:a16="http://schemas.microsoft.com/office/drawing/2014/main" id="{00000000-0008-0000-0D00-00001B000000}"/>
            </a:ext>
          </a:extLst>
        </xdr:cNvPr>
        <xdr:cNvCxnSpPr/>
      </xdr:nvCxnSpPr>
      <xdr:spPr>
        <a:xfrm>
          <a:off x="8240486" y="13367331"/>
          <a:ext cx="979714"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30552</xdr:colOff>
      <xdr:row>33</xdr:row>
      <xdr:rowOff>95250</xdr:rowOff>
    </xdr:from>
    <xdr:to>
      <xdr:col>19</xdr:col>
      <xdr:colOff>869825</xdr:colOff>
      <xdr:row>33</xdr:row>
      <xdr:rowOff>97645</xdr:rowOff>
    </xdr:to>
    <xdr:cxnSp macro="">
      <xdr:nvCxnSpPr>
        <xdr:cNvPr id="28" name="直線矢印コネクタ 27">
          <a:extLst>
            <a:ext uri="{FF2B5EF4-FFF2-40B4-BE49-F238E27FC236}">
              <a16:creationId xmlns:a16="http://schemas.microsoft.com/office/drawing/2014/main" id="{00000000-0008-0000-0D00-00001C000000}"/>
            </a:ext>
          </a:extLst>
        </xdr:cNvPr>
        <xdr:cNvCxnSpPr/>
      </xdr:nvCxnSpPr>
      <xdr:spPr>
        <a:xfrm flipV="1">
          <a:off x="8320477" y="8382000"/>
          <a:ext cx="832923" cy="2395"/>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75292</xdr:colOff>
      <xdr:row>34</xdr:row>
      <xdr:rowOff>124094</xdr:rowOff>
    </xdr:from>
    <xdr:to>
      <xdr:col>19</xdr:col>
      <xdr:colOff>830654</xdr:colOff>
      <xdr:row>36</xdr:row>
      <xdr:rowOff>125094</xdr:rowOff>
    </xdr:to>
    <xdr:cxnSp macro="">
      <xdr:nvCxnSpPr>
        <xdr:cNvPr id="29" name="直線矢印コネクタ 28">
          <a:extLst>
            <a:ext uri="{FF2B5EF4-FFF2-40B4-BE49-F238E27FC236}">
              <a16:creationId xmlns:a16="http://schemas.microsoft.com/office/drawing/2014/main" id="{00000000-0008-0000-0D00-00001D000000}"/>
            </a:ext>
          </a:extLst>
        </xdr:cNvPr>
        <xdr:cNvCxnSpPr/>
      </xdr:nvCxnSpPr>
      <xdr:spPr>
        <a:xfrm>
          <a:off x="8362042" y="8655319"/>
          <a:ext cx="758537" cy="45820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67</xdr:row>
      <xdr:rowOff>114424</xdr:rowOff>
    </xdr:from>
    <xdr:to>
      <xdr:col>19</xdr:col>
      <xdr:colOff>892628</xdr:colOff>
      <xdr:row>67</xdr:row>
      <xdr:rowOff>114424</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a:off x="8240486" y="16236167"/>
          <a:ext cx="892628"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1.xml><?xml version="1.0" encoding="utf-8"?>
<xdr:wsDr xmlns:xdr="http://schemas.openxmlformats.org/drawingml/2006/spreadsheetDrawing" xmlns:a="http://schemas.openxmlformats.org/drawingml/2006/main">
  <xdr:oneCellAnchor>
    <xdr:from>
      <xdr:col>19</xdr:col>
      <xdr:colOff>64574</xdr:colOff>
      <xdr:row>0</xdr:row>
      <xdr:rowOff>0</xdr:rowOff>
    </xdr:from>
    <xdr:ext cx="877163" cy="466165"/>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315945"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14</xdr:col>
      <xdr:colOff>0</xdr:colOff>
      <xdr:row>84</xdr:row>
      <xdr:rowOff>46939</xdr:rowOff>
    </xdr:from>
    <xdr:to>
      <xdr:col>19</xdr:col>
      <xdr:colOff>220888</xdr:colOff>
      <xdr:row>87</xdr:row>
      <xdr:rowOff>178314</xdr:rowOff>
    </xdr:to>
    <xdr:sp macro="" textlink="">
      <xdr:nvSpPr>
        <xdr:cNvPr id="15" name="右中かっこ 14">
          <a:extLst>
            <a:ext uri="{FF2B5EF4-FFF2-40B4-BE49-F238E27FC236}">
              <a16:creationId xmlns:a16="http://schemas.microsoft.com/office/drawing/2014/main" id="{00000000-0008-0000-0E00-00000F000000}"/>
            </a:ext>
          </a:extLst>
        </xdr:cNvPr>
        <xdr:cNvSpPr/>
      </xdr:nvSpPr>
      <xdr:spPr>
        <a:xfrm>
          <a:off x="8286750" y="21576614"/>
          <a:ext cx="224063" cy="874325"/>
        </a:xfrm>
        <a:prstGeom prst="rightBrace">
          <a:avLst>
            <a:gd name="adj1" fmla="val 45370"/>
            <a:gd name="adj2" fmla="val 50749"/>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363174</xdr:colOff>
      <xdr:row>88</xdr:row>
      <xdr:rowOff>29454</xdr:rowOff>
    </xdr:from>
    <xdr:to>
      <xdr:col>19</xdr:col>
      <xdr:colOff>902683</xdr:colOff>
      <xdr:row>110</xdr:row>
      <xdr:rowOff>158790</xdr:rowOff>
    </xdr:to>
    <xdr:sp macro="" textlink="">
      <xdr:nvSpPr>
        <xdr:cNvPr id="16" name="右中かっこ 15">
          <a:extLst>
            <a:ext uri="{FF2B5EF4-FFF2-40B4-BE49-F238E27FC236}">
              <a16:creationId xmlns:a16="http://schemas.microsoft.com/office/drawing/2014/main" id="{00000000-0008-0000-0E00-000010000000}"/>
            </a:ext>
          </a:extLst>
        </xdr:cNvPr>
        <xdr:cNvSpPr/>
      </xdr:nvSpPr>
      <xdr:spPr>
        <a:xfrm rot="10800000">
          <a:off x="8649924" y="22543379"/>
          <a:ext cx="536334" cy="5583986"/>
        </a:xfrm>
        <a:prstGeom prst="rightBrace">
          <a:avLst>
            <a:gd name="adj1" fmla="val 63252"/>
            <a:gd name="adj2" fmla="val 49772"/>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editAs="absolute">
    <xdr:from>
      <xdr:col>19</xdr:col>
      <xdr:colOff>227238</xdr:colOff>
      <xdr:row>86</xdr:row>
      <xdr:rowOff>11011</xdr:rowOff>
    </xdr:from>
    <xdr:to>
      <xdr:col>19</xdr:col>
      <xdr:colOff>359999</xdr:colOff>
      <xdr:row>99</xdr:row>
      <xdr:rowOff>104280</xdr:rowOff>
    </xdr:to>
    <xdr:cxnSp macro="">
      <xdr:nvCxnSpPr>
        <xdr:cNvPr id="17" name="直線矢印コネクタ 16">
          <a:extLst>
            <a:ext uri="{FF2B5EF4-FFF2-40B4-BE49-F238E27FC236}">
              <a16:creationId xmlns:a16="http://schemas.microsoft.com/office/drawing/2014/main" id="{00000000-0008-0000-0E00-000011000000}"/>
            </a:ext>
          </a:extLst>
        </xdr:cNvPr>
        <xdr:cNvCxnSpPr>
          <a:stCxn id="15" idx="1"/>
          <a:endCxn id="16" idx="1"/>
        </xdr:cNvCxnSpPr>
      </xdr:nvCxnSpPr>
      <xdr:spPr>
        <a:xfrm>
          <a:off x="8513988" y="22021472"/>
          <a:ext cx="132761" cy="3327233"/>
        </a:xfrm>
        <a:prstGeom prst="straightConnector1">
          <a:avLst/>
        </a:prstGeom>
        <a:ln w="9525">
          <a:solidFill>
            <a:schemeClr val="tx1"/>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xdr:col>
      <xdr:colOff>0</xdr:colOff>
      <xdr:row>80</xdr:row>
      <xdr:rowOff>3075</xdr:rowOff>
    </xdr:from>
    <xdr:to>
      <xdr:col>19</xdr:col>
      <xdr:colOff>228600</xdr:colOff>
      <xdr:row>83</xdr:row>
      <xdr:rowOff>219529</xdr:rowOff>
    </xdr:to>
    <xdr:sp macro="" textlink="">
      <xdr:nvSpPr>
        <xdr:cNvPr id="18" name="右中かっこ 17">
          <a:extLst>
            <a:ext uri="{FF2B5EF4-FFF2-40B4-BE49-F238E27FC236}">
              <a16:creationId xmlns:a16="http://schemas.microsoft.com/office/drawing/2014/main" id="{00000000-0008-0000-0E00-000012000000}"/>
            </a:ext>
          </a:extLst>
        </xdr:cNvPr>
        <xdr:cNvSpPr/>
      </xdr:nvSpPr>
      <xdr:spPr>
        <a:xfrm>
          <a:off x="8286750" y="20523473"/>
          <a:ext cx="228600"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695487</xdr:colOff>
      <xdr:row>77</xdr:row>
      <xdr:rowOff>141876</xdr:rowOff>
    </xdr:from>
    <xdr:to>
      <xdr:col>19</xdr:col>
      <xdr:colOff>973075</xdr:colOff>
      <xdr:row>86</xdr:row>
      <xdr:rowOff>83093</xdr:rowOff>
    </xdr:to>
    <xdr:sp macro="" textlink="">
      <xdr:nvSpPr>
        <xdr:cNvPr id="19" name="右中かっこ 18">
          <a:extLst>
            <a:ext uri="{FF2B5EF4-FFF2-40B4-BE49-F238E27FC236}">
              <a16:creationId xmlns:a16="http://schemas.microsoft.com/office/drawing/2014/main" id="{00000000-0008-0000-0E00-000013000000}"/>
            </a:ext>
          </a:extLst>
        </xdr:cNvPr>
        <xdr:cNvSpPr/>
      </xdr:nvSpPr>
      <xdr:spPr>
        <a:xfrm rot="10800000">
          <a:off x="8985412" y="19938001"/>
          <a:ext cx="274413" cy="217006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228600</xdr:colOff>
      <xdr:row>82</xdr:row>
      <xdr:rowOff>10490</xdr:rowOff>
    </xdr:from>
    <xdr:to>
      <xdr:col>19</xdr:col>
      <xdr:colOff>695487</xdr:colOff>
      <xdr:row>82</xdr:row>
      <xdr:rowOff>12859</xdr:rowOff>
    </xdr:to>
    <xdr:cxnSp macro="">
      <xdr:nvCxnSpPr>
        <xdr:cNvPr id="20" name="直線矢印コネクタ 19">
          <a:extLst>
            <a:ext uri="{FF2B5EF4-FFF2-40B4-BE49-F238E27FC236}">
              <a16:creationId xmlns:a16="http://schemas.microsoft.com/office/drawing/2014/main" id="{00000000-0008-0000-0E00-000014000000}"/>
            </a:ext>
          </a:extLst>
        </xdr:cNvPr>
        <xdr:cNvCxnSpPr>
          <a:stCxn id="18" idx="1"/>
          <a:endCxn id="19" idx="1"/>
        </xdr:cNvCxnSpPr>
      </xdr:nvCxnSpPr>
      <xdr:spPr>
        <a:xfrm>
          <a:off x="8515350" y="21019839"/>
          <a:ext cx="470062" cy="814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71</xdr:row>
      <xdr:rowOff>21863</xdr:rowOff>
    </xdr:from>
    <xdr:to>
      <xdr:col>19</xdr:col>
      <xdr:colOff>244927</xdr:colOff>
      <xdr:row>76</xdr:row>
      <xdr:rowOff>2812</xdr:rowOff>
    </xdr:to>
    <xdr:sp macro="" textlink="">
      <xdr:nvSpPr>
        <xdr:cNvPr id="21" name="右中かっこ 20">
          <a:extLst>
            <a:ext uri="{FF2B5EF4-FFF2-40B4-BE49-F238E27FC236}">
              <a16:creationId xmlns:a16="http://schemas.microsoft.com/office/drawing/2014/main" id="{00000000-0008-0000-0E00-000015000000}"/>
            </a:ext>
          </a:extLst>
        </xdr:cNvPr>
        <xdr:cNvSpPr/>
      </xdr:nvSpPr>
      <xdr:spPr>
        <a:xfrm>
          <a:off x="8286750" y="17566913"/>
          <a:ext cx="244927" cy="1981199"/>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725877</xdr:colOff>
      <xdr:row>69</xdr:row>
      <xdr:rowOff>158935</xdr:rowOff>
    </xdr:from>
    <xdr:to>
      <xdr:col>20</xdr:col>
      <xdr:colOff>7726</xdr:colOff>
      <xdr:row>76</xdr:row>
      <xdr:rowOff>64497</xdr:rowOff>
    </xdr:to>
    <xdr:sp macro="" textlink="">
      <xdr:nvSpPr>
        <xdr:cNvPr id="22" name="右中かっこ 21">
          <a:extLst>
            <a:ext uri="{FF2B5EF4-FFF2-40B4-BE49-F238E27FC236}">
              <a16:creationId xmlns:a16="http://schemas.microsoft.com/office/drawing/2014/main" id="{00000000-0008-0000-0E00-000016000000}"/>
            </a:ext>
          </a:extLst>
        </xdr:cNvPr>
        <xdr:cNvSpPr/>
      </xdr:nvSpPr>
      <xdr:spPr>
        <a:xfrm rot="10800000">
          <a:off x="9012627" y="17281710"/>
          <a:ext cx="269274" cy="2331262"/>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248102</xdr:colOff>
      <xdr:row>73</xdr:row>
      <xdr:rowOff>112284</xdr:rowOff>
    </xdr:from>
    <xdr:to>
      <xdr:col>19</xdr:col>
      <xdr:colOff>725877</xdr:colOff>
      <xdr:row>73</xdr:row>
      <xdr:rowOff>226324</xdr:rowOff>
    </xdr:to>
    <xdr:cxnSp macro="">
      <xdr:nvCxnSpPr>
        <xdr:cNvPr id="23" name="直線矢印コネクタ 22">
          <a:extLst>
            <a:ext uri="{FF2B5EF4-FFF2-40B4-BE49-F238E27FC236}">
              <a16:creationId xmlns:a16="http://schemas.microsoft.com/office/drawing/2014/main" id="{00000000-0008-0000-0E00-000017000000}"/>
            </a:ext>
          </a:extLst>
        </xdr:cNvPr>
        <xdr:cNvCxnSpPr>
          <a:stCxn id="21" idx="1"/>
          <a:endCxn id="22" idx="1"/>
        </xdr:cNvCxnSpPr>
      </xdr:nvCxnSpPr>
      <xdr:spPr>
        <a:xfrm flipV="1">
          <a:off x="8534852" y="18457434"/>
          <a:ext cx="477775" cy="11404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37644</xdr:colOff>
      <xdr:row>61</xdr:row>
      <xdr:rowOff>47897</xdr:rowOff>
    </xdr:from>
    <xdr:to>
      <xdr:col>19</xdr:col>
      <xdr:colOff>228600</xdr:colOff>
      <xdr:row>66</xdr:row>
      <xdr:rowOff>206829</xdr:rowOff>
    </xdr:to>
    <xdr:sp macro="" textlink="">
      <xdr:nvSpPr>
        <xdr:cNvPr id="24" name="右中かっこ 23">
          <a:extLst>
            <a:ext uri="{FF2B5EF4-FFF2-40B4-BE49-F238E27FC236}">
              <a16:creationId xmlns:a16="http://schemas.microsoft.com/office/drawing/2014/main" id="{00000000-0008-0000-0E00-000018000000}"/>
            </a:ext>
          </a:extLst>
        </xdr:cNvPr>
        <xdr:cNvSpPr/>
      </xdr:nvSpPr>
      <xdr:spPr>
        <a:xfrm>
          <a:off x="8278130" y="14729551"/>
          <a:ext cx="190956" cy="1359535"/>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791642</xdr:colOff>
      <xdr:row>60</xdr:row>
      <xdr:rowOff>28756</xdr:rowOff>
    </xdr:from>
    <xdr:to>
      <xdr:col>19</xdr:col>
      <xdr:colOff>943882</xdr:colOff>
      <xdr:row>63</xdr:row>
      <xdr:rowOff>206829</xdr:rowOff>
    </xdr:to>
    <xdr:sp macro="" textlink="">
      <xdr:nvSpPr>
        <xdr:cNvPr id="25" name="右中かっこ 24">
          <a:extLst>
            <a:ext uri="{FF2B5EF4-FFF2-40B4-BE49-F238E27FC236}">
              <a16:creationId xmlns:a16="http://schemas.microsoft.com/office/drawing/2014/main" id="{00000000-0008-0000-0E00-000019000000}"/>
            </a:ext>
          </a:extLst>
        </xdr:cNvPr>
        <xdr:cNvSpPr/>
      </xdr:nvSpPr>
      <xdr:spPr>
        <a:xfrm rot="10800000">
          <a:off x="9035303" y="14470924"/>
          <a:ext cx="152240" cy="899705"/>
        </a:xfrm>
        <a:prstGeom prst="rightBrace">
          <a:avLst>
            <a:gd name="adj1" fmla="val 63252"/>
            <a:gd name="adj2" fmla="val 47673"/>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228600</xdr:colOff>
      <xdr:row>62</xdr:row>
      <xdr:rowOff>17399</xdr:rowOff>
    </xdr:from>
    <xdr:to>
      <xdr:col>19</xdr:col>
      <xdr:colOff>791642</xdr:colOff>
      <xdr:row>64</xdr:row>
      <xdr:rowOff>16215</xdr:rowOff>
    </xdr:to>
    <xdr:cxnSp macro="">
      <xdr:nvCxnSpPr>
        <xdr:cNvPr id="26" name="直線矢印コネクタ 25">
          <a:extLst>
            <a:ext uri="{FF2B5EF4-FFF2-40B4-BE49-F238E27FC236}">
              <a16:creationId xmlns:a16="http://schemas.microsoft.com/office/drawing/2014/main" id="{00000000-0008-0000-0E00-00001A000000}"/>
            </a:ext>
          </a:extLst>
        </xdr:cNvPr>
        <xdr:cNvCxnSpPr>
          <a:stCxn id="24" idx="1"/>
          <a:endCxn id="25" idx="1"/>
        </xdr:cNvCxnSpPr>
      </xdr:nvCxnSpPr>
      <xdr:spPr>
        <a:xfrm flipV="1">
          <a:off x="8469086" y="14941713"/>
          <a:ext cx="566217" cy="47778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55</xdr:row>
      <xdr:rowOff>143456</xdr:rowOff>
    </xdr:from>
    <xdr:to>
      <xdr:col>19</xdr:col>
      <xdr:colOff>922110</xdr:colOff>
      <xdr:row>55</xdr:row>
      <xdr:rowOff>143456</xdr:rowOff>
    </xdr:to>
    <xdr:cxnSp macro="">
      <xdr:nvCxnSpPr>
        <xdr:cNvPr id="27" name="直線矢印コネクタ 26">
          <a:extLst>
            <a:ext uri="{FF2B5EF4-FFF2-40B4-BE49-F238E27FC236}">
              <a16:creationId xmlns:a16="http://schemas.microsoft.com/office/drawing/2014/main" id="{00000000-0008-0000-0E00-00001B000000}"/>
            </a:ext>
          </a:extLst>
        </xdr:cNvPr>
        <xdr:cNvCxnSpPr/>
      </xdr:nvCxnSpPr>
      <xdr:spPr>
        <a:xfrm>
          <a:off x="8240486" y="13405431"/>
          <a:ext cx="925285"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30552</xdr:colOff>
      <xdr:row>33</xdr:row>
      <xdr:rowOff>133350</xdr:rowOff>
    </xdr:from>
    <xdr:to>
      <xdr:col>19</xdr:col>
      <xdr:colOff>869825</xdr:colOff>
      <xdr:row>33</xdr:row>
      <xdr:rowOff>135745</xdr:rowOff>
    </xdr:to>
    <xdr:cxnSp macro="">
      <xdr:nvCxnSpPr>
        <xdr:cNvPr id="28" name="直線矢印コネクタ 27">
          <a:extLst>
            <a:ext uri="{FF2B5EF4-FFF2-40B4-BE49-F238E27FC236}">
              <a16:creationId xmlns:a16="http://schemas.microsoft.com/office/drawing/2014/main" id="{00000000-0008-0000-0E00-00001C000000}"/>
            </a:ext>
          </a:extLst>
        </xdr:cNvPr>
        <xdr:cNvCxnSpPr/>
      </xdr:nvCxnSpPr>
      <xdr:spPr>
        <a:xfrm flipV="1">
          <a:off x="8320477" y="8420100"/>
          <a:ext cx="832923" cy="2395"/>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75292</xdr:colOff>
      <xdr:row>34</xdr:row>
      <xdr:rowOff>162194</xdr:rowOff>
    </xdr:from>
    <xdr:to>
      <xdr:col>19</xdr:col>
      <xdr:colOff>830654</xdr:colOff>
      <xdr:row>36</xdr:row>
      <xdr:rowOff>163194</xdr:rowOff>
    </xdr:to>
    <xdr:cxnSp macro="">
      <xdr:nvCxnSpPr>
        <xdr:cNvPr id="29" name="直線矢印コネクタ 28">
          <a:extLst>
            <a:ext uri="{FF2B5EF4-FFF2-40B4-BE49-F238E27FC236}">
              <a16:creationId xmlns:a16="http://schemas.microsoft.com/office/drawing/2014/main" id="{00000000-0008-0000-0E00-00001D000000}"/>
            </a:ext>
          </a:extLst>
        </xdr:cNvPr>
        <xdr:cNvCxnSpPr/>
      </xdr:nvCxnSpPr>
      <xdr:spPr>
        <a:xfrm>
          <a:off x="8362042" y="8693419"/>
          <a:ext cx="758537" cy="45820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67</xdr:row>
      <xdr:rowOff>136196</xdr:rowOff>
    </xdr:from>
    <xdr:to>
      <xdr:col>19</xdr:col>
      <xdr:colOff>922110</xdr:colOff>
      <xdr:row>67</xdr:row>
      <xdr:rowOff>136196</xdr:rowOff>
    </xdr:to>
    <xdr:cxnSp macro="">
      <xdr:nvCxnSpPr>
        <xdr:cNvPr id="3" name="直線矢印コネクタ 2">
          <a:extLst>
            <a:ext uri="{FF2B5EF4-FFF2-40B4-BE49-F238E27FC236}">
              <a16:creationId xmlns:a16="http://schemas.microsoft.com/office/drawing/2014/main" id="{00000000-0008-0000-0E00-000003000000}"/>
            </a:ext>
          </a:extLst>
        </xdr:cNvPr>
        <xdr:cNvCxnSpPr/>
      </xdr:nvCxnSpPr>
      <xdr:spPr>
        <a:xfrm>
          <a:off x="8240486" y="16257939"/>
          <a:ext cx="925285" cy="0"/>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057775" y="24003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15</xdr:col>
      <xdr:colOff>402852</xdr:colOff>
      <xdr:row>0</xdr:row>
      <xdr:rowOff>0</xdr:rowOff>
    </xdr:from>
    <xdr:ext cx="877163" cy="466165"/>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023723"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91440</xdr:colOff>
      <xdr:row>75</xdr:row>
      <xdr:rowOff>100783</xdr:rowOff>
    </xdr:to>
    <xdr:pic>
      <xdr:nvPicPr>
        <xdr:cNvPr id="25" name="図 24">
          <a:extLst>
            <a:ext uri="{FF2B5EF4-FFF2-40B4-BE49-F238E27FC236}">
              <a16:creationId xmlns:a16="http://schemas.microsoft.com/office/drawing/2014/main" id="{00000000-0008-0000-16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77840" cy="12849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hosoi\Documents\&#12484;&#12540;&#12523;\01_&#20185;&#21488;&#24066;\&#31532;&#20108;&#26399;2024&#12484;&#12540;&#12523;&#35430;&#20316;&#29256;\&#35430;&#20316;&#29256;_20240312\20240312\AP&#22577;&#21578;&#26360;_2024&#24180;03&#26376;12&#26085;15&#26178;08&#20998;53&#31186;&#20316;&#25104;.xlsx" TargetMode="External"/><Relationship Id="rId1" Type="http://schemas.openxmlformats.org/officeDocument/2006/relationships/externalLinkPath" Target="file:///\\192.168.20.240\share-ChiEne\Users\h.hosoi\Documents\&#12484;&#12540;&#12523;\01_&#20185;&#21488;&#24066;\&#31532;&#20108;&#26399;2024&#12484;&#12540;&#12523;&#35430;&#20316;&#29256;\&#35430;&#20316;&#29256;_20240312\20240312\AP&#22577;&#21578;&#26360;_2024&#24180;03&#26376;12&#26085;15&#26178;08&#20998;53&#31186;&#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計画書①（事業所概要・目標）"/>
      <sheetName val="計画書② (取組）"/>
      <sheetName val="計画書③（任意記載）"/>
      <sheetName val="事業所排出量内訳（基準年度）"/>
      <sheetName val="計画書提出書"/>
      <sheetName val="計画書（公表用）"/>
      <sheetName val="報告書①（事業所概要・実績）"/>
      <sheetName val="報告書② 第1年度(取組）"/>
      <sheetName val="報告書② 第2年度(取組）"/>
      <sheetName val="報告書② 第3年度(取組）"/>
      <sheetName val="報告書③（任意記載）"/>
      <sheetName val="事業所排出量内訳（第1年度)"/>
      <sheetName val="事業所排出量内訳（第2年度)"/>
      <sheetName val="事業所排出量内訳（第3年度)"/>
      <sheetName val="報告書提出書"/>
      <sheetName val="報告書（公表用）"/>
      <sheetName val="委任状"/>
      <sheetName val="評価点まとめ"/>
      <sheetName val="係数"/>
      <sheetName val="産業分類"/>
      <sheetName val="リスト1"/>
      <sheetName val="対策リスト"/>
    </sheetNames>
    <sheetDataSet>
      <sheetData sheetId="0">
        <row r="4">
          <cell r="E4">
            <v>2022</v>
          </cell>
        </row>
      </sheetData>
      <sheetData sheetId="1">
        <row r="13">
          <cell r="A13" t="str">
            <v>１．事業活動を通じて、環境負荷を最小限にする仕事の仕組みをつくり、環境の保全に取り組みます。
２．事業活動を通じた環境保全活動を定期的に見直し、継続的な改善に努めます。
３．環境保全に関連する法規制を遵守します。</v>
          </cell>
        </row>
      </sheetData>
      <sheetData sheetId="2">
        <row r="5">
          <cell r="E5" t="str">
            <v>実施済</v>
          </cell>
        </row>
      </sheetData>
      <sheetData sheetId="3">
        <row r="4">
          <cell r="B4" t="str">
            <v>吸着器再生用ヒーターの加熱時間を短縮し、年間約8,000kWの電力削減。</v>
          </cell>
        </row>
      </sheetData>
      <sheetData sheetId="4">
        <row r="6">
          <cell r="I6">
            <v>1</v>
          </cell>
          <cell r="J6">
            <v>0.1</v>
          </cell>
        </row>
        <row r="7">
          <cell r="I7">
            <v>2</v>
          </cell>
          <cell r="J7">
            <v>0.2</v>
          </cell>
        </row>
        <row r="8">
          <cell r="I8">
            <v>3</v>
          </cell>
          <cell r="J8">
            <v>0.3</v>
          </cell>
        </row>
        <row r="9">
          <cell r="I9">
            <v>4</v>
          </cell>
          <cell r="J9">
            <v>0.4</v>
          </cell>
        </row>
        <row r="10">
          <cell r="I10">
            <v>25</v>
          </cell>
          <cell r="J10">
            <v>2.5</v>
          </cell>
        </row>
        <row r="11">
          <cell r="I11">
            <v>5</v>
          </cell>
          <cell r="J11">
            <v>0.5</v>
          </cell>
        </row>
        <row r="12">
          <cell r="I12">
            <v>6</v>
          </cell>
          <cell r="J12">
            <v>0.6</v>
          </cell>
        </row>
        <row r="13">
          <cell r="I13">
            <v>7</v>
          </cell>
          <cell r="J13">
            <v>0.7</v>
          </cell>
        </row>
        <row r="14">
          <cell r="I14">
            <v>8</v>
          </cell>
          <cell r="J14">
            <v>0.8</v>
          </cell>
        </row>
        <row r="15">
          <cell r="I15">
            <v>9</v>
          </cell>
          <cell r="J15">
            <v>0.9</v>
          </cell>
        </row>
        <row r="16">
          <cell r="I16">
            <v>10</v>
          </cell>
          <cell r="J16">
            <v>1</v>
          </cell>
        </row>
        <row r="17">
          <cell r="I17">
            <v>11</v>
          </cell>
          <cell r="J17">
            <v>1.1000000000000001</v>
          </cell>
        </row>
        <row r="18">
          <cell r="I18">
            <v>12</v>
          </cell>
          <cell r="J18">
            <v>1.2</v>
          </cell>
        </row>
        <row r="19">
          <cell r="I19">
            <v>13</v>
          </cell>
          <cell r="J19">
            <v>1.3</v>
          </cell>
        </row>
        <row r="20">
          <cell r="I20">
            <v>14</v>
          </cell>
          <cell r="J20">
            <v>1.4</v>
          </cell>
        </row>
        <row r="21">
          <cell r="I21">
            <v>15</v>
          </cell>
          <cell r="J21">
            <v>1.5</v>
          </cell>
        </row>
        <row r="24">
          <cell r="I24">
            <v>16</v>
          </cell>
          <cell r="J24">
            <v>1.6</v>
          </cell>
        </row>
        <row r="26">
          <cell r="I26">
            <v>17</v>
          </cell>
          <cell r="J26">
            <v>1.7</v>
          </cell>
        </row>
        <row r="27">
          <cell r="I27">
            <v>18</v>
          </cell>
          <cell r="J27">
            <v>1.8</v>
          </cell>
        </row>
        <row r="28">
          <cell r="I28">
            <v>19</v>
          </cell>
          <cell r="J28">
            <v>1.9</v>
          </cell>
        </row>
        <row r="29">
          <cell r="I29">
            <v>20</v>
          </cell>
          <cell r="J29">
            <v>2</v>
          </cell>
        </row>
        <row r="30">
          <cell r="I30">
            <v>21</v>
          </cell>
          <cell r="J30">
            <v>2.1</v>
          </cell>
        </row>
        <row r="32">
          <cell r="I32">
            <v>22</v>
          </cell>
          <cell r="J32">
            <v>2.2000000000000002</v>
          </cell>
        </row>
        <row r="33">
          <cell r="I33">
            <v>23</v>
          </cell>
          <cell r="J33">
            <v>2.2999999999999998</v>
          </cell>
        </row>
        <row r="34">
          <cell r="I34">
            <v>24</v>
          </cell>
          <cell r="J34">
            <v>2.4</v>
          </cell>
        </row>
        <row r="35">
          <cell r="I35">
            <v>26</v>
          </cell>
          <cell r="J35">
            <v>2.6</v>
          </cell>
          <cell r="L35" t="str">
            <v>aa</v>
          </cell>
          <cell r="M35">
            <v>27</v>
          </cell>
          <cell r="N35">
            <v>28</v>
          </cell>
        </row>
        <row r="37">
          <cell r="U37" t="str">
            <v>ああああ</v>
          </cell>
          <cell r="V37">
            <v>29</v>
          </cell>
          <cell r="W37">
            <v>30</v>
          </cell>
        </row>
        <row r="60">
          <cell r="I60">
            <v>31</v>
          </cell>
          <cell r="J60">
            <v>3.1</v>
          </cell>
        </row>
        <row r="62">
          <cell r="I62">
            <v>32</v>
          </cell>
          <cell r="J62">
            <v>3.2</v>
          </cell>
        </row>
        <row r="64">
          <cell r="I64">
            <v>33</v>
          </cell>
          <cell r="J64">
            <v>3.3</v>
          </cell>
        </row>
        <row r="66">
          <cell r="I66">
            <v>34</v>
          </cell>
          <cell r="J66">
            <v>3.4</v>
          </cell>
        </row>
        <row r="81">
          <cell r="U81" t="str">
            <v>東北電力(株)_1_(メニューC(残差))</v>
          </cell>
          <cell r="V81">
            <v>57</v>
          </cell>
          <cell r="W81">
            <v>58</v>
          </cell>
          <cell r="Y81">
            <v>59</v>
          </cell>
        </row>
        <row r="82">
          <cell r="U82" t="str">
            <v>東北電力(株)_2_(メニューC(残差))</v>
          </cell>
          <cell r="V82">
            <v>60</v>
          </cell>
          <cell r="W82">
            <v>61</v>
          </cell>
          <cell r="Y82">
            <v>62</v>
          </cell>
        </row>
        <row r="83">
          <cell r="U83" t="str">
            <v>東北電力(株)_3_(メニューC(残差))</v>
          </cell>
          <cell r="V83">
            <v>63</v>
          </cell>
          <cell r="W83">
            <v>64</v>
          </cell>
          <cell r="Y83">
            <v>65</v>
          </cell>
        </row>
        <row r="84">
          <cell r="U84" t="str">
            <v>東北電力(株)_4_(メニューC(残差))</v>
          </cell>
          <cell r="V84">
            <v>66</v>
          </cell>
          <cell r="W84">
            <v>67</v>
          </cell>
          <cell r="Y84">
            <v>68</v>
          </cell>
        </row>
        <row r="85">
          <cell r="U85" t="str">
            <v>東北電力(株)_5_(メニューC(残差))</v>
          </cell>
          <cell r="V85">
            <v>69</v>
          </cell>
          <cell r="W85">
            <v>70</v>
          </cell>
          <cell r="Y85">
            <v>71</v>
          </cell>
        </row>
        <row r="96">
          <cell r="G96">
            <v>35</v>
          </cell>
        </row>
        <row r="97">
          <cell r="G97">
            <v>36</v>
          </cell>
          <cell r="V97">
            <v>90</v>
          </cell>
          <cell r="W97">
            <v>91</v>
          </cell>
          <cell r="Y97">
            <v>92</v>
          </cell>
        </row>
        <row r="98">
          <cell r="G98">
            <v>37</v>
          </cell>
          <cell r="V98">
            <v>93</v>
          </cell>
          <cell r="W98">
            <v>94</v>
          </cell>
          <cell r="Y98">
            <v>95</v>
          </cell>
        </row>
        <row r="99">
          <cell r="G99">
            <v>38</v>
          </cell>
        </row>
        <row r="100">
          <cell r="G100">
            <v>39</v>
          </cell>
        </row>
        <row r="101">
          <cell r="G101">
            <v>40</v>
          </cell>
        </row>
        <row r="102">
          <cell r="G102">
            <v>41</v>
          </cell>
        </row>
        <row r="103">
          <cell r="W103">
            <v>87</v>
          </cell>
          <cell r="X103">
            <v>88</v>
          </cell>
          <cell r="Y103">
            <v>89</v>
          </cell>
        </row>
        <row r="109">
          <cell r="C109">
            <v>42</v>
          </cell>
          <cell r="G109">
            <v>43</v>
          </cell>
        </row>
        <row r="110">
          <cell r="C110">
            <v>44</v>
          </cell>
          <cell r="G110">
            <v>45</v>
          </cell>
        </row>
        <row r="111">
          <cell r="C111">
            <v>46</v>
          </cell>
          <cell r="G111">
            <v>47</v>
          </cell>
        </row>
        <row r="112">
          <cell r="C112">
            <v>48</v>
          </cell>
          <cell r="G112">
            <v>49</v>
          </cell>
        </row>
        <row r="113">
          <cell r="C113">
            <v>50</v>
          </cell>
          <cell r="G113">
            <v>51</v>
          </cell>
        </row>
        <row r="114">
          <cell r="C114">
            <v>52</v>
          </cell>
          <cell r="G114">
            <v>53</v>
          </cell>
        </row>
        <row r="115">
          <cell r="C115">
            <v>54</v>
          </cell>
          <cell r="G115">
            <v>55</v>
          </cell>
        </row>
        <row r="121">
          <cell r="G121" t="str">
            <v>生産数量</v>
          </cell>
        </row>
        <row r="122">
          <cell r="G122" t="str">
            <v>百万m3</v>
          </cell>
        </row>
        <row r="123">
          <cell r="G123">
            <v>56</v>
          </cell>
        </row>
      </sheetData>
      <sheetData sheetId="5" refreshError="1"/>
      <sheetData sheetId="6" refreshError="1"/>
      <sheetData sheetId="7"/>
      <sheetData sheetId="8">
        <row r="45">
          <cell r="F45" t="str">
            <v>一部実施済</v>
          </cell>
        </row>
      </sheetData>
      <sheetData sheetId="9">
        <row r="45">
          <cell r="G45" t="str">
            <v>一部実施済</v>
          </cell>
        </row>
      </sheetData>
      <sheetData sheetId="10">
        <row r="91">
          <cell r="C91" t="str">
            <v>外気冷房</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Q2" t="str">
            <v>エネルギー名称区分</v>
          </cell>
        </row>
      </sheetData>
      <sheetData sheetId="20">
        <row r="2">
          <cell r="A2" t="str">
            <v>01</v>
          </cell>
        </row>
      </sheetData>
      <sheetData sheetId="21" refreshError="1"/>
      <sheetData sheetId="22">
        <row r="3">
          <cell r="D3" t="str">
            <v>外部機関による省エネ診断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lumMod val="40000"/>
            <a:lumOff val="60000"/>
          </a:schemeClr>
        </a:solidFill>
        <a:ln w="6350">
          <a:solidFill>
            <a:schemeClr val="tx1"/>
          </a:solidFill>
        </a:ln>
      </a:spPr>
      <a:bodyPr vertOverflow="clip" horzOverflow="clip" rtlCol="0" anchor="ctr" anchorCtr="1"/>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Z49"/>
  <sheetViews>
    <sheetView tabSelected="1" view="pageBreakPreview" topLeftCell="B2" zoomScaleNormal="100" zoomScaleSheetLayoutView="100" workbookViewId="0">
      <selection activeCell="E4" sqref="E4"/>
    </sheetView>
  </sheetViews>
  <sheetFormatPr defaultColWidth="8.88671875" defaultRowHeight="17.399999999999999"/>
  <cols>
    <col min="1" max="1" width="2.88671875" style="8" hidden="1" customWidth="1"/>
    <col min="2" max="2" width="13.109375" style="8" bestFit="1" customWidth="1"/>
    <col min="3" max="3" width="18.6640625" style="8" customWidth="1"/>
    <col min="4" max="4" width="3.109375" style="624" customWidth="1"/>
    <col min="5" max="5" width="7" style="8" bestFit="1" customWidth="1"/>
    <col min="6" max="7" width="5.6640625" style="8" customWidth="1"/>
    <col min="8" max="8" width="7" style="8" bestFit="1" customWidth="1"/>
    <col min="9" max="17" width="5.6640625" style="8" customWidth="1"/>
    <col min="18" max="18" width="21.44140625" style="8" hidden="1" customWidth="1"/>
    <col min="19" max="19" width="7.44140625" style="8" hidden="1" customWidth="1"/>
    <col min="20" max="20" width="10.33203125" style="8" customWidth="1"/>
    <col min="21" max="21" width="11.6640625" style="8" customWidth="1"/>
    <col min="22" max="23" width="5.6640625" style="8" customWidth="1"/>
    <col min="24" max="25" width="8.88671875" style="8"/>
    <col min="26" max="26" width="8.88671875" style="8" hidden="1" customWidth="1"/>
    <col min="27" max="16384" width="8.88671875" style="8"/>
  </cols>
  <sheetData>
    <row r="1" spans="1:26" ht="13.35" hidden="1" customHeight="1">
      <c r="A1" s="623" t="s">
        <v>5398</v>
      </c>
      <c r="B1" s="8" t="s">
        <v>4127</v>
      </c>
      <c r="C1" s="8" t="s">
        <v>4128</v>
      </c>
      <c r="D1" s="8" t="s">
        <v>4391</v>
      </c>
      <c r="E1" s="8" t="s">
        <v>4129</v>
      </c>
      <c r="F1" s="8" t="s">
        <v>4130</v>
      </c>
      <c r="G1" s="8" t="s">
        <v>4131</v>
      </c>
      <c r="H1" s="8" t="s">
        <v>4132</v>
      </c>
      <c r="I1" s="8" t="s">
        <v>4133</v>
      </c>
      <c r="J1" s="8" t="s">
        <v>4134</v>
      </c>
      <c r="K1" s="8" t="s">
        <v>4135</v>
      </c>
      <c r="L1" s="8" t="s">
        <v>4136</v>
      </c>
      <c r="M1" s="8" t="s">
        <v>4137</v>
      </c>
      <c r="N1" s="8" t="s">
        <v>4138</v>
      </c>
      <c r="O1" s="8" t="s">
        <v>4392</v>
      </c>
    </row>
    <row r="2" spans="1:26" ht="8.25" customHeight="1">
      <c r="S2" s="638"/>
      <c r="Z2" s="625">
        <v>2011</v>
      </c>
    </row>
    <row r="3" spans="1:26" s="22" customFormat="1" ht="20.25" customHeight="1">
      <c r="A3" s="22">
        <v>3</v>
      </c>
      <c r="B3" s="22" t="s">
        <v>85</v>
      </c>
      <c r="C3" s="22" t="s">
        <v>3102</v>
      </c>
      <c r="D3" s="626"/>
      <c r="E3" s="110" t="str">
        <f>IF(E4="","",IF(E4=2025,2025,E4+1))</f>
        <v/>
      </c>
      <c r="F3" s="119" t="s">
        <v>94</v>
      </c>
      <c r="G3" s="627" t="s">
        <v>3103</v>
      </c>
      <c r="H3" s="110">
        <v>2025</v>
      </c>
      <c r="I3" s="119" t="s">
        <v>94</v>
      </c>
      <c r="K3" s="107"/>
    </row>
    <row r="4" spans="1:26" s="22" customFormat="1" ht="20.25" customHeight="1">
      <c r="A4" s="22">
        <v>4</v>
      </c>
      <c r="C4" s="22" t="s">
        <v>86</v>
      </c>
      <c r="D4" s="107"/>
      <c r="E4" s="237"/>
      <c r="F4" s="119" t="s">
        <v>94</v>
      </c>
      <c r="T4" s="628"/>
    </row>
    <row r="5" spans="1:26" s="22" customFormat="1" ht="20.25" customHeight="1">
      <c r="A5" s="22">
        <v>5</v>
      </c>
      <c r="C5" s="22" t="s">
        <v>4191</v>
      </c>
      <c r="D5" s="626"/>
      <c r="E5" s="253"/>
      <c r="F5" s="119" t="s">
        <v>2</v>
      </c>
      <c r="G5" s="254"/>
      <c r="H5" s="119" t="s">
        <v>4110</v>
      </c>
      <c r="I5" s="254"/>
      <c r="J5" s="119" t="s">
        <v>4111</v>
      </c>
      <c r="T5" s="628"/>
    </row>
    <row r="6" spans="1:26" s="22" customFormat="1" ht="20.25" customHeight="1">
      <c r="A6" s="22">
        <v>6</v>
      </c>
      <c r="B6" s="22" t="s">
        <v>18</v>
      </c>
      <c r="C6" s="22" t="s">
        <v>20</v>
      </c>
      <c r="D6" s="107"/>
      <c r="E6" s="640"/>
      <c r="F6" s="640"/>
      <c r="G6" s="640"/>
      <c r="H6" s="640"/>
      <c r="I6" s="640"/>
      <c r="J6" s="640"/>
      <c r="K6" s="640"/>
      <c r="L6" s="640"/>
      <c r="M6" s="640"/>
      <c r="N6" s="640"/>
      <c r="T6" s="628"/>
    </row>
    <row r="7" spans="1:26" s="22" customFormat="1" ht="20.25" customHeight="1">
      <c r="A7" s="22">
        <v>7</v>
      </c>
      <c r="C7" s="22" t="s">
        <v>19</v>
      </c>
      <c r="D7" s="107"/>
      <c r="E7" s="640"/>
      <c r="F7" s="640"/>
      <c r="G7" s="640"/>
      <c r="H7" s="640"/>
      <c r="I7" s="640"/>
      <c r="J7" s="640"/>
      <c r="K7" s="640"/>
      <c r="L7" s="640"/>
      <c r="M7" s="640"/>
      <c r="N7" s="640"/>
      <c r="T7" s="628"/>
    </row>
    <row r="8" spans="1:26" s="22" customFormat="1" ht="20.25" customHeight="1">
      <c r="A8" s="22">
        <v>8</v>
      </c>
      <c r="C8" s="22" t="s">
        <v>21</v>
      </c>
      <c r="D8" s="107"/>
      <c r="E8" s="640"/>
      <c r="F8" s="640"/>
      <c r="G8" s="640"/>
      <c r="H8" s="640"/>
      <c r="I8" s="640"/>
      <c r="J8" s="640"/>
      <c r="K8" s="640"/>
      <c r="L8" s="640"/>
      <c r="M8" s="640"/>
      <c r="N8" s="640"/>
      <c r="T8" s="628"/>
    </row>
    <row r="9" spans="1:26" s="22" customFormat="1" ht="20.25" customHeight="1">
      <c r="A9" s="22">
        <v>9</v>
      </c>
      <c r="C9" s="22" t="s">
        <v>22</v>
      </c>
      <c r="D9" s="107"/>
      <c r="E9" s="640"/>
      <c r="F9" s="640"/>
      <c r="G9" s="640"/>
      <c r="H9" s="640"/>
      <c r="I9" s="640"/>
      <c r="J9" s="640"/>
      <c r="K9" s="640"/>
      <c r="L9" s="640"/>
      <c r="M9" s="640"/>
      <c r="N9" s="640"/>
      <c r="S9" s="634">
        <v>2</v>
      </c>
      <c r="T9" s="628"/>
    </row>
    <row r="10" spans="1:26" s="22" customFormat="1" ht="20.25" customHeight="1">
      <c r="A10" s="22">
        <v>10</v>
      </c>
      <c r="B10" s="22" t="s">
        <v>4112</v>
      </c>
      <c r="C10" s="22" t="s">
        <v>4113</v>
      </c>
      <c r="D10" s="107"/>
      <c r="E10" s="629"/>
      <c r="F10" s="22" t="s">
        <v>4116</v>
      </c>
      <c r="S10" s="639" t="b">
        <v>1</v>
      </c>
      <c r="T10" s="628"/>
    </row>
    <row r="11" spans="1:26" s="22" customFormat="1" ht="20.25" customHeight="1">
      <c r="A11" s="22">
        <v>11</v>
      </c>
      <c r="C11" s="22" t="s">
        <v>4114</v>
      </c>
      <c r="D11" s="107"/>
      <c r="E11" s="629"/>
      <c r="F11" s="22" t="s">
        <v>4117</v>
      </c>
      <c r="S11" s="639" t="b">
        <v>0</v>
      </c>
    </row>
    <row r="12" spans="1:26" s="22" customFormat="1" ht="20.25" customHeight="1">
      <c r="A12" s="22">
        <v>12</v>
      </c>
      <c r="C12" s="22" t="s">
        <v>4115</v>
      </c>
      <c r="D12" s="107"/>
      <c r="E12" s="629"/>
      <c r="F12" s="22" t="s">
        <v>4118</v>
      </c>
      <c r="S12" s="639" t="b">
        <v>0</v>
      </c>
    </row>
    <row r="13" spans="1:26" s="22" customFormat="1" ht="20.25" customHeight="1">
      <c r="A13" s="22">
        <v>13</v>
      </c>
      <c r="C13" s="22" t="s">
        <v>4119</v>
      </c>
      <c r="D13" s="107"/>
      <c r="E13" s="630"/>
      <c r="F13" s="22" t="s">
        <v>4120</v>
      </c>
      <c r="S13" s="639" t="b">
        <v>0</v>
      </c>
    </row>
    <row r="14" spans="1:26" s="22" customFormat="1" ht="20.25" customHeight="1">
      <c r="A14" s="22">
        <v>14</v>
      </c>
      <c r="B14" s="22" t="s">
        <v>29</v>
      </c>
      <c r="C14" s="22" t="s">
        <v>23</v>
      </c>
      <c r="D14" s="107"/>
      <c r="E14" s="640"/>
      <c r="F14" s="640"/>
      <c r="G14" s="640"/>
      <c r="H14" s="640"/>
      <c r="I14" s="640"/>
      <c r="J14" s="640"/>
      <c r="K14" s="640"/>
      <c r="L14" s="640"/>
      <c r="M14" s="640"/>
      <c r="N14" s="640"/>
    </row>
    <row r="15" spans="1:26" s="22" customFormat="1" ht="20.25" customHeight="1">
      <c r="A15" s="22">
        <v>15</v>
      </c>
      <c r="C15" s="22" t="s">
        <v>24</v>
      </c>
      <c r="D15" s="107"/>
      <c r="E15" s="119" t="s">
        <v>25</v>
      </c>
      <c r="F15" s="255"/>
      <c r="G15" s="119" t="s">
        <v>26</v>
      </c>
      <c r="H15" s="255"/>
    </row>
    <row r="16" spans="1:26" s="22" customFormat="1" ht="20.25" customHeight="1">
      <c r="A16" s="22">
        <v>16</v>
      </c>
      <c r="D16" s="107"/>
      <c r="E16" s="640"/>
      <c r="F16" s="640"/>
      <c r="G16" s="640"/>
      <c r="H16" s="640"/>
      <c r="I16" s="640"/>
      <c r="J16" s="640"/>
      <c r="K16" s="640"/>
      <c r="L16" s="640"/>
      <c r="M16" s="640"/>
      <c r="N16" s="640"/>
      <c r="R16" s="631" t="s">
        <v>168</v>
      </c>
      <c r="S16" s="22" t="str">
        <f>E17&amp;F17</f>
        <v/>
      </c>
      <c r="T16" s="628"/>
    </row>
    <row r="17" spans="1:23" s="22" customFormat="1" ht="20.25" customHeight="1">
      <c r="A17" s="22">
        <v>17</v>
      </c>
      <c r="C17" s="22" t="s">
        <v>27</v>
      </c>
      <c r="D17" s="107"/>
      <c r="E17" s="256"/>
      <c r="F17" s="256"/>
      <c r="G17" s="256"/>
      <c r="H17" s="256"/>
      <c r="R17" s="631" t="s">
        <v>3565</v>
      </c>
      <c r="S17" s="22" t="str">
        <f>IFERROR(VLOOKUP(S16,中分類,2,FALSE),"")</f>
        <v/>
      </c>
    </row>
    <row r="18" spans="1:23" s="22" customFormat="1" ht="20.25" customHeight="1">
      <c r="A18" s="22">
        <v>18</v>
      </c>
      <c r="C18" s="22" t="s">
        <v>28</v>
      </c>
      <c r="D18" s="107"/>
      <c r="E18" s="643" t="str">
        <f>S17</f>
        <v/>
      </c>
      <c r="F18" s="643"/>
      <c r="G18" s="643"/>
      <c r="H18" s="643"/>
      <c r="I18" s="643"/>
      <c r="J18" s="643"/>
      <c r="K18" s="643"/>
      <c r="L18" s="643"/>
      <c r="M18" s="643"/>
      <c r="N18" s="643"/>
      <c r="R18" s="631" t="s">
        <v>3566</v>
      </c>
      <c r="S18" s="22" t="str">
        <f>E17&amp;F17&amp;G17</f>
        <v/>
      </c>
    </row>
    <row r="19" spans="1:23" s="22" customFormat="1" ht="20.25" customHeight="1">
      <c r="A19" s="22">
        <v>19</v>
      </c>
      <c r="C19" s="22" t="s">
        <v>114</v>
      </c>
      <c r="D19" s="107"/>
      <c r="E19" s="641"/>
      <c r="F19" s="641"/>
      <c r="G19" s="119" t="s">
        <v>115</v>
      </c>
      <c r="R19" s="631" t="s">
        <v>3567</v>
      </c>
      <c r="S19" s="22" t="str">
        <f>IFERROR(VLOOKUP(S18,小分類,2,FALSE),"")</f>
        <v/>
      </c>
      <c r="W19" s="22" t="s">
        <v>4992</v>
      </c>
    </row>
    <row r="20" spans="1:23" s="22" customFormat="1" ht="20.25" customHeight="1">
      <c r="A20" s="22">
        <v>20</v>
      </c>
      <c r="C20" s="22" t="s">
        <v>116</v>
      </c>
      <c r="D20" s="107"/>
      <c r="E20" s="642"/>
      <c r="F20" s="642"/>
      <c r="G20" s="119" t="s">
        <v>117</v>
      </c>
      <c r="R20" s="631" t="s">
        <v>3099</v>
      </c>
      <c r="S20" s="22" t="str">
        <f>E17&amp;F17&amp;G17&amp;H17</f>
        <v/>
      </c>
    </row>
    <row r="21" spans="1:23" s="22" customFormat="1" ht="20.25" customHeight="1">
      <c r="A21" s="22">
        <v>21</v>
      </c>
      <c r="B21" s="22" t="s">
        <v>30</v>
      </c>
      <c r="C21" s="22" t="s">
        <v>31</v>
      </c>
      <c r="D21" s="107"/>
      <c r="E21" s="640"/>
      <c r="F21" s="640"/>
      <c r="G21" s="640"/>
      <c r="H21" s="640"/>
      <c r="I21" s="640"/>
      <c r="J21" s="640"/>
      <c r="K21" s="640"/>
      <c r="L21" s="640"/>
      <c r="M21" s="640"/>
      <c r="N21" s="640"/>
      <c r="R21" s="22" t="s">
        <v>170</v>
      </c>
      <c r="S21" s="22" t="str">
        <f>IFERROR(VLOOKUP(S20,細分類,2,FALSE),"")</f>
        <v/>
      </c>
    </row>
    <row r="22" spans="1:23" s="22" customFormat="1" ht="20.25" customHeight="1">
      <c r="A22" s="22">
        <v>22</v>
      </c>
      <c r="C22" s="22" t="s">
        <v>32</v>
      </c>
      <c r="D22" s="107"/>
      <c r="E22" s="119" t="s">
        <v>25</v>
      </c>
      <c r="F22" s="255"/>
      <c r="G22" s="119" t="s">
        <v>26</v>
      </c>
      <c r="H22" s="255"/>
    </row>
    <row r="23" spans="1:23" s="22" customFormat="1" ht="20.25" customHeight="1">
      <c r="A23" s="22">
        <v>23</v>
      </c>
      <c r="D23" s="107"/>
      <c r="E23" s="640"/>
      <c r="F23" s="640"/>
      <c r="G23" s="640"/>
      <c r="H23" s="640"/>
      <c r="I23" s="640"/>
      <c r="J23" s="640"/>
      <c r="K23" s="640"/>
      <c r="L23" s="640"/>
      <c r="M23" s="640"/>
      <c r="N23" s="640"/>
    </row>
    <row r="24" spans="1:23" s="22" customFormat="1" ht="20.25" customHeight="1">
      <c r="A24" s="22">
        <v>24</v>
      </c>
      <c r="C24" s="22" t="s">
        <v>33</v>
      </c>
      <c r="D24" s="107"/>
      <c r="E24" s="640"/>
      <c r="F24" s="640"/>
      <c r="G24" s="640"/>
      <c r="H24" s="640"/>
      <c r="I24" s="640"/>
      <c r="J24" s="640"/>
      <c r="K24" s="640"/>
      <c r="L24" s="640"/>
      <c r="M24" s="640"/>
      <c r="N24" s="640"/>
      <c r="T24" s="628"/>
    </row>
    <row r="25" spans="1:23" s="22" customFormat="1" ht="20.25" customHeight="1">
      <c r="A25" s="22">
        <v>25</v>
      </c>
      <c r="C25" s="22" t="s">
        <v>34</v>
      </c>
      <c r="D25" s="107"/>
      <c r="E25" s="644"/>
      <c r="F25" s="644"/>
      <c r="G25" s="644"/>
      <c r="H25" s="644"/>
      <c r="I25" s="644"/>
      <c r="J25" s="644"/>
      <c r="K25" s="644"/>
      <c r="L25" s="644"/>
      <c r="M25" s="644"/>
      <c r="N25" s="644"/>
      <c r="T25" s="628"/>
    </row>
    <row r="26" spans="1:23" s="22" customFormat="1" ht="20.25" customHeight="1">
      <c r="A26" s="22">
        <v>26</v>
      </c>
      <c r="C26" s="22" t="s">
        <v>35</v>
      </c>
      <c r="D26" s="107"/>
      <c r="E26" s="640"/>
      <c r="F26" s="640"/>
      <c r="G26" s="640"/>
      <c r="H26" s="640"/>
      <c r="I26" s="640"/>
      <c r="J26" s="640"/>
      <c r="K26" s="640"/>
      <c r="L26" s="640"/>
      <c r="M26" s="640"/>
      <c r="N26" s="640"/>
      <c r="T26" s="628"/>
    </row>
    <row r="27" spans="1:23" s="22" customFormat="1" ht="20.25" customHeight="1">
      <c r="A27" s="22">
        <v>27</v>
      </c>
      <c r="C27" s="22" t="s">
        <v>36</v>
      </c>
      <c r="D27" s="107"/>
      <c r="E27" s="645"/>
      <c r="F27" s="640"/>
      <c r="G27" s="640"/>
      <c r="H27" s="640"/>
      <c r="I27" s="640"/>
      <c r="J27" s="640"/>
      <c r="K27" s="640"/>
      <c r="L27" s="640"/>
      <c r="M27" s="640"/>
      <c r="N27" s="640"/>
      <c r="T27" s="628"/>
    </row>
    <row r="28" spans="1:23" s="22" customFormat="1" ht="8.25" customHeight="1">
      <c r="A28" s="22">
        <v>28</v>
      </c>
      <c r="D28" s="107"/>
      <c r="T28" s="628"/>
    </row>
    <row r="29" spans="1:23" s="22" customFormat="1" ht="20.25" customHeight="1">
      <c r="A29" s="22">
        <v>29</v>
      </c>
      <c r="B29" s="22" t="s">
        <v>4187</v>
      </c>
      <c r="C29" s="22" t="s">
        <v>4188</v>
      </c>
      <c r="D29" s="107"/>
      <c r="E29" s="119" t="s">
        <v>4189</v>
      </c>
      <c r="F29" s="237"/>
      <c r="G29" s="119" t="s">
        <v>4190</v>
      </c>
      <c r="T29" s="628"/>
    </row>
    <row r="30" spans="1:23" s="22" customFormat="1" ht="20.25" customHeight="1">
      <c r="A30" s="22">
        <v>30</v>
      </c>
      <c r="C30" s="22" t="s">
        <v>4191</v>
      </c>
      <c r="D30" s="107"/>
      <c r="E30" s="237"/>
      <c r="F30" s="119" t="s">
        <v>2</v>
      </c>
      <c r="G30" s="237"/>
      <c r="H30" s="119" t="s">
        <v>4110</v>
      </c>
      <c r="I30" s="237"/>
      <c r="J30" s="119" t="s">
        <v>0</v>
      </c>
      <c r="T30" s="628"/>
    </row>
    <row r="31" spans="1:23" ht="20.25" customHeight="1"/>
    <row r="32" spans="1:23" ht="20.25" customHeight="1"/>
    <row r="33" spans="3:7" ht="20.25" customHeight="1"/>
    <row r="34" spans="3:7" ht="20.25" customHeight="1">
      <c r="C34" s="632"/>
    </row>
    <row r="35" spans="3:7" ht="20.25" customHeight="1"/>
    <row r="36" spans="3:7" ht="20.25" customHeight="1">
      <c r="G36" s="633"/>
    </row>
    <row r="37" spans="3:7" ht="20.25" customHeight="1"/>
    <row r="38" spans="3:7" ht="20.25" customHeight="1"/>
    <row r="39" spans="3:7" ht="20.25" customHeight="1"/>
    <row r="40" spans="3:7" ht="20.25" customHeight="1"/>
    <row r="41" spans="3:7" ht="20.25" customHeight="1"/>
    <row r="49" spans="15:15">
      <c r="O49" s="8" t="str">
        <f>IF(L49="","",VLOOKUP(L49,電気事業者排出係数,2,FALSE))</f>
        <v/>
      </c>
    </row>
  </sheetData>
  <sheetProtection algorithmName="SHA-512" hashValue="/dWo7CEdijgqJ/m8YoLzr7sqaZZ55r3CXZ4dKDEYJEVqUNbT5Ns04JBKyA9dajmEt+3z+5OUKdlg2opQiPh3zw==" saltValue="CYJoOv6ic6whboVkUEld2g==" spinCount="100000" sheet="1" objects="1" scenarios="1" selectLockedCells="1"/>
  <mergeCells count="15">
    <mergeCell ref="E24:N24"/>
    <mergeCell ref="E25:N25"/>
    <mergeCell ref="E26:N26"/>
    <mergeCell ref="E27:N27"/>
    <mergeCell ref="E21:N21"/>
    <mergeCell ref="E16:N16"/>
    <mergeCell ref="E23:N23"/>
    <mergeCell ref="E6:N6"/>
    <mergeCell ref="E7:N7"/>
    <mergeCell ref="E8:N8"/>
    <mergeCell ref="E9:N9"/>
    <mergeCell ref="E14:N14"/>
    <mergeCell ref="E19:F19"/>
    <mergeCell ref="E20:F20"/>
    <mergeCell ref="E18:N18"/>
  </mergeCells>
  <phoneticPr fontId="1"/>
  <conditionalFormatting sqref="E3">
    <cfRule type="expression" dxfId="459" priority="6" stopIfTrue="1">
      <formula>$E$3&lt;&gt;""</formula>
    </cfRule>
  </conditionalFormatting>
  <conditionalFormatting sqref="E4">
    <cfRule type="expression" dxfId="458" priority="2" stopIfTrue="1">
      <formula>$E$4&lt;&gt;""</formula>
    </cfRule>
  </conditionalFormatting>
  <conditionalFormatting sqref="E5">
    <cfRule type="expression" dxfId="457" priority="5" stopIfTrue="1">
      <formula>$E$5&lt;&gt;""</formula>
    </cfRule>
  </conditionalFormatting>
  <conditionalFormatting sqref="E6">
    <cfRule type="expression" dxfId="456" priority="31" stopIfTrue="1">
      <formula>$E$6&lt;&gt;""</formula>
    </cfRule>
  </conditionalFormatting>
  <conditionalFormatting sqref="E7">
    <cfRule type="expression" dxfId="455" priority="55" stopIfTrue="1">
      <formula>$E$7&lt;&gt;""</formula>
    </cfRule>
  </conditionalFormatting>
  <conditionalFormatting sqref="E8">
    <cfRule type="expression" dxfId="454" priority="54" stopIfTrue="1">
      <formula>$E$8&lt;&gt;""</formula>
    </cfRule>
  </conditionalFormatting>
  <conditionalFormatting sqref="E10:E13">
    <cfRule type="expression" dxfId="453" priority="44">
      <formula>OR($S$10,$S$11,$S$12,$S$13)</formula>
    </cfRule>
  </conditionalFormatting>
  <conditionalFormatting sqref="E14">
    <cfRule type="expression" dxfId="452" priority="52" stopIfTrue="1">
      <formula>$E$14&lt;&gt;""</formula>
    </cfRule>
  </conditionalFormatting>
  <conditionalFormatting sqref="E16">
    <cfRule type="expression" dxfId="451" priority="49" stopIfTrue="1">
      <formula>$E$16&lt;&gt;""</formula>
    </cfRule>
  </conditionalFormatting>
  <conditionalFormatting sqref="E17">
    <cfRule type="expression" dxfId="450" priority="48" stopIfTrue="1">
      <formula>$E$17&lt;&gt;""</formula>
    </cfRule>
  </conditionalFormatting>
  <conditionalFormatting sqref="E19">
    <cfRule type="expression" dxfId="449" priority="10" stopIfTrue="1">
      <formula>$E$19&lt;&gt;""</formula>
    </cfRule>
  </conditionalFormatting>
  <conditionalFormatting sqref="E20">
    <cfRule type="expression" dxfId="448" priority="11" stopIfTrue="1">
      <formula>$E$20&lt;&gt;""</formula>
    </cfRule>
  </conditionalFormatting>
  <conditionalFormatting sqref="E21">
    <cfRule type="expression" dxfId="447" priority="13" stopIfTrue="1">
      <formula>$E$21&lt;&gt;""</formula>
    </cfRule>
  </conditionalFormatting>
  <conditionalFormatting sqref="E23">
    <cfRule type="expression" dxfId="446" priority="17" stopIfTrue="1">
      <formula>$E$23&lt;&gt;""</formula>
    </cfRule>
  </conditionalFormatting>
  <conditionalFormatting sqref="E24">
    <cfRule type="expression" dxfId="445" priority="18" stopIfTrue="1">
      <formula>$E$24&lt;&gt;""</formula>
    </cfRule>
  </conditionalFormatting>
  <conditionalFormatting sqref="E25">
    <cfRule type="expression" dxfId="444" priority="19" stopIfTrue="1">
      <formula>$E$25&lt;&gt;""</formula>
    </cfRule>
  </conditionalFormatting>
  <conditionalFormatting sqref="E26">
    <cfRule type="expression" dxfId="443" priority="20" stopIfTrue="1">
      <formula>$E$26&lt;&gt;""</formula>
    </cfRule>
  </conditionalFormatting>
  <conditionalFormatting sqref="E27">
    <cfRule type="expression" dxfId="442" priority="21" stopIfTrue="1">
      <formula>$E$27&lt;&gt;""</formula>
    </cfRule>
  </conditionalFormatting>
  <conditionalFormatting sqref="E30">
    <cfRule type="expression" dxfId="441" priority="3">
      <formula>$E$30&lt;&gt;""</formula>
    </cfRule>
  </conditionalFormatting>
  <conditionalFormatting sqref="E9:N9">
    <cfRule type="expression" dxfId="440" priority="1">
      <formula>$E$9&lt;&gt;""</formula>
    </cfRule>
  </conditionalFormatting>
  <conditionalFormatting sqref="F15">
    <cfRule type="expression" dxfId="439" priority="51" stopIfTrue="1">
      <formula>$F$15&lt;&gt;""</formula>
    </cfRule>
  </conditionalFormatting>
  <conditionalFormatting sqref="F17">
    <cfRule type="expression" dxfId="438" priority="47" stopIfTrue="1">
      <formula>$F$17&lt;&gt;""</formula>
    </cfRule>
  </conditionalFormatting>
  <conditionalFormatting sqref="F22">
    <cfRule type="expression" dxfId="437" priority="8" stopIfTrue="1">
      <formula>$F$22&lt;&gt;""</formula>
    </cfRule>
  </conditionalFormatting>
  <conditionalFormatting sqref="F29">
    <cfRule type="expression" dxfId="436" priority="41">
      <formula>$F$29&lt;&gt;""</formula>
    </cfRule>
  </conditionalFormatting>
  <conditionalFormatting sqref="G5">
    <cfRule type="expression" dxfId="435" priority="59" stopIfTrue="1">
      <formula>$G$5&lt;&gt;""</formula>
    </cfRule>
  </conditionalFormatting>
  <conditionalFormatting sqref="G17">
    <cfRule type="expression" dxfId="434" priority="46" stopIfTrue="1">
      <formula>$G$17&lt;&gt;""</formula>
    </cfRule>
  </conditionalFormatting>
  <conditionalFormatting sqref="G30">
    <cfRule type="expression" dxfId="433" priority="36">
      <formula>G30&gt;0</formula>
    </cfRule>
  </conditionalFormatting>
  <conditionalFormatting sqref="H15">
    <cfRule type="expression" dxfId="432" priority="9" stopIfTrue="1">
      <formula>$H$15&lt;&gt;""</formula>
    </cfRule>
  </conditionalFormatting>
  <conditionalFormatting sqref="H17">
    <cfRule type="expression" dxfId="431" priority="45" stopIfTrue="1">
      <formula>$H$17&lt;&gt;""</formula>
    </cfRule>
  </conditionalFormatting>
  <conditionalFormatting sqref="H22">
    <cfRule type="expression" dxfId="430" priority="7" stopIfTrue="1">
      <formula>$H$22&lt;&gt;""</formula>
    </cfRule>
  </conditionalFormatting>
  <conditionalFormatting sqref="I5">
    <cfRule type="expression" dxfId="429" priority="58" stopIfTrue="1">
      <formula>$I$5&lt;&gt;""</formula>
    </cfRule>
  </conditionalFormatting>
  <conditionalFormatting sqref="I30">
    <cfRule type="expression" dxfId="428" priority="33">
      <formula>I30&gt;0</formula>
    </cfRule>
  </conditionalFormatting>
  <dataValidations count="13">
    <dataValidation type="list" allowBlank="1" showInputMessage="1" showErrorMessage="1" sqref="F29" xr:uid="{00000000-0002-0000-0500-000000000000}">
      <formula1>"１,２,３"</formula1>
    </dataValidation>
    <dataValidation type="list" imeMode="halfAlpha" allowBlank="1" showInputMessage="1" showErrorMessage="1" sqref="G5" xr:uid="{00000000-0002-0000-0500-000002000000}">
      <formula1>"1,2,3,4,5,6,7,8,9,10,11,12"</formula1>
    </dataValidation>
    <dataValidation type="list" allowBlank="1" showInputMessage="1" showErrorMessage="1" sqref="E4" xr:uid="{D1B32701-8AA2-4A77-A172-983091FDD55A}">
      <formula1>"2022,2023,2024,2025"</formula1>
    </dataValidation>
    <dataValidation type="list" allowBlank="1" showInputMessage="1" showErrorMessage="1" sqref="I5 I30" xr:uid="{00000000-0002-0000-0500-000005000000}">
      <formula1>"1,2,3,4,5,6,7,8,9,10,11,12,13,14,15,16,17,18,19,20,21,22,23,24,25,26,27,28,29,30,31"</formula1>
    </dataValidation>
    <dataValidation imeMode="halfAlpha" allowBlank="1" showInputMessage="1" showErrorMessage="1" sqref="F15 F22 H22 H15" xr:uid="{00000000-0002-0000-0500-000006000000}"/>
    <dataValidation type="list" allowBlank="1" showInputMessage="1" showErrorMessage="1" sqref="E17:H17" xr:uid="{00000000-0002-0000-0500-000008000000}">
      <formula1>"0,1,2,3,4,5,6,7,8,9"</formula1>
    </dataValidation>
    <dataValidation type="decimal" allowBlank="1" showInputMessage="1" showErrorMessage="1" sqref="E20:F20" xr:uid="{00000000-0002-0000-0500-000009000000}">
      <formula1>0</formula1>
      <formula2>10000000</formula2>
    </dataValidation>
    <dataValidation imeMode="disabled" allowBlank="1" showInputMessage="1" showErrorMessage="1" sqref="E27:N27 H3" xr:uid="{00000000-0002-0000-0500-00000A000000}"/>
    <dataValidation imeMode="hiragana" allowBlank="1" showInputMessage="1" showErrorMessage="1" sqref="E23:N24 E21:N21 E16:N16 E14:N14 E6:N9" xr:uid="{00000000-0002-0000-0500-00000B000000}"/>
    <dataValidation type="list" allowBlank="1" showInputMessage="1" showErrorMessage="1" sqref="G30" xr:uid="{00000000-0002-0000-0500-00000D000000}">
      <formula1>"1,2,3,4,5,6,7,8,9,10,11,12"</formula1>
    </dataValidation>
    <dataValidation type="decimal" allowBlank="1" showInputMessage="1" showErrorMessage="1" sqref="E19:F19" xr:uid="{00000000-0002-0000-0500-00000E000000}">
      <formula1>0</formula1>
      <formula2>100000</formula2>
    </dataValidation>
    <dataValidation imeMode="disabled" operator="greaterThan" allowBlank="1" showInputMessage="1" showErrorMessage="1" sqref="E25:N26" xr:uid="{00000000-0002-0000-0500-00000F000000}"/>
    <dataValidation type="list" imeMode="halfAlpha" allowBlank="1" showInputMessage="1" showErrorMessage="1" sqref="E5 E30" xr:uid="{77D9EF1F-704D-47D3-A6ED-BA19FDCBB1AF}">
      <formula1>"2023,2024,2025,2026"</formula1>
    </dataValidation>
  </dataValidations>
  <pageMargins left="0.70866141732283472" right="0.55118110236220474"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locked="0" defaultSize="0" autoFill="0" autoLine="0" autoPict="0" altText="">
                <anchor moveWithCells="1">
                  <from>
                    <xdr:col>4</xdr:col>
                    <xdr:colOff>137160</xdr:colOff>
                    <xdr:row>9</xdr:row>
                    <xdr:rowOff>0</xdr:rowOff>
                  </from>
                  <to>
                    <xdr:col>4</xdr:col>
                    <xdr:colOff>365760</xdr:colOff>
                    <xdr:row>10</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ltText="">
                <anchor moveWithCells="1">
                  <from>
                    <xdr:col>4</xdr:col>
                    <xdr:colOff>137160</xdr:colOff>
                    <xdr:row>10</xdr:row>
                    <xdr:rowOff>30480</xdr:rowOff>
                  </from>
                  <to>
                    <xdr:col>4</xdr:col>
                    <xdr:colOff>365760</xdr:colOff>
                    <xdr:row>11</xdr:row>
                    <xdr:rowOff>0</xdr:rowOff>
                  </to>
                </anchor>
              </controlPr>
            </control>
          </mc:Choice>
        </mc:AlternateContent>
        <mc:AlternateContent xmlns:mc="http://schemas.openxmlformats.org/markup-compatibility/2006">
          <mc:Choice Requires="x14">
            <control shapeId="22532" r:id="rId6" name="Check Box 4">
              <controlPr defaultSize="0" autoFill="0" autoLine="0" autoPict="0" altText="">
                <anchor moveWithCells="1">
                  <from>
                    <xdr:col>4</xdr:col>
                    <xdr:colOff>137160</xdr:colOff>
                    <xdr:row>11</xdr:row>
                    <xdr:rowOff>30480</xdr:rowOff>
                  </from>
                  <to>
                    <xdr:col>4</xdr:col>
                    <xdr:colOff>365760</xdr:colOff>
                    <xdr:row>12</xdr:row>
                    <xdr:rowOff>0</xdr:rowOff>
                  </to>
                </anchor>
              </controlPr>
            </control>
          </mc:Choice>
        </mc:AlternateContent>
        <mc:AlternateContent xmlns:mc="http://schemas.openxmlformats.org/markup-compatibility/2006">
          <mc:Choice Requires="x14">
            <control shapeId="22533" r:id="rId7" name="Check Box 5">
              <controlPr locked="0" defaultSize="0" autoFill="0" autoLine="0" autoPict="0" altText="">
                <anchor moveWithCells="1">
                  <from>
                    <xdr:col>4</xdr:col>
                    <xdr:colOff>137160</xdr:colOff>
                    <xdr:row>12</xdr:row>
                    <xdr:rowOff>30480</xdr:rowOff>
                  </from>
                  <to>
                    <xdr:col>4</xdr:col>
                    <xdr:colOff>365760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00B0F0"/>
  </sheetPr>
  <dimension ref="A3:Q28"/>
  <sheetViews>
    <sheetView showGridLines="0" view="pageBreakPreview" zoomScaleNormal="100" zoomScaleSheetLayoutView="100" workbookViewId="0">
      <selection activeCell="H27" sqref="H27:I27"/>
    </sheetView>
  </sheetViews>
  <sheetFormatPr defaultColWidth="8.88671875" defaultRowHeight="21.6"/>
  <cols>
    <col min="1" max="2" width="6.44140625" style="8" customWidth="1"/>
    <col min="3" max="10" width="5.88671875" style="8" customWidth="1"/>
    <col min="11" max="12" width="6.88671875" style="8" customWidth="1"/>
    <col min="13" max="14" width="5.88671875" style="8" customWidth="1"/>
    <col min="15" max="15" width="7.33203125" style="8" bestFit="1" customWidth="1"/>
    <col min="16" max="16" width="4.44140625" style="8" customWidth="1"/>
    <col min="17" max="17" width="5.6640625" style="601" customWidth="1"/>
    <col min="18" max="38" width="5.6640625" style="8" customWidth="1"/>
    <col min="39" max="16384" width="8.88671875" style="8"/>
  </cols>
  <sheetData>
    <row r="3" spans="1:17" ht="25.5" customHeight="1">
      <c r="B3" s="672" t="s">
        <v>4995</v>
      </c>
      <c r="C3" s="672"/>
      <c r="D3" s="672"/>
      <c r="E3" s="672"/>
      <c r="F3" s="672"/>
      <c r="G3" s="672"/>
      <c r="H3" s="672"/>
      <c r="I3" s="672"/>
      <c r="J3" s="672"/>
      <c r="K3" s="672"/>
      <c r="L3" s="672"/>
      <c r="M3" s="672"/>
      <c r="N3" s="672"/>
      <c r="O3" s="672"/>
    </row>
    <row r="4" spans="1:17" s="22" customFormat="1" ht="16.2">
      <c r="Q4" s="107"/>
    </row>
    <row r="5" spans="1:17" s="22" customFormat="1" ht="17.25" customHeight="1">
      <c r="A5" s="155" t="s">
        <v>81</v>
      </c>
      <c r="Q5" s="107"/>
    </row>
    <row r="6" spans="1:17" s="22" customFormat="1" ht="27" customHeight="1">
      <c r="A6" s="673" t="s">
        <v>5</v>
      </c>
      <c r="B6" s="673"/>
      <c r="C6" s="673"/>
      <c r="D6" s="673"/>
      <c r="E6" s="674" t="str">
        <f>IF(はじめに!E6="","",はじめに!E6)</f>
        <v/>
      </c>
      <c r="F6" s="674"/>
      <c r="G6" s="674"/>
      <c r="H6" s="674"/>
      <c r="I6" s="674"/>
      <c r="J6" s="674"/>
      <c r="K6" s="674"/>
      <c r="L6" s="674"/>
      <c r="M6" s="674"/>
      <c r="N6" s="674"/>
      <c r="O6" s="674"/>
      <c r="P6" s="674"/>
      <c r="Q6" s="107"/>
    </row>
    <row r="7" spans="1:17" s="22" customFormat="1" ht="27" customHeight="1">
      <c r="A7" s="673" t="s">
        <v>6</v>
      </c>
      <c r="B7" s="673"/>
      <c r="C7" s="673"/>
      <c r="D7" s="673"/>
      <c r="E7" s="674" t="str">
        <f>IF(はじめに!E14="","",はじめに!E14)</f>
        <v/>
      </c>
      <c r="F7" s="674"/>
      <c r="G7" s="674"/>
      <c r="H7" s="674"/>
      <c r="I7" s="674"/>
      <c r="J7" s="674"/>
      <c r="K7" s="674"/>
      <c r="L7" s="674"/>
      <c r="M7" s="674"/>
      <c r="N7" s="674"/>
      <c r="O7" s="674"/>
      <c r="P7" s="674"/>
      <c r="Q7" s="107"/>
    </row>
    <row r="8" spans="1:17" s="22" customFormat="1" ht="27" customHeight="1">
      <c r="A8" s="673" t="s">
        <v>7</v>
      </c>
      <c r="B8" s="673"/>
      <c r="C8" s="673"/>
      <c r="D8" s="673"/>
      <c r="E8" s="674" t="str">
        <f>IF(はじめに!E16="","",はじめに!E16)</f>
        <v/>
      </c>
      <c r="F8" s="674"/>
      <c r="G8" s="674"/>
      <c r="H8" s="674"/>
      <c r="I8" s="674"/>
      <c r="J8" s="674"/>
      <c r="K8" s="674"/>
      <c r="L8" s="674"/>
      <c r="M8" s="674"/>
      <c r="N8" s="674"/>
      <c r="O8" s="674"/>
      <c r="P8" s="674"/>
      <c r="Q8" s="107"/>
    </row>
    <row r="9" spans="1:17" s="22" customFormat="1" ht="27" customHeight="1">
      <c r="A9" s="673" t="s">
        <v>169</v>
      </c>
      <c r="B9" s="673"/>
      <c r="C9" s="673"/>
      <c r="D9" s="673"/>
      <c r="E9" s="674" t="str">
        <f>IF(はじめに!E18="","",はじめに!E18)</f>
        <v/>
      </c>
      <c r="F9" s="674"/>
      <c r="G9" s="674"/>
      <c r="H9" s="674"/>
      <c r="I9" s="674"/>
      <c r="J9" s="674"/>
      <c r="K9" s="674"/>
      <c r="L9" s="674"/>
      <c r="M9" s="674"/>
      <c r="N9" s="674"/>
      <c r="O9" s="674"/>
      <c r="P9" s="674"/>
      <c r="Q9" s="107"/>
    </row>
    <row r="10" spans="1:17" s="22" customFormat="1" ht="27" customHeight="1">
      <c r="A10" s="683" t="s">
        <v>82</v>
      </c>
      <c r="B10" s="684"/>
      <c r="C10" s="684"/>
      <c r="D10" s="685"/>
      <c r="E10" s="675" t="s">
        <v>83</v>
      </c>
      <c r="F10" s="676"/>
      <c r="G10" s="680" t="str">
        <f>IF(はじめに!E19="","",はじめに!E19)</f>
        <v/>
      </c>
      <c r="H10" s="681"/>
      <c r="I10" s="681"/>
      <c r="J10" s="258" t="s">
        <v>3104</v>
      </c>
      <c r="K10" s="675" t="s">
        <v>84</v>
      </c>
      <c r="L10" s="676"/>
      <c r="M10" s="680" t="str">
        <f>IF(はじめに!E20="","",はじめに!E20)</f>
        <v/>
      </c>
      <c r="N10" s="681"/>
      <c r="O10" s="681"/>
      <c r="P10" s="258" t="s">
        <v>3105</v>
      </c>
      <c r="Q10" s="107"/>
    </row>
    <row r="11" spans="1:17" s="22" customFormat="1" ht="11.4" customHeight="1">
      <c r="Q11" s="107"/>
    </row>
    <row r="12" spans="1:17" s="22" customFormat="1" ht="32.1" customHeight="1">
      <c r="A12" s="155" t="s">
        <v>3113</v>
      </c>
      <c r="B12" s="109"/>
      <c r="C12" s="155"/>
      <c r="D12" s="155"/>
      <c r="E12" s="155"/>
      <c r="F12" s="155"/>
      <c r="G12" s="155"/>
      <c r="H12" s="603"/>
      <c r="I12" s="155"/>
      <c r="J12" s="155"/>
      <c r="K12" s="155"/>
      <c r="L12" s="155"/>
      <c r="M12" s="155"/>
      <c r="N12" s="155"/>
      <c r="O12" s="155"/>
      <c r="P12" s="155"/>
      <c r="Q12" s="107"/>
    </row>
    <row r="13" spans="1:17" s="22" customFormat="1" ht="90.6" customHeight="1">
      <c r="A13" s="679"/>
      <c r="B13" s="679"/>
      <c r="C13" s="679"/>
      <c r="D13" s="679"/>
      <c r="E13" s="679"/>
      <c r="F13" s="679"/>
      <c r="G13" s="679"/>
      <c r="H13" s="679"/>
      <c r="I13" s="679"/>
      <c r="J13" s="679"/>
      <c r="K13" s="679"/>
      <c r="L13" s="679"/>
      <c r="M13" s="679"/>
      <c r="N13" s="679"/>
      <c r="O13" s="679"/>
      <c r="P13" s="679"/>
      <c r="Q13" s="107"/>
    </row>
    <row r="14" spans="1:17" s="22" customFormat="1" ht="16.2">
      <c r="Q14" s="107"/>
    </row>
    <row r="15" spans="1:17" s="22" customFormat="1" ht="17.25" customHeight="1">
      <c r="A15" s="618" t="s">
        <v>3114</v>
      </c>
      <c r="B15" s="109"/>
      <c r="C15" s="109"/>
      <c r="D15" s="109"/>
      <c r="E15" s="604"/>
      <c r="F15" s="604"/>
      <c r="G15" s="605"/>
      <c r="H15" s="605"/>
      <c r="I15" s="605"/>
      <c r="J15" s="605"/>
      <c r="K15" s="606"/>
      <c r="L15" s="109"/>
      <c r="M15" s="605"/>
      <c r="N15" s="109"/>
      <c r="O15" s="109"/>
      <c r="P15" s="109"/>
      <c r="Q15" s="107"/>
    </row>
    <row r="16" spans="1:17" s="22" customFormat="1" ht="276.75" customHeight="1">
      <c r="A16" s="679"/>
      <c r="B16" s="679"/>
      <c r="C16" s="679"/>
      <c r="D16" s="679"/>
      <c r="E16" s="679"/>
      <c r="F16" s="679"/>
      <c r="G16" s="679"/>
      <c r="H16" s="679"/>
      <c r="I16" s="679"/>
      <c r="J16" s="679"/>
      <c r="K16" s="679"/>
      <c r="L16" s="679"/>
      <c r="M16" s="679"/>
      <c r="N16" s="679"/>
      <c r="O16" s="679"/>
      <c r="P16" s="679"/>
      <c r="Q16" s="107"/>
    </row>
    <row r="17" spans="1:17" s="22" customFormat="1" ht="16.2">
      <c r="Q17" s="107"/>
    </row>
    <row r="18" spans="1:17" s="22" customFormat="1" ht="16.2">
      <c r="Q18" s="107"/>
    </row>
    <row r="19" spans="1:17" s="22" customFormat="1" ht="16.2">
      <c r="Q19" s="107"/>
    </row>
    <row r="20" spans="1:17" s="22" customFormat="1" ht="16.2">
      <c r="Q20" s="107"/>
    </row>
    <row r="21" spans="1:17" s="22" customFormat="1" ht="16.2">
      <c r="Q21" s="107"/>
    </row>
    <row r="22" spans="1:17" s="22" customFormat="1" ht="16.2">
      <c r="Q22" s="107"/>
    </row>
    <row r="23" spans="1:17" s="22" customFormat="1" ht="16.2">
      <c r="A23" s="108" t="s">
        <v>5402</v>
      </c>
      <c r="Q23" s="107"/>
    </row>
    <row r="24" spans="1:17" s="22" customFormat="1" ht="39" customHeight="1">
      <c r="A24" s="650" t="str">
        <f>IF(はじめに!E4="","",はじめに!E4)&amp;" 年度"&amp;CHAR(10)&amp;"（基準年度）"</f>
        <v xml:space="preserve"> 年度
（基準年度）</v>
      </c>
      <c r="B24" s="659"/>
      <c r="C24" s="650" t="s">
        <v>4999</v>
      </c>
      <c r="D24" s="651"/>
      <c r="E24" s="659"/>
      <c r="F24" s="652" t="s">
        <v>90</v>
      </c>
      <c r="G24" s="652"/>
      <c r="H24" s="677" t="str">
        <f>IF('事業所排出量内訳 (基準年度)'!R4=0,"",'事業所排出量内訳 (基準年度)'!V28)</f>
        <v/>
      </c>
      <c r="I24" s="678"/>
      <c r="J24" s="616" t="s">
        <v>5201</v>
      </c>
      <c r="K24" s="652" t="s">
        <v>91</v>
      </c>
      <c r="L24" s="652"/>
      <c r="M24" s="650" t="str">
        <f>IF('事業所排出量内訳 (基準年度)'!R4=0,"",'事業所排出量内訳 (基準年度)'!V31)</f>
        <v/>
      </c>
      <c r="N24" s="651"/>
      <c r="O24" s="614" t="s">
        <v>5202</v>
      </c>
      <c r="P24" s="609" t="str">
        <f>IF('事業所排出量内訳 (基準年度)'!G122="","",'事業所排出量内訳 (基準年度)'!G122)</f>
        <v/>
      </c>
      <c r="Q24" s="107"/>
    </row>
    <row r="25" spans="1:17" s="22" customFormat="1" ht="39" customHeight="1">
      <c r="A25" s="619"/>
      <c r="B25" s="620"/>
      <c r="C25" s="664" t="s">
        <v>5000</v>
      </c>
      <c r="D25" s="665"/>
      <c r="E25" s="666"/>
      <c r="F25" s="652" t="s">
        <v>95</v>
      </c>
      <c r="G25" s="652"/>
      <c r="H25" s="653"/>
      <c r="I25" s="654"/>
      <c r="J25" s="616" t="s">
        <v>5201</v>
      </c>
      <c r="K25" s="652" t="s">
        <v>93</v>
      </c>
      <c r="L25" s="652"/>
      <c r="M25" s="655"/>
      <c r="N25" s="656"/>
      <c r="O25" s="614" t="s">
        <v>5202</v>
      </c>
      <c r="P25" s="609" t="str">
        <f>IF(P24="","",P24)</f>
        <v/>
      </c>
      <c r="Q25" s="107"/>
    </row>
    <row r="26" spans="1:17" s="22" customFormat="1" ht="39" customHeight="1">
      <c r="A26" s="621">
        <f>IF(はじめに!H3="","",はじめに!H3)</f>
        <v>2025</v>
      </c>
      <c r="B26" s="622" t="s">
        <v>94</v>
      </c>
      <c r="C26" s="667"/>
      <c r="D26" s="668"/>
      <c r="E26" s="669"/>
      <c r="F26" s="652" t="s">
        <v>4099</v>
      </c>
      <c r="G26" s="652"/>
      <c r="H26" s="657" t="str">
        <f>IFERROR((IF($H$25="","",INT(($H$24-H25)/$H$24*10000)/100)),"")</f>
        <v/>
      </c>
      <c r="I26" s="658"/>
      <c r="J26" s="616" t="s">
        <v>96</v>
      </c>
      <c r="K26" s="652" t="s">
        <v>4099</v>
      </c>
      <c r="L26" s="652"/>
      <c r="M26" s="657" t="str">
        <f>IFERROR(IF($M$25="","",INT(($M$24-M25)/$M$24*10000)/100),"")</f>
        <v/>
      </c>
      <c r="N26" s="658"/>
      <c r="O26" s="614" t="s">
        <v>96</v>
      </c>
      <c r="P26" s="258"/>
      <c r="Q26" s="107"/>
    </row>
    <row r="27" spans="1:17" s="22" customFormat="1" ht="39" customHeight="1">
      <c r="A27" s="670" t="s">
        <v>5001</v>
      </c>
      <c r="B27" s="671"/>
      <c r="C27" s="650" t="s">
        <v>4996</v>
      </c>
      <c r="D27" s="682"/>
      <c r="E27" s="661"/>
      <c r="F27" s="660" t="s">
        <v>4997</v>
      </c>
      <c r="G27" s="661"/>
      <c r="H27" s="662"/>
      <c r="I27" s="663"/>
      <c r="J27" s="614" t="s">
        <v>96</v>
      </c>
      <c r="K27" s="660" t="s">
        <v>5196</v>
      </c>
      <c r="L27" s="661"/>
      <c r="M27" s="662"/>
      <c r="N27" s="663"/>
      <c r="O27" s="614" t="s">
        <v>96</v>
      </c>
      <c r="P27" s="257"/>
      <c r="Q27" s="107"/>
    </row>
    <row r="28" spans="1:17" s="22" customFormat="1" ht="137.25" customHeight="1">
      <c r="A28" s="646" t="s">
        <v>5197</v>
      </c>
      <c r="B28" s="646"/>
      <c r="C28" s="647"/>
      <c r="D28" s="648"/>
      <c r="E28" s="648"/>
      <c r="F28" s="648"/>
      <c r="G28" s="648"/>
      <c r="H28" s="648"/>
      <c r="I28" s="648"/>
      <c r="J28" s="648"/>
      <c r="K28" s="648"/>
      <c r="L28" s="648"/>
      <c r="M28" s="648"/>
      <c r="N28" s="648"/>
      <c r="O28" s="648"/>
      <c r="P28" s="649"/>
      <c r="Q28" s="107"/>
    </row>
  </sheetData>
  <sheetProtection algorithmName="SHA-512" hashValue="IwwC2blx6zZJcrtrhj7HEiEhPD9a59RsQoJykI1vsmBX3JNsE0ZIJhJQNxEg7NBoAHl1gbZphDQZyl6mUdaxNg==" saltValue="iy4h6PkvmNKnMFeT7/k8Pg==" spinCount="100000" sheet="1" scenarios="1" selectLockedCells="1"/>
  <mergeCells count="39">
    <mergeCell ref="C27:E27"/>
    <mergeCell ref="F27:G27"/>
    <mergeCell ref="H27:I27"/>
    <mergeCell ref="A10:D10"/>
    <mergeCell ref="E10:F10"/>
    <mergeCell ref="K10:L10"/>
    <mergeCell ref="F24:G24"/>
    <mergeCell ref="H24:I24"/>
    <mergeCell ref="K24:L24"/>
    <mergeCell ref="A13:P13"/>
    <mergeCell ref="A16:P16"/>
    <mergeCell ref="M10:O10"/>
    <mergeCell ref="G10:I10"/>
    <mergeCell ref="C24:E24"/>
    <mergeCell ref="B3:O3"/>
    <mergeCell ref="A9:D9"/>
    <mergeCell ref="A8:D8"/>
    <mergeCell ref="E8:P8"/>
    <mergeCell ref="A6:D6"/>
    <mergeCell ref="E6:P6"/>
    <mergeCell ref="A7:D7"/>
    <mergeCell ref="E7:P7"/>
    <mergeCell ref="E9:P9"/>
    <mergeCell ref="A28:B28"/>
    <mergeCell ref="C28:P28"/>
    <mergeCell ref="M24:N24"/>
    <mergeCell ref="F25:G25"/>
    <mergeCell ref="H25:I25"/>
    <mergeCell ref="K25:L25"/>
    <mergeCell ref="M25:N25"/>
    <mergeCell ref="F26:G26"/>
    <mergeCell ref="H26:I26"/>
    <mergeCell ref="K26:L26"/>
    <mergeCell ref="M26:N26"/>
    <mergeCell ref="A24:B24"/>
    <mergeCell ref="K27:L27"/>
    <mergeCell ref="M27:N27"/>
    <mergeCell ref="C25:E26"/>
    <mergeCell ref="A27:B27"/>
  </mergeCells>
  <phoneticPr fontId="4"/>
  <conditionalFormatting sqref="A13">
    <cfRule type="expression" dxfId="427" priority="22" stopIfTrue="1">
      <formula>$A$13&lt;&gt;""</formula>
    </cfRule>
  </conditionalFormatting>
  <conditionalFormatting sqref="A16">
    <cfRule type="expression" dxfId="426" priority="3" stopIfTrue="1">
      <formula>$A$16&lt;&gt;""</formula>
    </cfRule>
  </conditionalFormatting>
  <conditionalFormatting sqref="C28">
    <cfRule type="expression" dxfId="425" priority="18" stopIfTrue="1">
      <formula>$C$28&lt;&gt;""</formula>
    </cfRule>
  </conditionalFormatting>
  <conditionalFormatting sqref="H25">
    <cfRule type="expression" dxfId="424" priority="20" stopIfTrue="1">
      <formula>$H$25&lt;&gt;""</formula>
    </cfRule>
  </conditionalFormatting>
  <conditionalFormatting sqref="H27">
    <cfRule type="expression" dxfId="423" priority="1" stopIfTrue="1">
      <formula>$H27&lt;&gt;""</formula>
    </cfRule>
  </conditionalFormatting>
  <conditionalFormatting sqref="M25">
    <cfRule type="expression" dxfId="422" priority="19" stopIfTrue="1">
      <formula>$M$25&lt;&gt;""</formula>
    </cfRule>
  </conditionalFormatting>
  <conditionalFormatting sqref="M27">
    <cfRule type="expression" dxfId="421" priority="2" stopIfTrue="1">
      <formula>$M27&lt;&gt;""</formula>
    </cfRule>
  </conditionalFormatting>
  <dataValidations count="2">
    <dataValidation imeMode="hiragana" allowBlank="1" showInputMessage="1" showErrorMessage="1" sqref="A13:P13 C28" xr:uid="{00000000-0002-0000-0600-000000000000}"/>
    <dataValidation imeMode="halfAlpha" allowBlank="1" showInputMessage="1" showErrorMessage="1" sqref="H25:I25 M25:N25 M27 H27" xr:uid="{00000000-0002-0000-0600-000001000000}"/>
  </dataValidations>
  <pageMargins left="0.70866141732283472" right="0.55118110236220474" top="0.74803149606299213" bottom="0.74803149606299213" header="0.31496062992125984" footer="0.31496062992125984"/>
  <pageSetup paperSize="9" scale="93" fitToHeight="2" orientation="portrait" r:id="rId1"/>
  <headerFooter>
    <oddHeader>&amp;L様式第１号</oddHeader>
    <oddFooter>&amp;R&amp;8（事業所等用）</oddFooter>
  </headerFooter>
  <rowBreaks count="1" manualBreakCount="1">
    <brk id="2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00B0F0"/>
  </sheetPr>
  <dimension ref="A2:AE72"/>
  <sheetViews>
    <sheetView showGridLines="0" view="pageBreakPreview" zoomScaleNormal="100" zoomScaleSheetLayoutView="100" workbookViewId="0">
      <selection activeCell="E5" sqref="E5"/>
    </sheetView>
  </sheetViews>
  <sheetFormatPr defaultColWidth="8.88671875" defaultRowHeight="16.2"/>
  <cols>
    <col min="1" max="1" width="3.88671875" style="22" customWidth="1"/>
    <col min="2" max="2" width="9.88671875" style="22" hidden="1" customWidth="1"/>
    <col min="3" max="3" width="16.6640625" style="22" customWidth="1"/>
    <col min="4" max="4" width="55.109375" style="22" customWidth="1"/>
    <col min="5" max="5" width="13.6640625" style="22" customWidth="1"/>
    <col min="6" max="6" width="9" style="22" bestFit="1" customWidth="1"/>
    <col min="7" max="7" width="5.6640625" style="107" customWidth="1"/>
    <col min="8" max="8" width="9.33203125" style="22" hidden="1" customWidth="1"/>
    <col min="9" max="9" width="16.109375" style="22" hidden="1" customWidth="1"/>
    <col min="10" max="17" width="9.33203125" style="22" hidden="1" customWidth="1"/>
    <col min="18" max="18" width="14.33203125" style="22" hidden="1" customWidth="1"/>
    <col min="19" max="19" width="12.109375" style="22" hidden="1" customWidth="1"/>
    <col min="20" max="20" width="7.88671875" style="22" hidden="1" customWidth="1"/>
    <col min="21" max="21" width="12.109375" style="22" hidden="1" customWidth="1"/>
    <col min="22" max="22" width="9.88671875" style="22" hidden="1" customWidth="1"/>
    <col min="23" max="25" width="8.88671875" style="22" hidden="1" customWidth="1"/>
    <col min="26" max="26" width="9.109375" style="22" hidden="1" customWidth="1"/>
    <col min="27" max="27" width="7.33203125" style="22" hidden="1" customWidth="1"/>
    <col min="28" max="28" width="9.88671875" style="22" hidden="1" customWidth="1"/>
    <col min="29" max="31" width="5.6640625" style="22" hidden="1" customWidth="1"/>
    <col min="32" max="35" width="0" style="22" hidden="1" customWidth="1"/>
    <col min="36" max="16384" width="8.88671875" style="22"/>
  </cols>
  <sheetData>
    <row r="2" spans="1:28">
      <c r="AA2" s="108"/>
    </row>
    <row r="3" spans="1:28" ht="16.350000000000001" customHeight="1">
      <c r="A3" s="109" t="s">
        <v>4095</v>
      </c>
      <c r="B3" s="109"/>
      <c r="O3" s="110" t="s">
        <v>157</v>
      </c>
      <c r="S3" s="22" t="s">
        <v>4231</v>
      </c>
      <c r="T3" s="22" t="s">
        <v>4232</v>
      </c>
      <c r="U3" s="108" t="s">
        <v>4233</v>
      </c>
      <c r="AB3" s="111" t="s">
        <v>4234</v>
      </c>
    </row>
    <row r="4" spans="1:28" ht="45" customHeight="1">
      <c r="A4" s="112" t="s">
        <v>97</v>
      </c>
      <c r="B4" s="113" t="s">
        <v>100</v>
      </c>
      <c r="C4" s="114" t="s">
        <v>98</v>
      </c>
      <c r="D4" s="114" t="s">
        <v>99</v>
      </c>
      <c r="E4" s="115" t="s">
        <v>4093</v>
      </c>
      <c r="F4" s="116" t="s">
        <v>112</v>
      </c>
      <c r="I4" s="110" t="s">
        <v>145</v>
      </c>
      <c r="J4" s="110" t="s">
        <v>148</v>
      </c>
      <c r="K4" s="117" t="s">
        <v>154</v>
      </c>
      <c r="M4" s="110" t="s">
        <v>147</v>
      </c>
      <c r="N4" s="110" t="s">
        <v>148</v>
      </c>
      <c r="O4" s="118" t="s">
        <v>159</v>
      </c>
      <c r="R4" s="22" t="s">
        <v>4227</v>
      </c>
      <c r="S4" s="119">
        <v>30</v>
      </c>
      <c r="T4" s="119">
        <f>COUNTA(C5:C34)</f>
        <v>30</v>
      </c>
      <c r="U4" s="119">
        <f>COUNTBLANK(C5:C34)</f>
        <v>0</v>
      </c>
      <c r="V4" s="119" t="s">
        <v>4235</v>
      </c>
      <c r="W4" s="119" t="s">
        <v>149</v>
      </c>
      <c r="X4" s="119" t="s">
        <v>4237</v>
      </c>
      <c r="Y4" s="119" t="s">
        <v>4238</v>
      </c>
      <c r="Z4" s="119" t="s">
        <v>152</v>
      </c>
      <c r="AA4" s="119" t="s">
        <v>4236</v>
      </c>
      <c r="AB4" s="22">
        <f>COUNTBLANK(F5:F34)</f>
        <v>30</v>
      </c>
    </row>
    <row r="5" spans="1:28" ht="65.099999999999994" customHeight="1">
      <c r="A5" s="120">
        <v>1</v>
      </c>
      <c r="B5" s="121" t="s">
        <v>101</v>
      </c>
      <c r="C5" s="121" t="s">
        <v>4041</v>
      </c>
      <c r="D5" s="121" t="s">
        <v>4336</v>
      </c>
      <c r="E5" s="122"/>
      <c r="F5" s="122"/>
      <c r="I5" s="123" t="s">
        <v>134</v>
      </c>
      <c r="J5" s="123">
        <f>COUNTIF($E$5:$E$34,$I5)</f>
        <v>0</v>
      </c>
      <c r="K5" s="117">
        <v>5</v>
      </c>
      <c r="M5" s="123" t="s">
        <v>149</v>
      </c>
      <c r="N5" s="123">
        <f>SUM(O5:O5)</f>
        <v>0</v>
      </c>
      <c r="O5" s="123">
        <f>COUNTIFS($E$5:$E$34,O$4,$F$5:$F$34,$M5)</f>
        <v>0</v>
      </c>
      <c r="U5" s="22" t="s">
        <v>4226</v>
      </c>
      <c r="V5" s="22">
        <f>J5</f>
        <v>0</v>
      </c>
      <c r="W5" s="22">
        <f>COUNTIFS($E$5:$E$34,$U5,$F$5:$F$34,W$4)</f>
        <v>0</v>
      </c>
      <c r="X5" s="22">
        <f t="shared" ref="X5:Z7" si="0">COUNTIFS($E$5:$E$34,$U5,$F$5:$F$34,X$4)</f>
        <v>0</v>
      </c>
      <c r="Y5" s="22">
        <f t="shared" si="0"/>
        <v>0</v>
      </c>
      <c r="Z5" s="22">
        <f t="shared" si="0"/>
        <v>0</v>
      </c>
      <c r="AA5" s="22">
        <f>COUNTIFS($E$5:$E$34,$U5,$F$5:$F$34,"")</f>
        <v>0</v>
      </c>
    </row>
    <row r="6" spans="1:28" ht="65.099999999999994" customHeight="1">
      <c r="A6" s="120">
        <v>2</v>
      </c>
      <c r="B6" s="121" t="s">
        <v>101</v>
      </c>
      <c r="C6" s="121" t="s">
        <v>4042</v>
      </c>
      <c r="D6" s="121" t="s">
        <v>4337</v>
      </c>
      <c r="E6" s="122"/>
      <c r="F6" s="122"/>
      <c r="I6" s="123" t="s">
        <v>135</v>
      </c>
      <c r="J6" s="123">
        <f>COUNTIF($E$5:$E$34,$I6)</f>
        <v>0</v>
      </c>
      <c r="K6" s="117">
        <v>0</v>
      </c>
      <c r="M6" s="123" t="s">
        <v>150</v>
      </c>
      <c r="N6" s="123">
        <f>SUM(O6:O6)</f>
        <v>0</v>
      </c>
      <c r="O6" s="123">
        <f>COUNTIFS($E$5:$E$34,O$4,$F$5:$F$34,$M6)</f>
        <v>0</v>
      </c>
      <c r="U6" s="22" t="s">
        <v>135</v>
      </c>
      <c r="V6" s="22">
        <f>J6</f>
        <v>0</v>
      </c>
      <c r="W6" s="22">
        <f>COUNTIFS($E$5:$E$34,$U6,$F$5:$F$34,W$4)</f>
        <v>0</v>
      </c>
      <c r="X6" s="22">
        <f t="shared" si="0"/>
        <v>0</v>
      </c>
      <c r="Y6" s="22">
        <f t="shared" si="0"/>
        <v>0</v>
      </c>
      <c r="Z6" s="22">
        <f t="shared" si="0"/>
        <v>0</v>
      </c>
      <c r="AA6" s="124">
        <f>COUNTIFS($E$5:$E$34,$U6,$F$5:$F$34,"")</f>
        <v>0</v>
      </c>
    </row>
    <row r="7" spans="1:28" ht="65.099999999999994" customHeight="1">
      <c r="A7" s="120">
        <v>3</v>
      </c>
      <c r="B7" s="121" t="s">
        <v>101</v>
      </c>
      <c r="C7" s="121" t="s">
        <v>4043</v>
      </c>
      <c r="D7" s="121" t="s">
        <v>4338</v>
      </c>
      <c r="E7" s="122"/>
      <c r="F7" s="122"/>
      <c r="I7" s="123" t="s">
        <v>136</v>
      </c>
      <c r="J7" s="123">
        <f>COUNTIF($E$5:$E$34,$I7)</f>
        <v>0</v>
      </c>
      <c r="K7" s="117" t="s">
        <v>153</v>
      </c>
      <c r="M7" s="123" t="s">
        <v>151</v>
      </c>
      <c r="N7" s="123">
        <f>SUM(O7:O7)</f>
        <v>0</v>
      </c>
      <c r="O7" s="123">
        <f>COUNTIFS($E$5:$E$34,O$4,$F$5:$F$34,$M7)</f>
        <v>0</v>
      </c>
      <c r="U7" s="22" t="s">
        <v>136</v>
      </c>
      <c r="V7" s="22">
        <f>J7</f>
        <v>0</v>
      </c>
      <c r="W7" s="22">
        <f>COUNTIFS($E$5:$E$34,$U7,$F$5:$F$34,W$4)</f>
        <v>0</v>
      </c>
      <c r="X7" s="22">
        <f t="shared" si="0"/>
        <v>0</v>
      </c>
      <c r="Y7" s="22">
        <f t="shared" si="0"/>
        <v>0</v>
      </c>
      <c r="Z7" s="22">
        <f t="shared" si="0"/>
        <v>0</v>
      </c>
      <c r="AA7" s="22">
        <f>COUNTIFS($E$5:$E$34,$U7,$F$5:$F$34,"")</f>
        <v>0</v>
      </c>
    </row>
    <row r="8" spans="1:28" ht="65.099999999999994" customHeight="1">
      <c r="A8" s="120">
        <v>4</v>
      </c>
      <c r="B8" s="121" t="s">
        <v>101</v>
      </c>
      <c r="C8" s="121" t="s">
        <v>4044</v>
      </c>
      <c r="D8" s="121" t="s">
        <v>4339</v>
      </c>
      <c r="E8" s="122"/>
      <c r="F8" s="122"/>
      <c r="I8" s="123" t="s">
        <v>118</v>
      </c>
      <c r="J8" s="123">
        <f>A34</f>
        <v>30</v>
      </c>
      <c r="K8" s="117">
        <v>50</v>
      </c>
      <c r="M8" s="123" t="s">
        <v>152</v>
      </c>
      <c r="N8" s="123">
        <f>SUM(O8:O8)</f>
        <v>0</v>
      </c>
      <c r="O8" s="123">
        <f>COUNTIFS($E$5:$E$34,O$4,$F$5:$F$34,$M8)</f>
        <v>0</v>
      </c>
      <c r="U8" s="22" t="s">
        <v>4228</v>
      </c>
      <c r="V8" s="22">
        <f>J8</f>
        <v>30</v>
      </c>
      <c r="W8" s="22">
        <f>SUM(W5:W7)</f>
        <v>0</v>
      </c>
      <c r="X8" s="22">
        <f>SUM(X5:X7)</f>
        <v>0</v>
      </c>
      <c r="Y8" s="22">
        <f>SUM(Y5:Y7)</f>
        <v>0</v>
      </c>
      <c r="Z8" s="22">
        <f>SUM(Z5:Z7)</f>
        <v>0</v>
      </c>
      <c r="AA8" s="22">
        <f>SUM(AA5:AA7)</f>
        <v>0</v>
      </c>
    </row>
    <row r="9" spans="1:28" ht="65.099999999999994" customHeight="1">
      <c r="A9" s="120">
        <v>5</v>
      </c>
      <c r="B9" s="121" t="s">
        <v>101</v>
      </c>
      <c r="C9" s="121" t="s">
        <v>4045</v>
      </c>
      <c r="D9" s="121" t="s">
        <v>4340</v>
      </c>
      <c r="E9" s="122"/>
      <c r="F9" s="122"/>
      <c r="I9" s="125" t="s">
        <v>86</v>
      </c>
      <c r="J9" s="126" t="str">
        <f>IF(COUNTBLANK(E5:E34)=30,"",IFERROR(J5/(J8-J7),0))</f>
        <v/>
      </c>
      <c r="K9" s="127" t="str">
        <f>IF(J9="","",ROUNDUP($J$9*$K$8,0))</f>
        <v/>
      </c>
      <c r="M9" s="123" t="s">
        <v>146</v>
      </c>
      <c r="N9" s="123">
        <f>SUM(N5:N8)</f>
        <v>0</v>
      </c>
      <c r="O9" s="123">
        <f>SUM(O5:O8)</f>
        <v>0</v>
      </c>
      <c r="S9" s="108" t="s">
        <v>4231</v>
      </c>
      <c r="T9" s="108" t="s">
        <v>4232</v>
      </c>
      <c r="U9" s="108" t="s">
        <v>4233</v>
      </c>
      <c r="AB9" s="111" t="s">
        <v>4234</v>
      </c>
    </row>
    <row r="10" spans="1:28" ht="65.099999999999994" customHeight="1">
      <c r="A10" s="120">
        <v>6</v>
      </c>
      <c r="B10" s="121" t="s">
        <v>102</v>
      </c>
      <c r="C10" s="121" t="s">
        <v>4046</v>
      </c>
      <c r="D10" s="121" t="s">
        <v>4341</v>
      </c>
      <c r="E10" s="122"/>
      <c r="F10" s="122"/>
      <c r="I10" s="125" t="s">
        <v>4139</v>
      </c>
      <c r="J10" s="126" t="str">
        <f>IF(COUNTBLANK(E5:E34)=30,"",IFERROR(SUM(J5,O5,O6,O7)/(J8-J7),0))</f>
        <v/>
      </c>
      <c r="K10" s="128" t="str">
        <f>IF(J10="","",ROUNDUP($J$10*$K$8,0))</f>
        <v/>
      </c>
      <c r="R10" s="22" t="s">
        <v>4229</v>
      </c>
      <c r="S10" s="22">
        <v>20</v>
      </c>
      <c r="T10" s="22">
        <f>COUNTA(C39:C58)</f>
        <v>0</v>
      </c>
      <c r="U10" s="119">
        <f>COUNTBLANK(C39:C58)</f>
        <v>20</v>
      </c>
      <c r="V10" s="22" t="s">
        <v>4235</v>
      </c>
      <c r="W10" s="22" t="s">
        <v>149</v>
      </c>
      <c r="X10" s="22" t="s">
        <v>4237</v>
      </c>
      <c r="Y10" s="22" t="s">
        <v>4238</v>
      </c>
      <c r="AA10" s="22" t="s">
        <v>4236</v>
      </c>
      <c r="AB10" s="22">
        <f>COUNTBLANK(F39:F58)</f>
        <v>20</v>
      </c>
    </row>
    <row r="11" spans="1:28" ht="65.099999999999994" customHeight="1">
      <c r="A11" s="120">
        <v>7</v>
      </c>
      <c r="B11" s="121" t="s">
        <v>102</v>
      </c>
      <c r="C11" s="121" t="s">
        <v>4047</v>
      </c>
      <c r="D11" s="121" t="s">
        <v>4342</v>
      </c>
      <c r="E11" s="122"/>
      <c r="F11" s="122"/>
      <c r="K11" s="129"/>
      <c r="U11" s="22" t="s">
        <v>134</v>
      </c>
      <c r="V11" s="22">
        <f>J39</f>
        <v>0</v>
      </c>
      <c r="W11" s="22">
        <f>COUNTIFS($E$39:$E$58,$U11,$F$39:$F$58,W$10)</f>
        <v>0</v>
      </c>
      <c r="X11" s="22">
        <f t="shared" ref="X11:Y13" si="1">COUNTIFS($E$39:$E$58,$U11,$F$39:$F$58,X$10)</f>
        <v>0</v>
      </c>
      <c r="Y11" s="22">
        <f t="shared" si="1"/>
        <v>0</v>
      </c>
      <c r="AA11" s="22">
        <f>COUNTIFS($E$39:$E$58,$U11,$F$39:$F$58,"")</f>
        <v>0</v>
      </c>
    </row>
    <row r="12" spans="1:28" ht="65.099999999999994" customHeight="1">
      <c r="A12" s="120">
        <v>8</v>
      </c>
      <c r="B12" s="121" t="s">
        <v>102</v>
      </c>
      <c r="C12" s="121" t="s">
        <v>4048</v>
      </c>
      <c r="D12" s="121" t="s">
        <v>4343</v>
      </c>
      <c r="E12" s="122"/>
      <c r="F12" s="122"/>
      <c r="U12" s="22" t="s">
        <v>144</v>
      </c>
      <c r="V12" s="22">
        <f>J40</f>
        <v>0</v>
      </c>
      <c r="W12" s="22">
        <f>COUNTIFS($E$39:$E$58,$U12,$F$39:$F$58,W$10)</f>
        <v>0</v>
      </c>
      <c r="X12" s="22">
        <f t="shared" si="1"/>
        <v>0</v>
      </c>
      <c r="Y12" s="22">
        <f t="shared" si="1"/>
        <v>0</v>
      </c>
      <c r="AA12" s="124">
        <f>COUNTIFS($E$39:$E$58,$U12,$F$39:$F$58,"")</f>
        <v>0</v>
      </c>
    </row>
    <row r="13" spans="1:28" ht="65.099999999999994" customHeight="1">
      <c r="A13" s="120">
        <v>9</v>
      </c>
      <c r="B13" s="121" t="s">
        <v>102</v>
      </c>
      <c r="C13" s="121" t="s">
        <v>4049</v>
      </c>
      <c r="D13" s="121" t="s">
        <v>4344</v>
      </c>
      <c r="E13" s="122"/>
      <c r="F13" s="122"/>
      <c r="U13" s="22" t="s">
        <v>135</v>
      </c>
      <c r="V13" s="22">
        <f>J41</f>
        <v>0</v>
      </c>
      <c r="W13" s="22">
        <f>COUNTIFS($E$39:$E$58,$U13,$F$39:$F$58,W$10)</f>
        <v>0</v>
      </c>
      <c r="X13" s="22">
        <f t="shared" si="1"/>
        <v>0</v>
      </c>
      <c r="Y13" s="22">
        <f t="shared" si="1"/>
        <v>0</v>
      </c>
      <c r="AA13" s="124">
        <f>COUNTIFS($E$39:$E$58,$U13,$F$39:$F$58,"")</f>
        <v>0</v>
      </c>
    </row>
    <row r="14" spans="1:28" ht="65.099999999999994" customHeight="1">
      <c r="A14" s="120">
        <v>10</v>
      </c>
      <c r="B14" s="121" t="s">
        <v>102</v>
      </c>
      <c r="C14" s="121" t="s">
        <v>4050</v>
      </c>
      <c r="D14" s="121" t="s">
        <v>4345</v>
      </c>
      <c r="E14" s="122"/>
      <c r="F14" s="122"/>
      <c r="U14" s="22" t="s">
        <v>118</v>
      </c>
      <c r="V14" s="22">
        <f>J42</f>
        <v>0</v>
      </c>
      <c r="W14" s="22">
        <f>SUM(W11:W13)</f>
        <v>0</v>
      </c>
      <c r="X14" s="22">
        <f>SUM(X11:X13)</f>
        <v>0</v>
      </c>
      <c r="Y14" s="22">
        <f>SUM(Y11:Y13)</f>
        <v>0</v>
      </c>
      <c r="AA14" s="22">
        <f>SUM(AA11:AA13)</f>
        <v>0</v>
      </c>
    </row>
    <row r="15" spans="1:28" ht="65.099999999999994" customHeight="1">
      <c r="A15" s="120">
        <v>11</v>
      </c>
      <c r="B15" s="121" t="s">
        <v>102</v>
      </c>
      <c r="C15" s="121" t="s">
        <v>4051</v>
      </c>
      <c r="D15" s="121" t="s">
        <v>4346</v>
      </c>
      <c r="E15" s="122"/>
      <c r="F15" s="122"/>
      <c r="S15" s="108" t="s">
        <v>4231</v>
      </c>
      <c r="T15" s="108" t="s">
        <v>148</v>
      </c>
      <c r="U15" s="108" t="s">
        <v>4233</v>
      </c>
      <c r="AB15" s="111" t="s">
        <v>4234</v>
      </c>
    </row>
    <row r="16" spans="1:28" ht="65.099999999999994" customHeight="1">
      <c r="A16" s="120">
        <v>12</v>
      </c>
      <c r="B16" s="121" t="s">
        <v>103</v>
      </c>
      <c r="C16" s="121" t="s">
        <v>4052</v>
      </c>
      <c r="D16" s="121" t="s">
        <v>4347</v>
      </c>
      <c r="E16" s="122"/>
      <c r="F16" s="122"/>
      <c r="R16" s="22" t="s">
        <v>4230</v>
      </c>
      <c r="S16" s="22">
        <v>10</v>
      </c>
      <c r="T16" s="22">
        <f>COUNTA(C63:C72)</f>
        <v>0</v>
      </c>
      <c r="U16" s="119">
        <f>COUNTBLANK(C63:C72)</f>
        <v>10</v>
      </c>
      <c r="V16" s="22" t="s">
        <v>4235</v>
      </c>
      <c r="W16" s="22" t="s">
        <v>149</v>
      </c>
      <c r="X16" s="22" t="s">
        <v>4237</v>
      </c>
      <c r="Y16" s="22" t="s">
        <v>4238</v>
      </c>
      <c r="AA16" s="22" t="s">
        <v>4236</v>
      </c>
      <c r="AB16" s="22">
        <f>COUNTBLANK(F63:F72)</f>
        <v>10</v>
      </c>
    </row>
    <row r="17" spans="1:27" ht="65.099999999999994" customHeight="1">
      <c r="A17" s="120">
        <v>13</v>
      </c>
      <c r="B17" s="121" t="s">
        <v>103</v>
      </c>
      <c r="C17" s="121" t="s">
        <v>4053</v>
      </c>
      <c r="D17" s="121" t="s">
        <v>4348</v>
      </c>
      <c r="E17" s="122"/>
      <c r="F17" s="122"/>
      <c r="U17" s="22" t="s">
        <v>134</v>
      </c>
      <c r="V17" s="22">
        <f>J63</f>
        <v>0</v>
      </c>
      <c r="W17" s="22">
        <f t="shared" ref="W17:Y18" si="2">COUNTIFS($E$63:$E$72,$U17,$F$63:$F$72,W$16)</f>
        <v>0</v>
      </c>
      <c r="X17" s="22">
        <f t="shared" si="2"/>
        <v>0</v>
      </c>
      <c r="Y17" s="22">
        <f t="shared" si="2"/>
        <v>0</v>
      </c>
      <c r="AA17" s="22">
        <f>COUNTIFS($E$63:$E$72,$U17,$F$63:$F$72,"")</f>
        <v>0</v>
      </c>
    </row>
    <row r="18" spans="1:27" ht="65.099999999999994" customHeight="1">
      <c r="A18" s="120">
        <v>14</v>
      </c>
      <c r="B18" s="121" t="s">
        <v>103</v>
      </c>
      <c r="C18" s="121" t="s">
        <v>5004</v>
      </c>
      <c r="D18" s="121" t="s">
        <v>5005</v>
      </c>
      <c r="E18" s="122"/>
      <c r="F18" s="122"/>
      <c r="U18" s="22" t="s">
        <v>135</v>
      </c>
      <c r="V18" s="22">
        <f>J64</f>
        <v>0</v>
      </c>
      <c r="W18" s="22">
        <f t="shared" si="2"/>
        <v>0</v>
      </c>
      <c r="X18" s="22">
        <f t="shared" si="2"/>
        <v>0</v>
      </c>
      <c r="Y18" s="22">
        <f t="shared" si="2"/>
        <v>0</v>
      </c>
      <c r="AA18" s="124">
        <f>COUNTIFS($E$63:$E$72,$U18,$F$63:$F$72,"")</f>
        <v>0</v>
      </c>
    </row>
    <row r="19" spans="1:27" ht="65.099999999999994" customHeight="1">
      <c r="A19" s="120">
        <v>15</v>
      </c>
      <c r="B19" s="121" t="s">
        <v>103</v>
      </c>
      <c r="C19" s="121" t="s">
        <v>4054</v>
      </c>
      <c r="D19" s="121" t="s">
        <v>4349</v>
      </c>
      <c r="E19" s="122"/>
      <c r="F19" s="122"/>
      <c r="U19" s="22" t="s">
        <v>118</v>
      </c>
      <c r="V19" s="22">
        <f>J65</f>
        <v>0</v>
      </c>
      <c r="W19" s="22">
        <f>SUM(W17:W18)</f>
        <v>0</v>
      </c>
      <c r="X19" s="22">
        <f>SUM(X17:X18)</f>
        <v>0</v>
      </c>
      <c r="Y19" s="22">
        <f>SUM(Y17:Y18)</f>
        <v>0</v>
      </c>
      <c r="AA19" s="22">
        <f>SUM(AA17:AA18)</f>
        <v>0</v>
      </c>
    </row>
    <row r="20" spans="1:27" ht="65.099999999999994" customHeight="1">
      <c r="A20" s="120">
        <v>16</v>
      </c>
      <c r="B20" s="121" t="s">
        <v>104</v>
      </c>
      <c r="C20" s="121" t="s">
        <v>4055</v>
      </c>
      <c r="D20" s="121" t="s">
        <v>4390</v>
      </c>
      <c r="E20" s="122"/>
      <c r="F20" s="122"/>
    </row>
    <row r="21" spans="1:27" ht="65.099999999999994" customHeight="1">
      <c r="A21" s="120">
        <v>17</v>
      </c>
      <c r="B21" s="121" t="s">
        <v>104</v>
      </c>
      <c r="C21" s="121" t="s">
        <v>4056</v>
      </c>
      <c r="D21" s="121" t="s">
        <v>4350</v>
      </c>
      <c r="E21" s="122"/>
      <c r="F21" s="122"/>
    </row>
    <row r="22" spans="1:27" ht="65.099999999999994" customHeight="1">
      <c r="A22" s="120">
        <v>18</v>
      </c>
      <c r="B22" s="121" t="s">
        <v>104</v>
      </c>
      <c r="C22" s="121" t="s">
        <v>4057</v>
      </c>
      <c r="D22" s="121" t="s">
        <v>5006</v>
      </c>
      <c r="E22" s="122"/>
      <c r="F22" s="122"/>
    </row>
    <row r="23" spans="1:27" ht="65.099999999999994" customHeight="1">
      <c r="A23" s="120">
        <v>19</v>
      </c>
      <c r="B23" s="121" t="s">
        <v>105</v>
      </c>
      <c r="C23" s="121" t="s">
        <v>4058</v>
      </c>
      <c r="D23" s="121" t="s">
        <v>4351</v>
      </c>
      <c r="E23" s="122"/>
      <c r="F23" s="122"/>
    </row>
    <row r="24" spans="1:27" ht="65.099999999999994" customHeight="1">
      <c r="A24" s="110">
        <v>20</v>
      </c>
      <c r="B24" s="130" t="s">
        <v>106</v>
      </c>
      <c r="C24" s="130" t="s">
        <v>4059</v>
      </c>
      <c r="D24" s="130" t="s">
        <v>4352</v>
      </c>
      <c r="E24" s="122"/>
      <c r="F24" s="122"/>
    </row>
    <row r="25" spans="1:27" ht="65.099999999999994" customHeight="1">
      <c r="A25" s="110">
        <v>21</v>
      </c>
      <c r="B25" s="130" t="s">
        <v>106</v>
      </c>
      <c r="C25" s="130" t="s">
        <v>4060</v>
      </c>
      <c r="D25" s="130" t="s">
        <v>4353</v>
      </c>
      <c r="E25" s="122"/>
      <c r="F25" s="122"/>
    </row>
    <row r="26" spans="1:27" ht="65.099999999999994" customHeight="1">
      <c r="A26" s="110">
        <v>22</v>
      </c>
      <c r="B26" s="130" t="s">
        <v>106</v>
      </c>
      <c r="C26" s="130" t="s">
        <v>4061</v>
      </c>
      <c r="D26" s="130" t="s">
        <v>4354</v>
      </c>
      <c r="E26" s="122"/>
      <c r="F26" s="122"/>
    </row>
    <row r="27" spans="1:27" ht="65.099999999999994" customHeight="1">
      <c r="A27" s="110">
        <v>23</v>
      </c>
      <c r="B27" s="130" t="s">
        <v>107</v>
      </c>
      <c r="C27" s="130" t="s">
        <v>4062</v>
      </c>
      <c r="D27" s="130" t="s">
        <v>5007</v>
      </c>
      <c r="E27" s="122"/>
      <c r="F27" s="122"/>
    </row>
    <row r="28" spans="1:27" ht="65.099999999999994" customHeight="1">
      <c r="A28" s="110">
        <v>24</v>
      </c>
      <c r="B28" s="130" t="s">
        <v>107</v>
      </c>
      <c r="C28" s="130" t="s">
        <v>5180</v>
      </c>
      <c r="D28" s="130" t="s">
        <v>5008</v>
      </c>
      <c r="E28" s="122"/>
      <c r="F28" s="122"/>
    </row>
    <row r="29" spans="1:27" ht="65.099999999999994" customHeight="1">
      <c r="A29" s="110">
        <v>25</v>
      </c>
      <c r="B29" s="130" t="s">
        <v>108</v>
      </c>
      <c r="C29" s="130" t="s">
        <v>4063</v>
      </c>
      <c r="D29" s="130" t="s">
        <v>4355</v>
      </c>
      <c r="E29" s="122"/>
      <c r="F29" s="122"/>
    </row>
    <row r="30" spans="1:27" ht="65.099999999999994" customHeight="1">
      <c r="A30" s="110">
        <v>26</v>
      </c>
      <c r="B30" s="130" t="s">
        <v>109</v>
      </c>
      <c r="C30" s="130" t="s">
        <v>4064</v>
      </c>
      <c r="D30" s="130" t="s">
        <v>4356</v>
      </c>
      <c r="E30" s="122"/>
      <c r="F30" s="122"/>
    </row>
    <row r="31" spans="1:27" ht="65.099999999999994" customHeight="1">
      <c r="A31" s="110">
        <v>27</v>
      </c>
      <c r="B31" s="130" t="s">
        <v>110</v>
      </c>
      <c r="C31" s="130" t="s">
        <v>4065</v>
      </c>
      <c r="D31" s="130" t="s">
        <v>4357</v>
      </c>
      <c r="E31" s="122"/>
      <c r="F31" s="122"/>
    </row>
    <row r="32" spans="1:27" ht="65.099999999999994" customHeight="1">
      <c r="A32" s="110">
        <v>28</v>
      </c>
      <c r="B32" s="130" t="s">
        <v>111</v>
      </c>
      <c r="C32" s="130" t="s">
        <v>4066</v>
      </c>
      <c r="D32" s="130" t="s">
        <v>4358</v>
      </c>
      <c r="E32" s="122"/>
      <c r="F32" s="122"/>
    </row>
    <row r="33" spans="1:16" ht="65.099999999999994" customHeight="1">
      <c r="A33" s="110">
        <v>29</v>
      </c>
      <c r="B33" s="130" t="s">
        <v>3112</v>
      </c>
      <c r="C33" s="130" t="s">
        <v>4067</v>
      </c>
      <c r="D33" s="130" t="s">
        <v>4359</v>
      </c>
      <c r="E33" s="122"/>
      <c r="F33" s="122"/>
    </row>
    <row r="34" spans="1:16" ht="65.099999999999994" customHeight="1">
      <c r="A34" s="110">
        <v>30</v>
      </c>
      <c r="B34" s="130" t="s">
        <v>3112</v>
      </c>
      <c r="C34" s="130" t="s">
        <v>4068</v>
      </c>
      <c r="D34" s="130" t="s">
        <v>4360</v>
      </c>
      <c r="E34" s="122"/>
      <c r="F34" s="122"/>
    </row>
    <row r="37" spans="1:16" ht="28.35" customHeight="1">
      <c r="A37" s="109" t="s">
        <v>4096</v>
      </c>
      <c r="B37" s="109"/>
      <c r="O37" s="686"/>
      <c r="P37" s="686"/>
    </row>
    <row r="38" spans="1:16" ht="45" customHeight="1">
      <c r="A38" s="131" t="s">
        <v>97</v>
      </c>
      <c r="B38" s="113" t="s">
        <v>100</v>
      </c>
      <c r="C38" s="114" t="s">
        <v>98</v>
      </c>
      <c r="D38" s="114" t="s">
        <v>99</v>
      </c>
      <c r="E38" s="115" t="s">
        <v>4093</v>
      </c>
      <c r="F38" s="116" t="s">
        <v>112</v>
      </c>
      <c r="I38" s="110" t="s">
        <v>145</v>
      </c>
      <c r="J38" s="110" t="s">
        <v>148</v>
      </c>
      <c r="K38" s="117" t="s">
        <v>154</v>
      </c>
      <c r="M38" s="110" t="s">
        <v>112</v>
      </c>
      <c r="N38" s="110" t="s">
        <v>148</v>
      </c>
      <c r="O38" s="118" t="s">
        <v>158</v>
      </c>
      <c r="P38" s="118" t="s">
        <v>135</v>
      </c>
    </row>
    <row r="39" spans="1:16" ht="70.349999999999994" customHeight="1">
      <c r="A39" s="120">
        <v>1</v>
      </c>
      <c r="B39" s="132"/>
      <c r="C39" s="132"/>
      <c r="D39" s="121" t="str">
        <f>IFERROR(VLOOKUP(C39,選択対策,2,0),"")</f>
        <v/>
      </c>
      <c r="E39" s="122"/>
      <c r="F39" s="122"/>
      <c r="I39" s="123" t="s">
        <v>134</v>
      </c>
      <c r="J39" s="123">
        <f>COUNTIF($E$39:$E$58,$I39)</f>
        <v>0</v>
      </c>
      <c r="K39" s="117">
        <v>5</v>
      </c>
      <c r="M39" s="123" t="s">
        <v>149</v>
      </c>
      <c r="N39" s="123">
        <f>SUM(O39:P39)</f>
        <v>0</v>
      </c>
      <c r="O39" s="123">
        <f t="shared" ref="O39:P41" si="3">COUNTIFS($E$39:$E$58,O$38,$F$39:$F$58,$M39)</f>
        <v>0</v>
      </c>
      <c r="P39" s="123">
        <f t="shared" si="3"/>
        <v>0</v>
      </c>
    </row>
    <row r="40" spans="1:16" ht="70.349999999999994" customHeight="1">
      <c r="A40" s="120">
        <v>2</v>
      </c>
      <c r="B40" s="132"/>
      <c r="C40" s="132"/>
      <c r="D40" s="121" t="str">
        <f t="shared" ref="D40:D58" si="4">IFERROR(VLOOKUP(C40,選択対策,2,0),"")</f>
        <v/>
      </c>
      <c r="E40" s="122"/>
      <c r="F40" s="122"/>
      <c r="I40" s="123" t="s">
        <v>144</v>
      </c>
      <c r="J40" s="123">
        <f>COUNTIF($E$39:$E$58,$I40)</f>
        <v>0</v>
      </c>
      <c r="K40" s="117">
        <v>3</v>
      </c>
      <c r="M40" s="123" t="s">
        <v>150</v>
      </c>
      <c r="N40" s="123">
        <f>SUM(O40:P40)</f>
        <v>0</v>
      </c>
      <c r="O40" s="123">
        <f t="shared" si="3"/>
        <v>0</v>
      </c>
      <c r="P40" s="123">
        <f t="shared" si="3"/>
        <v>0</v>
      </c>
    </row>
    <row r="41" spans="1:16" ht="70.349999999999994" customHeight="1">
      <c r="A41" s="120">
        <v>3</v>
      </c>
      <c r="B41" s="132"/>
      <c r="C41" s="132"/>
      <c r="D41" s="121" t="str">
        <f t="shared" si="4"/>
        <v/>
      </c>
      <c r="E41" s="122"/>
      <c r="F41" s="122"/>
      <c r="I41" s="123" t="s">
        <v>135</v>
      </c>
      <c r="J41" s="123">
        <f>COUNTIF($E$39:$E$58,$I41)</f>
        <v>0</v>
      </c>
      <c r="K41" s="117">
        <v>0</v>
      </c>
      <c r="M41" s="123" t="s">
        <v>151</v>
      </c>
      <c r="N41" s="123">
        <f>SUM(O41:P41)</f>
        <v>0</v>
      </c>
      <c r="O41" s="123">
        <f t="shared" si="3"/>
        <v>0</v>
      </c>
      <c r="P41" s="123">
        <f t="shared" si="3"/>
        <v>0</v>
      </c>
    </row>
    <row r="42" spans="1:16" ht="70.349999999999994" customHeight="1">
      <c r="A42" s="120">
        <v>4</v>
      </c>
      <c r="B42" s="132"/>
      <c r="C42" s="132"/>
      <c r="D42" s="121" t="str">
        <f t="shared" si="4"/>
        <v/>
      </c>
      <c r="E42" s="122"/>
      <c r="F42" s="122"/>
      <c r="I42" s="123" t="s">
        <v>118</v>
      </c>
      <c r="J42" s="123">
        <f>SUM(J39:J41)</f>
        <v>0</v>
      </c>
      <c r="K42" s="117">
        <v>50</v>
      </c>
    </row>
    <row r="43" spans="1:16" ht="70.349999999999994" customHeight="1">
      <c r="A43" s="120">
        <v>5</v>
      </c>
      <c r="B43" s="132"/>
      <c r="C43" s="132"/>
      <c r="D43" s="121" t="str">
        <f t="shared" si="4"/>
        <v/>
      </c>
      <c r="E43" s="122"/>
      <c r="F43" s="122"/>
      <c r="I43" s="125" t="s">
        <v>155</v>
      </c>
      <c r="J43" s="127">
        <f>IF(J39*K39+J40*K40&gt;K42,K42,J39*K39+J40*K40)</f>
        <v>0</v>
      </c>
    </row>
    <row r="44" spans="1:16" ht="70.349999999999994" customHeight="1">
      <c r="A44" s="120">
        <v>6</v>
      </c>
      <c r="B44" s="132"/>
      <c r="C44" s="132"/>
      <c r="D44" s="121" t="str">
        <f t="shared" si="4"/>
        <v/>
      </c>
      <c r="E44" s="122"/>
      <c r="F44" s="122"/>
      <c r="I44" s="125" t="s">
        <v>156</v>
      </c>
      <c r="J44" s="133">
        <f>IF((J39+SUM(N39:N41))*K39+(J40-SUM(O39:O41))*K40&gt;K42,K42,(J39+SUM(N39:N41))*K39+(J40-SUM(O39:O41))*K40)</f>
        <v>0</v>
      </c>
    </row>
    <row r="45" spans="1:16" ht="70.349999999999994" customHeight="1">
      <c r="A45" s="120">
        <v>7</v>
      </c>
      <c r="B45" s="132"/>
      <c r="C45" s="132"/>
      <c r="D45" s="121" t="str">
        <f t="shared" si="4"/>
        <v/>
      </c>
      <c r="E45" s="122"/>
      <c r="F45" s="122"/>
    </row>
    <row r="46" spans="1:16" ht="70.349999999999994" customHeight="1">
      <c r="A46" s="120">
        <v>8</v>
      </c>
      <c r="B46" s="132"/>
      <c r="C46" s="132"/>
      <c r="D46" s="121" t="str">
        <f t="shared" si="4"/>
        <v/>
      </c>
      <c r="E46" s="122"/>
      <c r="F46" s="122"/>
    </row>
    <row r="47" spans="1:16" ht="70.349999999999994" customHeight="1">
      <c r="A47" s="120">
        <v>9</v>
      </c>
      <c r="B47" s="132"/>
      <c r="C47" s="132"/>
      <c r="D47" s="121" t="str">
        <f t="shared" si="4"/>
        <v/>
      </c>
      <c r="E47" s="122"/>
      <c r="F47" s="122"/>
    </row>
    <row r="48" spans="1:16" ht="70.349999999999994" customHeight="1">
      <c r="A48" s="120">
        <v>10</v>
      </c>
      <c r="B48" s="132"/>
      <c r="C48" s="132"/>
      <c r="D48" s="121" t="str">
        <f t="shared" si="4"/>
        <v/>
      </c>
      <c r="E48" s="122"/>
      <c r="F48" s="122"/>
    </row>
    <row r="49" spans="1:15" ht="70.349999999999994" customHeight="1">
      <c r="A49" s="120">
        <v>11</v>
      </c>
      <c r="B49" s="132"/>
      <c r="C49" s="132"/>
      <c r="D49" s="121" t="str">
        <f t="shared" si="4"/>
        <v/>
      </c>
      <c r="E49" s="122"/>
      <c r="F49" s="122"/>
    </row>
    <row r="50" spans="1:15" ht="70.349999999999994" customHeight="1">
      <c r="A50" s="120">
        <v>12</v>
      </c>
      <c r="B50" s="132"/>
      <c r="C50" s="132"/>
      <c r="D50" s="121" t="str">
        <f t="shared" si="4"/>
        <v/>
      </c>
      <c r="E50" s="122"/>
      <c r="F50" s="122"/>
      <c r="H50" s="109"/>
      <c r="I50" s="109"/>
      <c r="J50" s="109"/>
      <c r="K50" s="109"/>
    </row>
    <row r="51" spans="1:15" ht="70.349999999999994" customHeight="1">
      <c r="A51" s="120">
        <v>13</v>
      </c>
      <c r="B51" s="132"/>
      <c r="C51" s="132"/>
      <c r="D51" s="121" t="str">
        <f t="shared" si="4"/>
        <v/>
      </c>
      <c r="E51" s="122"/>
      <c r="F51" s="122"/>
      <c r="H51" s="109"/>
      <c r="I51" s="109"/>
      <c r="J51" s="109"/>
      <c r="K51" s="109"/>
    </row>
    <row r="52" spans="1:15" ht="70.349999999999994" customHeight="1">
      <c r="A52" s="120">
        <v>14</v>
      </c>
      <c r="B52" s="132"/>
      <c r="C52" s="132"/>
      <c r="D52" s="121" t="str">
        <f t="shared" si="4"/>
        <v/>
      </c>
      <c r="E52" s="122"/>
      <c r="F52" s="122"/>
      <c r="H52" s="109"/>
      <c r="I52" s="109"/>
      <c r="J52" s="109"/>
      <c r="K52" s="109"/>
    </row>
    <row r="53" spans="1:15" ht="70.349999999999994" customHeight="1">
      <c r="A53" s="120">
        <v>15</v>
      </c>
      <c r="B53" s="132"/>
      <c r="C53" s="132"/>
      <c r="D53" s="121" t="str">
        <f t="shared" si="4"/>
        <v/>
      </c>
      <c r="E53" s="122"/>
      <c r="F53" s="122"/>
      <c r="H53" s="109"/>
      <c r="I53" s="109"/>
      <c r="J53" s="109"/>
      <c r="K53" s="109"/>
    </row>
    <row r="54" spans="1:15" ht="70.349999999999994" customHeight="1">
      <c r="A54" s="120">
        <v>16</v>
      </c>
      <c r="B54" s="132"/>
      <c r="C54" s="132"/>
      <c r="D54" s="121" t="str">
        <f t="shared" si="4"/>
        <v/>
      </c>
      <c r="E54" s="122"/>
      <c r="F54" s="122"/>
      <c r="H54" s="109"/>
      <c r="I54" s="109"/>
      <c r="J54" s="109"/>
      <c r="K54" s="109"/>
    </row>
    <row r="55" spans="1:15" ht="70.349999999999994" customHeight="1">
      <c r="A55" s="120">
        <v>17</v>
      </c>
      <c r="B55" s="132"/>
      <c r="C55" s="132"/>
      <c r="D55" s="121" t="str">
        <f t="shared" si="4"/>
        <v/>
      </c>
      <c r="E55" s="122"/>
      <c r="F55" s="122"/>
      <c r="H55" s="109"/>
      <c r="I55" s="109"/>
      <c r="J55" s="109"/>
      <c r="K55" s="109"/>
    </row>
    <row r="56" spans="1:15" ht="70.349999999999994" customHeight="1">
      <c r="A56" s="120">
        <v>18</v>
      </c>
      <c r="B56" s="132"/>
      <c r="C56" s="132"/>
      <c r="D56" s="121" t="str">
        <f t="shared" si="4"/>
        <v/>
      </c>
      <c r="E56" s="122"/>
      <c r="F56" s="122"/>
      <c r="H56" s="109"/>
      <c r="I56" s="109"/>
      <c r="J56" s="109"/>
      <c r="K56" s="109"/>
    </row>
    <row r="57" spans="1:15" ht="70.349999999999994" customHeight="1">
      <c r="A57" s="120">
        <v>19</v>
      </c>
      <c r="B57" s="132"/>
      <c r="C57" s="132"/>
      <c r="D57" s="121" t="str">
        <f t="shared" si="4"/>
        <v/>
      </c>
      <c r="E57" s="122"/>
      <c r="F57" s="122"/>
      <c r="H57" s="109"/>
      <c r="I57" s="109"/>
      <c r="J57" s="109"/>
      <c r="K57" s="109"/>
    </row>
    <row r="58" spans="1:15" ht="70.349999999999994" customHeight="1">
      <c r="A58" s="120">
        <v>20</v>
      </c>
      <c r="B58" s="132"/>
      <c r="C58" s="132"/>
      <c r="D58" s="121" t="str">
        <f t="shared" si="4"/>
        <v/>
      </c>
      <c r="E58" s="122"/>
      <c r="F58" s="122"/>
      <c r="H58" s="109"/>
      <c r="I58" s="109"/>
      <c r="J58" s="109"/>
      <c r="K58" s="109"/>
    </row>
    <row r="61" spans="1:15" ht="13.5" customHeight="1">
      <c r="A61" s="109" t="s">
        <v>4100</v>
      </c>
    </row>
    <row r="62" spans="1:15" ht="45" customHeight="1">
      <c r="A62" s="131" t="s">
        <v>97</v>
      </c>
      <c r="B62" s="687" t="s">
        <v>98</v>
      </c>
      <c r="C62" s="688"/>
      <c r="D62" s="110" t="s">
        <v>4989</v>
      </c>
      <c r="E62" s="115" t="s">
        <v>4093</v>
      </c>
      <c r="F62" s="116" t="s">
        <v>112</v>
      </c>
      <c r="I62" s="110" t="s">
        <v>145</v>
      </c>
      <c r="J62" s="110" t="s">
        <v>148</v>
      </c>
      <c r="K62" s="117" t="s">
        <v>154</v>
      </c>
      <c r="M62" s="110" t="s">
        <v>112</v>
      </c>
      <c r="N62" s="110" t="s">
        <v>148</v>
      </c>
      <c r="O62" s="117" t="s">
        <v>154</v>
      </c>
    </row>
    <row r="63" spans="1:15" ht="90" customHeight="1">
      <c r="A63" s="120">
        <v>1</v>
      </c>
      <c r="B63" s="134"/>
      <c r="C63" s="134"/>
      <c r="D63" s="134"/>
      <c r="E63" s="135"/>
      <c r="F63" s="122"/>
      <c r="I63" s="123" t="s">
        <v>134</v>
      </c>
      <c r="J63" s="123">
        <f>COUNTIF($E$63:$E$72,$I63)</f>
        <v>0</v>
      </c>
      <c r="K63" s="117">
        <v>5</v>
      </c>
      <c r="M63" s="123" t="s">
        <v>149</v>
      </c>
      <c r="N63" s="123">
        <f>COUNTIFS($E$63:$E$72,$I$64,$F$63:$F$72,$M63)</f>
        <v>0</v>
      </c>
      <c r="O63" s="117">
        <v>5</v>
      </c>
    </row>
    <row r="64" spans="1:15" ht="90" customHeight="1">
      <c r="A64" s="120">
        <v>2</v>
      </c>
      <c r="B64" s="134"/>
      <c r="C64" s="134"/>
      <c r="D64" s="134"/>
      <c r="E64" s="135"/>
      <c r="F64" s="122"/>
      <c r="I64" s="123" t="s">
        <v>135</v>
      </c>
      <c r="J64" s="123">
        <f>COUNTIF($E$63:$E$72,$I64)</f>
        <v>0</v>
      </c>
      <c r="K64" s="117">
        <v>0</v>
      </c>
      <c r="M64" s="123" t="s">
        <v>150</v>
      </c>
      <c r="N64" s="123">
        <f>COUNTIFS($E$63:$E$72,$I$64,$F$63:$F$72,$M64)</f>
        <v>0</v>
      </c>
      <c r="O64" s="117">
        <v>5</v>
      </c>
    </row>
    <row r="65" spans="1:15" ht="90" customHeight="1">
      <c r="A65" s="120">
        <v>3</v>
      </c>
      <c r="B65" s="134"/>
      <c r="C65" s="134"/>
      <c r="D65" s="134"/>
      <c r="E65" s="135"/>
      <c r="F65" s="122"/>
      <c r="I65" s="123" t="s">
        <v>118</v>
      </c>
      <c r="J65" s="123">
        <f>SUM(J63:J64)</f>
        <v>0</v>
      </c>
      <c r="K65" s="117">
        <v>25</v>
      </c>
      <c r="M65" s="123" t="s">
        <v>151</v>
      </c>
      <c r="N65" s="123">
        <f>COUNTIFS($E$63:$E$72,$I$64,$F$63:$F$72,$M65)</f>
        <v>0</v>
      </c>
      <c r="O65" s="117">
        <v>5</v>
      </c>
    </row>
    <row r="66" spans="1:15" ht="90" customHeight="1">
      <c r="A66" s="120">
        <v>4</v>
      </c>
      <c r="B66" s="134"/>
      <c r="C66" s="134"/>
      <c r="D66" s="134"/>
      <c r="E66" s="135"/>
      <c r="F66" s="122"/>
      <c r="I66" s="125" t="s">
        <v>155</v>
      </c>
      <c r="J66" s="119">
        <f>IF(J63*K63&gt;K65,K65,J63*K63)</f>
        <v>0</v>
      </c>
      <c r="M66" s="123" t="s">
        <v>118</v>
      </c>
      <c r="N66" s="123">
        <f>SUM(N63:N65)</f>
        <v>0</v>
      </c>
      <c r="O66" s="117">
        <v>25</v>
      </c>
    </row>
    <row r="67" spans="1:15" ht="90" customHeight="1">
      <c r="A67" s="120">
        <v>5</v>
      </c>
      <c r="B67" s="134"/>
      <c r="C67" s="134"/>
      <c r="D67" s="134"/>
      <c r="E67" s="135"/>
      <c r="F67" s="122"/>
      <c r="I67" s="125" t="s">
        <v>156</v>
      </c>
      <c r="J67" s="133">
        <f>IF(J63*K63+N66*O63&gt;O66,O66,J63*K63+N66*O63)</f>
        <v>0</v>
      </c>
    </row>
    <row r="68" spans="1:15" ht="90" customHeight="1">
      <c r="A68" s="120">
        <v>6</v>
      </c>
      <c r="B68" s="134"/>
      <c r="C68" s="134"/>
      <c r="D68" s="134"/>
      <c r="E68" s="135"/>
      <c r="F68" s="122"/>
    </row>
    <row r="69" spans="1:15" ht="90" customHeight="1">
      <c r="A69" s="120">
        <v>7</v>
      </c>
      <c r="B69" s="134"/>
      <c r="C69" s="134"/>
      <c r="D69" s="134"/>
      <c r="E69" s="135"/>
      <c r="F69" s="122"/>
    </row>
    <row r="70" spans="1:15" ht="90" customHeight="1">
      <c r="A70" s="120">
        <v>8</v>
      </c>
      <c r="B70" s="134"/>
      <c r="C70" s="134"/>
      <c r="D70" s="134"/>
      <c r="E70" s="135"/>
      <c r="F70" s="122"/>
    </row>
    <row r="71" spans="1:15" ht="90" customHeight="1">
      <c r="A71" s="120">
        <v>9</v>
      </c>
      <c r="B71" s="134"/>
      <c r="C71" s="134"/>
      <c r="D71" s="134"/>
      <c r="E71" s="135"/>
      <c r="F71" s="122"/>
    </row>
    <row r="72" spans="1:15" ht="90" customHeight="1">
      <c r="A72" s="120">
        <v>10</v>
      </c>
      <c r="B72" s="134"/>
      <c r="C72" s="134"/>
      <c r="D72" s="134"/>
      <c r="E72" s="135"/>
      <c r="F72" s="122"/>
    </row>
  </sheetData>
  <sheetProtection algorithmName="SHA-512" hashValue="xlyc8MQSOLrOle6ax6b3L50T5anvzf3hnZV6fQkrgoE/knk9TSo/ZZt/plKF2Gc6R5znzN5Pg4X6bFGA0HC0+Q==" saltValue="H7q0Tuei6Ux0JNbqA01Vrw==" spinCount="100000" sheet="1" objects="1" scenarios="1" selectLockedCells="1"/>
  <mergeCells count="2">
    <mergeCell ref="O37:P37"/>
    <mergeCell ref="B62:C62"/>
  </mergeCells>
  <phoneticPr fontId="1"/>
  <conditionalFormatting sqref="C39">
    <cfRule type="expression" dxfId="420" priority="61">
      <formula>$C$39&lt;&gt;""</formula>
    </cfRule>
  </conditionalFormatting>
  <conditionalFormatting sqref="C40">
    <cfRule type="expression" dxfId="419" priority="12" stopIfTrue="1">
      <formula>$C$40&lt;&gt;""</formula>
    </cfRule>
  </conditionalFormatting>
  <conditionalFormatting sqref="C41">
    <cfRule type="expression" dxfId="418" priority="13" stopIfTrue="1">
      <formula>$C$41&lt;&gt;""</formula>
    </cfRule>
  </conditionalFormatting>
  <conditionalFormatting sqref="C42">
    <cfRule type="expression" dxfId="417" priority="14" stopIfTrue="1">
      <formula>$C$42&lt;&gt;""</formula>
    </cfRule>
  </conditionalFormatting>
  <conditionalFormatting sqref="C43">
    <cfRule type="expression" dxfId="416" priority="15" stopIfTrue="1">
      <formula>$C$43&lt;&gt;""</formula>
    </cfRule>
  </conditionalFormatting>
  <conditionalFormatting sqref="C44">
    <cfRule type="expression" dxfId="415" priority="16" stopIfTrue="1">
      <formula>$C$44&lt;&gt;""</formula>
    </cfRule>
  </conditionalFormatting>
  <conditionalFormatting sqref="C45">
    <cfRule type="expression" dxfId="414" priority="17" stopIfTrue="1">
      <formula>$C$45&lt;&gt;""</formula>
    </cfRule>
  </conditionalFormatting>
  <conditionalFormatting sqref="C46">
    <cfRule type="expression" dxfId="413" priority="18" stopIfTrue="1">
      <formula>$C$46&lt;&gt;""</formula>
    </cfRule>
  </conditionalFormatting>
  <conditionalFormatting sqref="C47">
    <cfRule type="expression" dxfId="412" priority="19" stopIfTrue="1">
      <formula>$C$47&lt;&gt;""</formula>
    </cfRule>
  </conditionalFormatting>
  <conditionalFormatting sqref="C48">
    <cfRule type="expression" dxfId="411" priority="20" stopIfTrue="1">
      <formula>$C$48&lt;&gt;""</formula>
    </cfRule>
  </conditionalFormatting>
  <conditionalFormatting sqref="C49">
    <cfRule type="expression" dxfId="410" priority="21" stopIfTrue="1">
      <formula>$C$49&lt;&gt;""</formula>
    </cfRule>
  </conditionalFormatting>
  <conditionalFormatting sqref="C50">
    <cfRule type="expression" dxfId="409" priority="22" stopIfTrue="1">
      <formula>$C$50&lt;&gt;""</formula>
    </cfRule>
  </conditionalFormatting>
  <conditionalFormatting sqref="C51">
    <cfRule type="expression" dxfId="408" priority="23" stopIfTrue="1">
      <formula>$C$51&lt;&gt;""</formula>
    </cfRule>
  </conditionalFormatting>
  <conditionalFormatting sqref="C52">
    <cfRule type="expression" dxfId="407" priority="24" stopIfTrue="1">
      <formula>$C$52&lt;&gt;""</formula>
    </cfRule>
  </conditionalFormatting>
  <conditionalFormatting sqref="C53">
    <cfRule type="expression" dxfId="406" priority="25" stopIfTrue="1">
      <formula>$C$53&lt;&gt;""</formula>
    </cfRule>
  </conditionalFormatting>
  <conditionalFormatting sqref="C54">
    <cfRule type="expression" dxfId="405" priority="26" stopIfTrue="1">
      <formula>$C$54&lt;&gt;""</formula>
    </cfRule>
  </conditionalFormatting>
  <conditionalFormatting sqref="C55">
    <cfRule type="expression" dxfId="404" priority="27" stopIfTrue="1">
      <formula>$C$55&lt;&gt;""</formula>
    </cfRule>
  </conditionalFormatting>
  <conditionalFormatting sqref="C56">
    <cfRule type="expression" dxfId="403" priority="28" stopIfTrue="1">
      <formula>$C$56&lt;&gt;""</formula>
    </cfRule>
  </conditionalFormatting>
  <conditionalFormatting sqref="C57">
    <cfRule type="expression" dxfId="402" priority="29" stopIfTrue="1">
      <formula>$C$57&lt;&gt;""</formula>
    </cfRule>
  </conditionalFormatting>
  <conditionalFormatting sqref="C58">
    <cfRule type="expression" dxfId="401" priority="30" stopIfTrue="1">
      <formula>$C$58&lt;&gt;""</formula>
    </cfRule>
  </conditionalFormatting>
  <conditionalFormatting sqref="C63">
    <cfRule type="expression" dxfId="400" priority="60" stopIfTrue="1">
      <formula>$C$63&lt;&gt;""</formula>
    </cfRule>
  </conditionalFormatting>
  <conditionalFormatting sqref="C64">
    <cfRule type="expression" dxfId="399" priority="59" stopIfTrue="1">
      <formula>$C$64&lt;&gt;""</formula>
    </cfRule>
  </conditionalFormatting>
  <conditionalFormatting sqref="C65">
    <cfRule type="expression" dxfId="398" priority="58" stopIfTrue="1">
      <formula>$C$65&lt;&gt;""</formula>
    </cfRule>
  </conditionalFormatting>
  <conditionalFormatting sqref="C66">
    <cfRule type="expression" dxfId="397" priority="57" stopIfTrue="1">
      <formula>$C$66&lt;&gt;""</formula>
    </cfRule>
  </conditionalFormatting>
  <conditionalFormatting sqref="C67">
    <cfRule type="expression" dxfId="396" priority="56" stopIfTrue="1">
      <formula>$C$67&lt;&gt;""</formula>
    </cfRule>
  </conditionalFormatting>
  <conditionalFormatting sqref="C68">
    <cfRule type="expression" dxfId="395" priority="55" stopIfTrue="1">
      <formula>$C$68&lt;&gt;""</formula>
    </cfRule>
  </conditionalFormatting>
  <conditionalFormatting sqref="C69">
    <cfRule type="expression" dxfId="394" priority="54" stopIfTrue="1">
      <formula>$C$69&lt;&gt;""</formula>
    </cfRule>
  </conditionalFormatting>
  <conditionalFormatting sqref="C70">
    <cfRule type="expression" dxfId="393" priority="53" stopIfTrue="1">
      <formula>$C$70&lt;&gt;""</formula>
    </cfRule>
  </conditionalFormatting>
  <conditionalFormatting sqref="C71">
    <cfRule type="expression" dxfId="392" priority="52" stopIfTrue="1">
      <formula>$C$71&lt;&gt;""</formula>
    </cfRule>
  </conditionalFormatting>
  <conditionalFormatting sqref="C72">
    <cfRule type="expression" dxfId="391" priority="51" stopIfTrue="1">
      <formula>$C$72&lt;&gt;""</formula>
    </cfRule>
  </conditionalFormatting>
  <conditionalFormatting sqref="D63">
    <cfRule type="expression" dxfId="390" priority="41" stopIfTrue="1">
      <formula>$D$63&lt;&gt;""</formula>
    </cfRule>
  </conditionalFormatting>
  <conditionalFormatting sqref="D64">
    <cfRule type="expression" dxfId="389" priority="42" stopIfTrue="1">
      <formula>$D$64&lt;&gt;""</formula>
    </cfRule>
  </conditionalFormatting>
  <conditionalFormatting sqref="D65">
    <cfRule type="expression" dxfId="388" priority="43" stopIfTrue="1">
      <formula>$D$65&lt;&gt;""</formula>
    </cfRule>
  </conditionalFormatting>
  <conditionalFormatting sqref="D66">
    <cfRule type="expression" dxfId="387" priority="44" stopIfTrue="1">
      <formula>$D$66&lt;&gt;""</formula>
    </cfRule>
  </conditionalFormatting>
  <conditionalFormatting sqref="D67">
    <cfRule type="expression" dxfId="386" priority="45" stopIfTrue="1">
      <formula>$D$67&lt;&gt;""</formula>
    </cfRule>
  </conditionalFormatting>
  <conditionalFormatting sqref="D68">
    <cfRule type="expression" dxfId="385" priority="46" stopIfTrue="1">
      <formula>$D$68&lt;&gt;""</formula>
    </cfRule>
  </conditionalFormatting>
  <conditionalFormatting sqref="D69">
    <cfRule type="expression" dxfId="384" priority="47" stopIfTrue="1">
      <formula>$D$69&lt;&gt;""</formula>
    </cfRule>
  </conditionalFormatting>
  <conditionalFormatting sqref="D70">
    <cfRule type="expression" dxfId="383" priority="48" stopIfTrue="1">
      <formula>$D$70&lt;&gt;""</formula>
    </cfRule>
  </conditionalFormatting>
  <conditionalFormatting sqref="D71">
    <cfRule type="expression" dxfId="382" priority="49" stopIfTrue="1">
      <formula>$D$71&lt;&gt;""</formula>
    </cfRule>
  </conditionalFormatting>
  <conditionalFormatting sqref="D72">
    <cfRule type="expression" dxfId="381" priority="50" stopIfTrue="1">
      <formula>$D$72&lt;&gt;""</formula>
    </cfRule>
  </conditionalFormatting>
  <conditionalFormatting sqref="E5">
    <cfRule type="expression" dxfId="380" priority="142" stopIfTrue="1">
      <formula>$E$5&lt;&gt;""</formula>
    </cfRule>
  </conditionalFormatting>
  <conditionalFormatting sqref="E5:E34">
    <cfRule type="containsText" dxfId="379" priority="83" operator="containsText" text="非該当">
      <formula>NOT(ISERROR(SEARCH("非該当",E5)))</formula>
    </cfRule>
  </conditionalFormatting>
  <conditionalFormatting sqref="E6:E8">
    <cfRule type="expression" dxfId="378" priority="140" stopIfTrue="1">
      <formula>$E$6&lt;&gt;""</formula>
    </cfRule>
  </conditionalFormatting>
  <conditionalFormatting sqref="E7:E8">
    <cfRule type="expression" dxfId="377" priority="138" stopIfTrue="1">
      <formula>$E$7&lt;&gt;""</formula>
    </cfRule>
  </conditionalFormatting>
  <conditionalFormatting sqref="E8">
    <cfRule type="expression" dxfId="376" priority="147" stopIfTrue="1">
      <formula>$E$8&lt;&gt;""</formula>
    </cfRule>
  </conditionalFormatting>
  <conditionalFormatting sqref="E9">
    <cfRule type="expression" dxfId="375" priority="136" stopIfTrue="1">
      <formula>$E$9&lt;&gt;""</formula>
    </cfRule>
  </conditionalFormatting>
  <conditionalFormatting sqref="E10">
    <cfRule type="expression" dxfId="374" priority="134" stopIfTrue="1">
      <formula>$E$10&lt;&gt;""</formula>
    </cfRule>
  </conditionalFormatting>
  <conditionalFormatting sqref="E11">
    <cfRule type="expression" dxfId="373" priority="132" stopIfTrue="1">
      <formula>$E$11&lt;&gt;""</formula>
    </cfRule>
  </conditionalFormatting>
  <conditionalFormatting sqref="E12">
    <cfRule type="expression" dxfId="372" priority="130" stopIfTrue="1">
      <formula>$E$12&lt;&gt;""</formula>
    </cfRule>
  </conditionalFormatting>
  <conditionalFormatting sqref="E13">
    <cfRule type="expression" dxfId="371" priority="128" stopIfTrue="1">
      <formula>$E$13&lt;&gt;""</formula>
    </cfRule>
  </conditionalFormatting>
  <conditionalFormatting sqref="E14">
    <cfRule type="expression" dxfId="370" priority="126" stopIfTrue="1">
      <formula>$E$14&lt;&gt;""</formula>
    </cfRule>
  </conditionalFormatting>
  <conditionalFormatting sqref="E15">
    <cfRule type="expression" dxfId="369" priority="124" stopIfTrue="1">
      <formula>$E$15&lt;&gt;""</formula>
    </cfRule>
  </conditionalFormatting>
  <conditionalFormatting sqref="E16">
    <cfRule type="expression" dxfId="368" priority="122" stopIfTrue="1">
      <formula>$E$16&lt;&gt;""</formula>
    </cfRule>
  </conditionalFormatting>
  <conditionalFormatting sqref="E17">
    <cfRule type="expression" dxfId="367" priority="118" stopIfTrue="1">
      <formula>$E$17&lt;&gt;""</formula>
    </cfRule>
  </conditionalFormatting>
  <conditionalFormatting sqref="E18">
    <cfRule type="expression" dxfId="366" priority="120" stopIfTrue="1">
      <formula>$E$18&lt;&gt;""</formula>
    </cfRule>
  </conditionalFormatting>
  <conditionalFormatting sqref="E19">
    <cfRule type="expression" dxfId="365" priority="116" stopIfTrue="1">
      <formula>$E$19&lt;&gt;""</formula>
    </cfRule>
  </conditionalFormatting>
  <conditionalFormatting sqref="E20">
    <cfRule type="expression" dxfId="364" priority="114" stopIfTrue="1">
      <formula>$E$20&lt;&gt;""</formula>
    </cfRule>
  </conditionalFormatting>
  <conditionalFormatting sqref="E21">
    <cfRule type="expression" dxfId="363" priority="112" stopIfTrue="1">
      <formula>$E$21&lt;&gt;""</formula>
    </cfRule>
  </conditionalFormatting>
  <conditionalFormatting sqref="E22">
    <cfRule type="expression" dxfId="362" priority="110" stopIfTrue="1">
      <formula>$E$22&lt;&gt;""</formula>
    </cfRule>
  </conditionalFormatting>
  <conditionalFormatting sqref="E23">
    <cfRule type="expression" dxfId="361" priority="108" stopIfTrue="1">
      <formula>$E$23&lt;&gt;""</formula>
    </cfRule>
  </conditionalFormatting>
  <conditionalFormatting sqref="E24">
    <cfRule type="expression" dxfId="360" priority="106" stopIfTrue="1">
      <formula>$E$24&lt;&gt;""</formula>
    </cfRule>
  </conditionalFormatting>
  <conditionalFormatting sqref="E25">
    <cfRule type="expression" dxfId="359" priority="104" stopIfTrue="1">
      <formula>$E$25&lt;&gt;""</formula>
    </cfRule>
  </conditionalFormatting>
  <conditionalFormatting sqref="E26">
    <cfRule type="expression" dxfId="358" priority="102" stopIfTrue="1">
      <formula>$E$26&lt;&gt;""</formula>
    </cfRule>
  </conditionalFormatting>
  <conditionalFormatting sqref="E27">
    <cfRule type="expression" dxfId="357" priority="99" stopIfTrue="1">
      <formula>$E$27&lt;&gt;""</formula>
    </cfRule>
  </conditionalFormatting>
  <conditionalFormatting sqref="E28">
    <cfRule type="expression" dxfId="356" priority="100" stopIfTrue="1">
      <formula>$E$28&lt;&gt;""</formula>
    </cfRule>
  </conditionalFormatting>
  <conditionalFormatting sqref="E29">
    <cfRule type="expression" dxfId="355" priority="96" stopIfTrue="1">
      <formula>$E$29&lt;&gt;""</formula>
    </cfRule>
  </conditionalFormatting>
  <conditionalFormatting sqref="E30">
    <cfRule type="expression" dxfId="354" priority="93" stopIfTrue="1">
      <formula>$E$30&lt;&gt;""</formula>
    </cfRule>
  </conditionalFormatting>
  <conditionalFormatting sqref="E31">
    <cfRule type="expression" dxfId="353" priority="92" stopIfTrue="1">
      <formula>$E$31&lt;&gt;""</formula>
    </cfRule>
  </conditionalFormatting>
  <conditionalFormatting sqref="E32">
    <cfRule type="expression" dxfId="352" priority="90" stopIfTrue="1">
      <formula>$E$32&lt;&gt;""</formula>
    </cfRule>
  </conditionalFormatting>
  <conditionalFormatting sqref="E33">
    <cfRule type="expression" dxfId="351" priority="88" stopIfTrue="1">
      <formula>$E$33&lt;&gt;""</formula>
    </cfRule>
  </conditionalFormatting>
  <conditionalFormatting sqref="E34">
    <cfRule type="expression" dxfId="350" priority="86" stopIfTrue="1">
      <formula>$E$34&lt;&gt;""</formula>
    </cfRule>
  </conditionalFormatting>
  <conditionalFormatting sqref="E39:E58">
    <cfRule type="expression" dxfId="349" priority="82">
      <formula>$E39&lt;&gt;""</formula>
    </cfRule>
  </conditionalFormatting>
  <conditionalFormatting sqref="E63">
    <cfRule type="expression" dxfId="348" priority="40" stopIfTrue="1">
      <formula>$E$63&lt;&gt;""</formula>
    </cfRule>
  </conditionalFormatting>
  <conditionalFormatting sqref="E64">
    <cfRule type="expression" dxfId="347" priority="39" stopIfTrue="1">
      <formula>$E$64&lt;&gt;""</formula>
    </cfRule>
  </conditionalFormatting>
  <conditionalFormatting sqref="E65">
    <cfRule type="expression" dxfId="346" priority="38" stopIfTrue="1">
      <formula>$E$65&lt;&gt;""</formula>
    </cfRule>
  </conditionalFormatting>
  <conditionalFormatting sqref="E66">
    <cfRule type="expression" dxfId="345" priority="37" stopIfTrue="1">
      <formula>$E$66&lt;&gt;""</formula>
    </cfRule>
  </conditionalFormatting>
  <conditionalFormatting sqref="E67">
    <cfRule type="expression" dxfId="344" priority="35" stopIfTrue="1">
      <formula>$E$67&lt;&gt;""</formula>
    </cfRule>
  </conditionalFormatting>
  <conditionalFormatting sqref="E68">
    <cfRule type="expression" dxfId="343" priority="36" stopIfTrue="1">
      <formula>$E$68&lt;&gt;""</formula>
    </cfRule>
  </conditionalFormatting>
  <conditionalFormatting sqref="E69">
    <cfRule type="expression" dxfId="342" priority="34" stopIfTrue="1">
      <formula>$E$69&lt;&gt;""</formula>
    </cfRule>
  </conditionalFormatting>
  <conditionalFormatting sqref="E70">
    <cfRule type="expression" dxfId="341" priority="33" stopIfTrue="1">
      <formula>$E$70&lt;&gt;""</formula>
    </cfRule>
  </conditionalFormatting>
  <conditionalFormatting sqref="E71">
    <cfRule type="expression" dxfId="340" priority="32" stopIfTrue="1">
      <formula>$E$71&lt;&gt;""</formula>
    </cfRule>
  </conditionalFormatting>
  <conditionalFormatting sqref="E72">
    <cfRule type="expression" dxfId="339" priority="31" stopIfTrue="1">
      <formula>$E$72&lt;&gt;""</formula>
    </cfRule>
  </conditionalFormatting>
  <conditionalFormatting sqref="F5:F34">
    <cfRule type="expression" dxfId="338" priority="141">
      <formula>$E5="実施済"</formula>
    </cfRule>
    <cfRule type="expression" dxfId="337" priority="150">
      <formula>$E5="非該当"</formula>
    </cfRule>
    <cfRule type="expression" dxfId="336" priority="151">
      <formula>$F5&lt;&gt;""</formula>
    </cfRule>
  </conditionalFormatting>
  <conditionalFormatting sqref="F39:F58">
    <cfRule type="expression" dxfId="335" priority="64">
      <formula>$E39="実施済"</formula>
    </cfRule>
    <cfRule type="expression" dxfId="334" priority="65">
      <formula>$E39="非該当"</formula>
    </cfRule>
    <cfRule type="expression" dxfId="333" priority="146">
      <formula>$F39&lt;&gt;""</formula>
    </cfRule>
  </conditionalFormatting>
  <conditionalFormatting sqref="F63:F72">
    <cfRule type="expression" dxfId="332" priority="11" stopIfTrue="1">
      <formula>$F63&lt;&gt;""</formula>
    </cfRule>
    <cfRule type="expression" dxfId="331" priority="143">
      <formula>$E63="実施済"</formula>
    </cfRule>
    <cfRule type="expression" dxfId="330" priority="144">
      <formula>$E63="非該当"</formula>
    </cfRule>
  </conditionalFormatting>
  <dataValidations count="7">
    <dataValidation type="list" allowBlank="1" showInputMessage="1" showErrorMessage="1" sqref="E5:E34" xr:uid="{00000000-0002-0000-0700-000000000000}">
      <formula1>"実施済,未実施,非該当"</formula1>
    </dataValidation>
    <dataValidation type="list" allowBlank="1" showInputMessage="1" showErrorMessage="1" sqref="F5:F34" xr:uid="{00000000-0002-0000-0700-000001000000}">
      <formula1>"第1年度,第2年度,第3年度,予定なし"</formula1>
    </dataValidation>
    <dataValidation type="list" allowBlank="1" showInputMessage="1" showErrorMessage="1" sqref="E39:E58" xr:uid="{00000000-0002-0000-0700-000002000000}">
      <formula1>"実施済,一部実施済,未実施"</formula1>
    </dataValidation>
    <dataValidation type="list" allowBlank="1" showInputMessage="1" showErrorMessage="1" sqref="F39:F58 F63:F72" xr:uid="{00000000-0002-0000-0700-000003000000}">
      <formula1>"第1年度,第2年度,第3年度"</formula1>
    </dataValidation>
    <dataValidation type="list" allowBlank="1" showInputMessage="1" showErrorMessage="1" sqref="E63:E72" xr:uid="{00000000-0002-0000-0700-000004000000}">
      <formula1>"実施済,未実施"</formula1>
    </dataValidation>
    <dataValidation type="list" allowBlank="1" showInputMessage="1" showErrorMessage="1" sqref="C63:C72" xr:uid="{00000000-0002-0000-0700-000005000000}">
      <formula1>その他対策</formula1>
    </dataValidation>
    <dataValidation imeMode="hiragana" allowBlank="1" showInputMessage="1" showErrorMessage="1" sqref="D63:D72" xr:uid="{00000000-0002-0000-0700-000006000000}"/>
  </dataValidations>
  <printOptions horizontalCentered="1"/>
  <pageMargins left="0.70866141732283472" right="0.55118110236220474" top="0.74803149606299213" bottom="0.74803149606299213" header="0.31496062992125984" footer="0.31496062992125984"/>
  <pageSetup paperSize="9" scale="81" fitToHeight="7" orientation="portrait" r:id="rId1"/>
  <headerFooter>
    <oddHeader>&amp;L様式第１号</oddHeader>
    <oddFooter>&amp;R&amp;8（事業所等用）</oddFooter>
  </headerFooter>
  <rowBreaks count="6" manualBreakCount="6">
    <brk id="16" max="5" man="1"/>
    <brk id="28" max="5" man="1"/>
    <brk id="35" max="5" man="1"/>
    <brk id="50" max="5" man="1"/>
    <brk id="59" max="5" man="1"/>
    <brk id="72"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08CC2-C040-416D-AD03-1024B6B862BD}">
          <x14:formula1>
            <xm:f>対策リスト!$D$3:$D$28</xm:f>
          </x14:formula1>
          <xm:sqref>C39:C58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B0F0"/>
  </sheetPr>
  <dimension ref="A1:F28"/>
  <sheetViews>
    <sheetView showGridLines="0" view="pageBreakPreview" zoomScaleNormal="100" zoomScaleSheetLayoutView="100" workbookViewId="0">
      <selection activeCell="B4" sqref="B4"/>
    </sheetView>
  </sheetViews>
  <sheetFormatPr defaultColWidth="8.88671875" defaultRowHeight="16.2"/>
  <cols>
    <col min="1" max="1" width="5.6640625" style="22" customWidth="1"/>
    <col min="2" max="2" width="41.44140625" style="22" customWidth="1"/>
    <col min="3" max="3" width="10.44140625" style="22" customWidth="1"/>
    <col min="4" max="4" width="14.109375" style="22" customWidth="1"/>
    <col min="5" max="5" width="19.88671875" style="107" hidden="1" customWidth="1"/>
    <col min="6" max="6" width="19.88671875" style="107" customWidth="1"/>
    <col min="7" max="36" width="5.6640625" style="22" customWidth="1"/>
    <col min="37" max="16384" width="8.88671875" style="22"/>
  </cols>
  <sheetData>
    <row r="1" spans="1:6" ht="9" customHeight="1"/>
    <row r="2" spans="1:6" ht="33" customHeight="1">
      <c r="A2" s="617" t="s">
        <v>4223</v>
      </c>
    </row>
    <row r="3" spans="1:6" ht="33" customHeight="1">
      <c r="A3" s="598" t="s">
        <v>4219</v>
      </c>
      <c r="B3" s="598" t="s">
        <v>4220</v>
      </c>
      <c r="C3" s="599" t="s">
        <v>4221</v>
      </c>
      <c r="D3" s="599" t="s">
        <v>5203</v>
      </c>
      <c r="E3" s="599"/>
      <c r="F3" s="599" t="s">
        <v>4973</v>
      </c>
    </row>
    <row r="4" spans="1:6" ht="147" customHeight="1">
      <c r="A4" s="598">
        <v>1</v>
      </c>
      <c r="B4" s="236"/>
      <c r="C4" s="237"/>
      <c r="D4" s="238"/>
      <c r="E4" s="600"/>
      <c r="F4" s="637"/>
    </row>
    <row r="5" spans="1:6" ht="147" customHeight="1">
      <c r="A5" s="598">
        <v>2</v>
      </c>
      <c r="B5" s="236"/>
      <c r="C5" s="237"/>
      <c r="D5" s="238"/>
      <c r="E5" s="600"/>
      <c r="F5" s="637"/>
    </row>
    <row r="6" spans="1:6" ht="147" customHeight="1">
      <c r="A6" s="598">
        <v>3</v>
      </c>
      <c r="B6" s="236"/>
      <c r="C6" s="237"/>
      <c r="D6" s="238"/>
      <c r="E6" s="600"/>
      <c r="F6" s="637"/>
    </row>
    <row r="7" spans="1:6" ht="147" customHeight="1">
      <c r="A7" s="598">
        <v>4</v>
      </c>
      <c r="B7" s="236"/>
      <c r="C7" s="237"/>
      <c r="D7" s="238"/>
      <c r="E7" s="600"/>
      <c r="F7" s="637"/>
    </row>
    <row r="8" spans="1:6" ht="147" customHeight="1">
      <c r="A8" s="598">
        <v>5</v>
      </c>
      <c r="B8" s="236"/>
      <c r="C8" s="237"/>
      <c r="D8" s="238"/>
      <c r="E8" s="600"/>
      <c r="F8" s="637"/>
    </row>
    <row r="9" spans="1:6" ht="147" customHeight="1">
      <c r="A9" s="598">
        <v>6</v>
      </c>
      <c r="B9" s="236"/>
      <c r="C9" s="237"/>
      <c r="D9" s="238"/>
      <c r="E9" s="600"/>
      <c r="F9" s="637"/>
    </row>
    <row r="10" spans="1:6" ht="147" customHeight="1">
      <c r="A10" s="598">
        <v>7</v>
      </c>
      <c r="B10" s="236"/>
      <c r="C10" s="237"/>
      <c r="D10" s="238"/>
      <c r="E10" s="600"/>
      <c r="F10" s="637"/>
    </row>
    <row r="11" spans="1:6" ht="147" customHeight="1">
      <c r="A11" s="598">
        <v>8</v>
      </c>
      <c r="B11" s="236"/>
      <c r="C11" s="237"/>
      <c r="D11" s="238"/>
      <c r="E11" s="600"/>
      <c r="F11" s="637"/>
    </row>
    <row r="12" spans="1:6" ht="147" customHeight="1">
      <c r="A12" s="598">
        <v>9</v>
      </c>
      <c r="B12" s="236"/>
      <c r="C12" s="237"/>
      <c r="D12" s="238"/>
      <c r="E12" s="600"/>
      <c r="F12" s="637"/>
    </row>
    <row r="13" spans="1:6" ht="147" customHeight="1">
      <c r="A13" s="598">
        <v>10</v>
      </c>
      <c r="B13" s="236"/>
      <c r="C13" s="237"/>
      <c r="D13" s="238"/>
      <c r="E13" s="600"/>
      <c r="F13" s="637"/>
    </row>
    <row r="14" spans="1:6" ht="11.1" customHeight="1"/>
    <row r="15" spans="1:6" ht="33" customHeight="1">
      <c r="A15" s="617" t="s">
        <v>4222</v>
      </c>
    </row>
    <row r="16" spans="1:6" ht="33" customHeight="1">
      <c r="A16" s="598" t="s">
        <v>4219</v>
      </c>
      <c r="B16" s="598" t="s">
        <v>4220</v>
      </c>
      <c r="C16" s="599" t="s">
        <v>4225</v>
      </c>
      <c r="D16" s="599" t="s">
        <v>5203</v>
      </c>
      <c r="E16" s="599"/>
      <c r="F16" s="599" t="s">
        <v>4973</v>
      </c>
    </row>
    <row r="17" spans="1:6" ht="150.6" customHeight="1">
      <c r="A17" s="598">
        <v>1</v>
      </c>
      <c r="B17" s="236"/>
      <c r="C17" s="237"/>
      <c r="D17" s="239"/>
      <c r="E17" s="600"/>
      <c r="F17" s="637"/>
    </row>
    <row r="18" spans="1:6" ht="150.6" customHeight="1">
      <c r="A18" s="598">
        <v>2</v>
      </c>
      <c r="B18" s="236"/>
      <c r="C18" s="237"/>
      <c r="D18" s="239"/>
      <c r="E18" s="600"/>
      <c r="F18" s="637"/>
    </row>
    <row r="19" spans="1:6" ht="150.6" customHeight="1">
      <c r="A19" s="598">
        <v>3</v>
      </c>
      <c r="B19" s="236"/>
      <c r="C19" s="237"/>
      <c r="D19" s="239"/>
      <c r="E19" s="600"/>
      <c r="F19" s="637"/>
    </row>
    <row r="20" spans="1:6" ht="150.6" customHeight="1">
      <c r="A20" s="598">
        <v>4</v>
      </c>
      <c r="B20" s="236"/>
      <c r="C20" s="237"/>
      <c r="D20" s="239"/>
      <c r="E20" s="600"/>
      <c r="F20" s="637"/>
    </row>
    <row r="21" spans="1:6" ht="150.6" customHeight="1">
      <c r="A21" s="598">
        <v>5</v>
      </c>
      <c r="B21" s="236"/>
      <c r="C21" s="237"/>
      <c r="D21" s="239"/>
      <c r="E21" s="600"/>
      <c r="F21" s="637"/>
    </row>
    <row r="22" spans="1:6" ht="150.6" customHeight="1">
      <c r="A22" s="598">
        <v>6</v>
      </c>
      <c r="B22" s="236"/>
      <c r="C22" s="237"/>
      <c r="D22" s="239"/>
      <c r="E22" s="600"/>
      <c r="F22" s="637"/>
    </row>
    <row r="23" spans="1:6" ht="150.6" customHeight="1">
      <c r="A23" s="598">
        <v>7</v>
      </c>
      <c r="B23" s="236"/>
      <c r="C23" s="237"/>
      <c r="D23" s="239"/>
      <c r="E23" s="600"/>
      <c r="F23" s="637"/>
    </row>
    <row r="24" spans="1:6" ht="150.6" customHeight="1">
      <c r="A24" s="598">
        <v>8</v>
      </c>
      <c r="B24" s="236"/>
      <c r="C24" s="237"/>
      <c r="D24" s="239"/>
      <c r="E24" s="600"/>
      <c r="F24" s="637"/>
    </row>
    <row r="25" spans="1:6" ht="150.6" customHeight="1">
      <c r="A25" s="598">
        <v>9</v>
      </c>
      <c r="B25" s="236"/>
      <c r="C25" s="237"/>
      <c r="D25" s="239"/>
      <c r="E25" s="600"/>
      <c r="F25" s="637"/>
    </row>
    <row r="26" spans="1:6" ht="150.6" customHeight="1">
      <c r="A26" s="598">
        <v>10</v>
      </c>
      <c r="B26" s="236"/>
      <c r="C26" s="237"/>
      <c r="D26" s="239"/>
      <c r="E26" s="600"/>
      <c r="F26" s="637"/>
    </row>
    <row r="27" spans="1:6" ht="33.75" customHeight="1"/>
    <row r="28" spans="1:6" ht="33.75" customHeight="1"/>
  </sheetData>
  <sheetProtection algorithmName="SHA-512" hashValue="VwgR73RijcsA4dnhkyeeXRirZzVqAJddx0+E12TTGpll+fw6loQ3TAh9pviQp73wKfxczj1Ua6pLDwaNF9jRHw==" saltValue="LBCYgxwXFaorAparcgq+rw==" spinCount="100000" sheet="1" scenarios="1" selectLockedCells="1"/>
  <phoneticPr fontId="1"/>
  <conditionalFormatting sqref="B4">
    <cfRule type="expression" dxfId="329" priority="72" stopIfTrue="1">
      <formula>$B$4&lt;&gt;""</formula>
    </cfRule>
  </conditionalFormatting>
  <conditionalFormatting sqref="B5">
    <cfRule type="expression" dxfId="328" priority="71" stopIfTrue="1">
      <formula>$B$5&lt;&gt;""</formula>
    </cfRule>
  </conditionalFormatting>
  <conditionalFormatting sqref="B6">
    <cfRule type="expression" dxfId="327" priority="70" stopIfTrue="1">
      <formula>$B$6&lt;&gt;""</formula>
    </cfRule>
  </conditionalFormatting>
  <conditionalFormatting sqref="B7">
    <cfRule type="expression" dxfId="326" priority="69" stopIfTrue="1">
      <formula>$B$7&lt;&gt;""</formula>
    </cfRule>
  </conditionalFormatting>
  <conditionalFormatting sqref="B8">
    <cfRule type="expression" dxfId="325" priority="68" stopIfTrue="1">
      <formula>$B$8&lt;&gt;""</formula>
    </cfRule>
  </conditionalFormatting>
  <conditionalFormatting sqref="B9">
    <cfRule type="expression" dxfId="324" priority="67" stopIfTrue="1">
      <formula>$B$9&lt;&gt;""</formula>
    </cfRule>
  </conditionalFormatting>
  <conditionalFormatting sqref="B10">
    <cfRule type="expression" dxfId="323" priority="66" stopIfTrue="1">
      <formula>$B$10&lt;&gt;""</formula>
    </cfRule>
  </conditionalFormatting>
  <conditionalFormatting sqref="B11">
    <cfRule type="expression" dxfId="322" priority="65" stopIfTrue="1">
      <formula>$B$11&lt;&gt;""</formula>
    </cfRule>
  </conditionalFormatting>
  <conditionalFormatting sqref="B12">
    <cfRule type="expression" dxfId="321" priority="64" stopIfTrue="1">
      <formula>$B$12&lt;&gt;""</formula>
    </cfRule>
  </conditionalFormatting>
  <conditionalFormatting sqref="B13">
    <cfRule type="expression" dxfId="320" priority="63" stopIfTrue="1">
      <formula>$B$13&lt;&gt;""</formula>
    </cfRule>
  </conditionalFormatting>
  <conditionalFormatting sqref="B17">
    <cfRule type="expression" dxfId="319" priority="42" stopIfTrue="1">
      <formula>$B$17&lt;&gt;""</formula>
    </cfRule>
  </conditionalFormatting>
  <conditionalFormatting sqref="B18">
    <cfRule type="expression" dxfId="318" priority="36" stopIfTrue="1">
      <formula>$B$18&lt;&gt;""</formula>
    </cfRule>
  </conditionalFormatting>
  <conditionalFormatting sqref="B19">
    <cfRule type="expression" dxfId="317" priority="35" stopIfTrue="1">
      <formula>$B$19&lt;&gt;""</formula>
    </cfRule>
  </conditionalFormatting>
  <conditionalFormatting sqref="B20">
    <cfRule type="expression" dxfId="316" priority="30" stopIfTrue="1">
      <formula>$B$20&lt;&gt;""</formula>
    </cfRule>
  </conditionalFormatting>
  <conditionalFormatting sqref="B21">
    <cfRule type="expression" dxfId="315" priority="29" stopIfTrue="1">
      <formula>$B$21&lt;&gt;""</formula>
    </cfRule>
  </conditionalFormatting>
  <conditionalFormatting sqref="B22">
    <cfRule type="expression" dxfId="314" priority="16" stopIfTrue="1">
      <formula>$B$22&lt;&gt;""</formula>
    </cfRule>
  </conditionalFormatting>
  <conditionalFormatting sqref="B23">
    <cfRule type="expression" dxfId="313" priority="15" stopIfTrue="1">
      <formula>$B$23&lt;&gt;""</formula>
    </cfRule>
  </conditionalFormatting>
  <conditionalFormatting sqref="B24">
    <cfRule type="expression" dxfId="312" priority="14" stopIfTrue="1">
      <formula>$B$24&lt;&gt;""</formula>
    </cfRule>
  </conditionalFormatting>
  <conditionalFormatting sqref="B25">
    <cfRule type="expression" dxfId="311" priority="13" stopIfTrue="1">
      <formula>$B$25&lt;&gt;""</formula>
    </cfRule>
  </conditionalFormatting>
  <conditionalFormatting sqref="B26">
    <cfRule type="expression" dxfId="310" priority="12" stopIfTrue="1">
      <formula>$B$26&lt;&gt;""</formula>
    </cfRule>
  </conditionalFormatting>
  <conditionalFormatting sqref="C4">
    <cfRule type="expression" dxfId="309" priority="10" stopIfTrue="1">
      <formula>$C$4&lt;&gt;""</formula>
    </cfRule>
  </conditionalFormatting>
  <conditionalFormatting sqref="C4:C13">
    <cfRule type="expression" dxfId="308" priority="11" stopIfTrue="1">
      <formula>$C$17&lt;&gt;""</formula>
    </cfRule>
  </conditionalFormatting>
  <conditionalFormatting sqref="C5">
    <cfRule type="expression" dxfId="307" priority="9" stopIfTrue="1">
      <formula>$C$5&lt;&gt;""</formula>
    </cfRule>
  </conditionalFormatting>
  <conditionalFormatting sqref="C6">
    <cfRule type="expression" dxfId="306" priority="7" stopIfTrue="1">
      <formula>$C$6&lt;&gt;""</formula>
    </cfRule>
  </conditionalFormatting>
  <conditionalFormatting sqref="C7">
    <cfRule type="expression" dxfId="305" priority="8" stopIfTrue="1">
      <formula>$C$7&lt;&gt;""</formula>
    </cfRule>
  </conditionalFormatting>
  <conditionalFormatting sqref="C8">
    <cfRule type="expression" dxfId="304" priority="6" stopIfTrue="1">
      <formula>$C$8&lt;&gt;""</formula>
    </cfRule>
  </conditionalFormatting>
  <conditionalFormatting sqref="C9">
    <cfRule type="expression" dxfId="303" priority="5" stopIfTrue="1">
      <formula>$C$9&lt;&gt;""</formula>
    </cfRule>
  </conditionalFormatting>
  <conditionalFormatting sqref="C10">
    <cfRule type="expression" dxfId="302" priority="4" stopIfTrue="1">
      <formula>$C$10&lt;&gt;""</formula>
    </cfRule>
  </conditionalFormatting>
  <conditionalFormatting sqref="C11">
    <cfRule type="expression" dxfId="301" priority="3" stopIfTrue="1">
      <formula>$C$11&lt;&gt;""</formula>
    </cfRule>
  </conditionalFormatting>
  <conditionalFormatting sqref="C12">
    <cfRule type="expression" dxfId="300" priority="2" stopIfTrue="1">
      <formula>$C$12&lt;&gt;""</formula>
    </cfRule>
  </conditionalFormatting>
  <conditionalFormatting sqref="C13">
    <cfRule type="expression" dxfId="299" priority="1" stopIfTrue="1">
      <formula>$C$13&lt;&gt;""</formula>
    </cfRule>
  </conditionalFormatting>
  <conditionalFormatting sqref="C17">
    <cfRule type="expression" dxfId="298" priority="41" stopIfTrue="1">
      <formula>$C$17&lt;&gt;""</formula>
    </cfRule>
  </conditionalFormatting>
  <conditionalFormatting sqref="C18">
    <cfRule type="expression" dxfId="297" priority="37" stopIfTrue="1">
      <formula>$C$18&lt;&gt;""</formula>
    </cfRule>
  </conditionalFormatting>
  <conditionalFormatting sqref="C19">
    <cfRule type="expression" dxfId="296" priority="34" stopIfTrue="1">
      <formula>$C$19&lt;&gt;""</formula>
    </cfRule>
  </conditionalFormatting>
  <conditionalFormatting sqref="C20">
    <cfRule type="expression" dxfId="295" priority="31" stopIfTrue="1">
      <formula>$C$20&lt;&gt;""</formula>
    </cfRule>
  </conditionalFormatting>
  <conditionalFormatting sqref="C21">
    <cfRule type="expression" dxfId="294" priority="28" stopIfTrue="1">
      <formula>$C$21&lt;&gt;""</formula>
    </cfRule>
  </conditionalFormatting>
  <conditionalFormatting sqref="C22">
    <cfRule type="expression" dxfId="293" priority="19" stopIfTrue="1">
      <formula>$C$22&lt;&gt;""</formula>
    </cfRule>
  </conditionalFormatting>
  <conditionalFormatting sqref="C23">
    <cfRule type="expression" dxfId="292" priority="18" stopIfTrue="1">
      <formula>$C$23&lt;&gt;""</formula>
    </cfRule>
  </conditionalFormatting>
  <conditionalFormatting sqref="C24">
    <cfRule type="expression" dxfId="291" priority="17" stopIfTrue="1">
      <formula>$C$24&lt;&gt;""</formula>
    </cfRule>
  </conditionalFormatting>
  <conditionalFormatting sqref="C25">
    <cfRule type="expression" dxfId="290" priority="20" stopIfTrue="1">
      <formula>$C$25&lt;&gt;""</formula>
    </cfRule>
  </conditionalFormatting>
  <conditionalFormatting sqref="C26">
    <cfRule type="expression" dxfId="289" priority="21" stopIfTrue="1">
      <formula>$C$26&lt;&gt;""</formula>
    </cfRule>
  </conditionalFormatting>
  <conditionalFormatting sqref="D4">
    <cfRule type="expression" dxfId="288" priority="58" stopIfTrue="1">
      <formula>$D$4&lt;&gt;""</formula>
    </cfRule>
  </conditionalFormatting>
  <conditionalFormatting sqref="D5">
    <cfRule type="expression" dxfId="287" priority="59" stopIfTrue="1">
      <formula>$D$5&lt;&gt;""</formula>
    </cfRule>
  </conditionalFormatting>
  <conditionalFormatting sqref="D6">
    <cfRule type="expression" dxfId="286" priority="60" stopIfTrue="1">
      <formula>$D$6&lt;&gt;""</formula>
    </cfRule>
  </conditionalFormatting>
  <conditionalFormatting sqref="D7">
    <cfRule type="expression" dxfId="285" priority="56" stopIfTrue="1">
      <formula>$D$7&lt;&gt;""</formula>
    </cfRule>
  </conditionalFormatting>
  <conditionalFormatting sqref="D8">
    <cfRule type="expression" dxfId="284" priority="53" stopIfTrue="1">
      <formula>$D$8&lt;&gt;""</formula>
    </cfRule>
  </conditionalFormatting>
  <conditionalFormatting sqref="D9">
    <cfRule type="expression" dxfId="283" priority="52" stopIfTrue="1">
      <formula>$D$9&lt;&gt;""</formula>
    </cfRule>
  </conditionalFormatting>
  <conditionalFormatting sqref="D10">
    <cfRule type="expression" dxfId="282" priority="49" stopIfTrue="1">
      <formula>$D$10&lt;&gt;""</formula>
    </cfRule>
  </conditionalFormatting>
  <conditionalFormatting sqref="D11">
    <cfRule type="expression" dxfId="281" priority="50" stopIfTrue="1">
      <formula>$D$11&lt;&gt;""</formula>
    </cfRule>
  </conditionalFormatting>
  <conditionalFormatting sqref="D12">
    <cfRule type="expression" dxfId="280" priority="45" stopIfTrue="1">
      <formula>$D$12&lt;&gt;""</formula>
    </cfRule>
  </conditionalFormatting>
  <conditionalFormatting sqref="D13">
    <cfRule type="expression" dxfId="279" priority="43" stopIfTrue="1">
      <formula>$D$13&lt;&gt;""</formula>
    </cfRule>
  </conditionalFormatting>
  <conditionalFormatting sqref="D17">
    <cfRule type="expression" dxfId="278" priority="39" stopIfTrue="1">
      <formula>$D$17&lt;&gt;""</formula>
    </cfRule>
  </conditionalFormatting>
  <conditionalFormatting sqref="D18">
    <cfRule type="expression" dxfId="277" priority="38" stopIfTrue="1">
      <formula>$D$18&lt;&gt;""</formula>
    </cfRule>
  </conditionalFormatting>
  <conditionalFormatting sqref="D19">
    <cfRule type="expression" dxfId="276" priority="33" stopIfTrue="1">
      <formula>$D$19&lt;&gt;""</formula>
    </cfRule>
  </conditionalFormatting>
  <conditionalFormatting sqref="D20">
    <cfRule type="expression" dxfId="275" priority="32" stopIfTrue="1">
      <formula>$D$20&lt;&gt;""</formula>
    </cfRule>
  </conditionalFormatting>
  <conditionalFormatting sqref="D21">
    <cfRule type="expression" dxfId="274" priority="27" stopIfTrue="1">
      <formula>$D$21&lt;&gt;""</formula>
    </cfRule>
  </conditionalFormatting>
  <conditionalFormatting sqref="D22">
    <cfRule type="expression" dxfId="273" priority="26" stopIfTrue="1">
      <formula>$D$22&lt;&gt;""</formula>
    </cfRule>
  </conditionalFormatting>
  <conditionalFormatting sqref="D23">
    <cfRule type="expression" dxfId="272" priority="25" stopIfTrue="1">
      <formula>$D$23&lt;&gt;""</formula>
    </cfRule>
  </conditionalFormatting>
  <conditionalFormatting sqref="D24">
    <cfRule type="expression" dxfId="271" priority="24" stopIfTrue="1">
      <formula>$D$24&lt;&gt;""</formula>
    </cfRule>
  </conditionalFormatting>
  <conditionalFormatting sqref="D25">
    <cfRule type="expression" dxfId="270" priority="23" stopIfTrue="1">
      <formula>$D$25&lt;&gt;""</formula>
    </cfRule>
  </conditionalFormatting>
  <conditionalFormatting sqref="D26">
    <cfRule type="expression" dxfId="269" priority="22" stopIfTrue="1">
      <formula>$D$26&lt;&gt;""</formula>
    </cfRule>
  </conditionalFormatting>
  <conditionalFormatting sqref="J20">
    <cfRule type="expression" dxfId="268" priority="40" stopIfTrue="1">
      <formula>$J$20&lt;&gt;""</formula>
    </cfRule>
  </conditionalFormatting>
  <dataValidations count="3">
    <dataValidation type="list" allowBlank="1" showInputMessage="1" showErrorMessage="1" sqref="C17:C26" xr:uid="{00000000-0002-0000-0800-000000000000}">
      <formula1>"第１年度,第２年度,第３年度"</formula1>
    </dataValidation>
    <dataValidation imeMode="hiragana" allowBlank="1" showInputMessage="1" showErrorMessage="1" sqref="B4:B13 B17:B26" xr:uid="{00000000-0002-0000-0800-000001000000}"/>
    <dataValidation imeMode="halfAlpha" allowBlank="1" showInputMessage="1" showErrorMessage="1" sqref="D17:D26 D4:D13" xr:uid="{00000000-0002-0000-0800-000002000000}"/>
  </dataValidations>
  <pageMargins left="0.70866141732283472" right="0.55118110236220474" top="0.74803149606299213" bottom="0.74803149606299213" header="0.31496062992125984" footer="0.31496062992125984"/>
  <pageSetup paperSize="9" scale="94" fitToHeight="2" orientation="portrait" r:id="rId1"/>
  <headerFooter>
    <oddHeader>&amp;L様式第１号</oddHeader>
    <oddFooter>&amp;R&amp;8（事業所等用）</oddFooter>
  </headerFooter>
  <rowBreaks count="2" manualBreakCount="2">
    <brk id="13" max="16383" man="1"/>
    <brk id="2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4B62-43BD-4C2A-A5B4-E4ED34C0C9DC}">
  <sheetPr codeName="Sheet8">
    <tabColor rgb="FF00B0F0"/>
    <pageSetUpPr fitToPage="1"/>
  </sheetPr>
  <dimension ref="A1:AL127"/>
  <sheetViews>
    <sheetView showGridLines="0" view="pageBreakPreview" topLeftCell="C1" zoomScale="70" zoomScaleNormal="85" zoomScaleSheetLayoutView="70" zoomScalePageLayoutView="85" workbookViewId="0">
      <selection activeCell="I18" sqref="I18"/>
    </sheetView>
  </sheetViews>
  <sheetFormatPr defaultColWidth="8.88671875" defaultRowHeight="17.399999999999999"/>
  <cols>
    <col min="1" max="1" width="4.88671875" style="268" customWidth="1"/>
    <col min="2" max="2" width="4.88671875" style="263" customWidth="1"/>
    <col min="3" max="3" width="4.44140625" style="268" customWidth="1"/>
    <col min="4" max="4" width="5.88671875" style="268" customWidth="1"/>
    <col min="5" max="5" width="9.44140625" style="268" customWidth="1"/>
    <col min="6" max="6" width="13.6640625" style="268" customWidth="1"/>
    <col min="7" max="7" width="10.44140625" style="268" customWidth="1"/>
    <col min="8" max="8" width="10.6640625" style="268" customWidth="1"/>
    <col min="9" max="13" width="9.109375" style="268" customWidth="1"/>
    <col min="14" max="14" width="10.6640625" style="268" customWidth="1"/>
    <col min="15" max="15" width="8.109375" style="268" hidden="1" customWidth="1"/>
    <col min="16" max="17" width="21.109375" style="268" hidden="1" customWidth="1"/>
    <col min="18" max="18" width="7.33203125" style="268" hidden="1" customWidth="1"/>
    <col min="19" max="19" width="9.44140625" style="268" hidden="1" customWidth="1"/>
    <col min="20" max="20" width="14.33203125" style="268" customWidth="1"/>
    <col min="21" max="21" width="34.33203125" style="268" bestFit="1" customWidth="1"/>
    <col min="22" max="27" width="13.44140625" style="268" customWidth="1"/>
    <col min="28" max="28" width="12.33203125" style="268" customWidth="1"/>
    <col min="29" max="31" width="9.88671875" style="268" customWidth="1"/>
    <col min="32" max="33" width="15.44140625" style="268" customWidth="1"/>
    <col min="34" max="34" width="8.33203125" style="8" customWidth="1"/>
    <col min="35" max="35" width="15.109375" style="8" customWidth="1"/>
    <col min="36" max="36" width="13.6640625" style="8" customWidth="1"/>
    <col min="37" max="37" width="14.6640625" style="8" customWidth="1"/>
    <col min="38" max="39" width="9.88671875" style="8" customWidth="1"/>
    <col min="40" max="16384" width="8.88671875" style="8"/>
  </cols>
  <sheetData>
    <row r="1" spans="1:37" ht="26.4">
      <c r="A1" s="262"/>
      <c r="C1" s="264" t="s">
        <v>139</v>
      </c>
      <c r="D1" s="264"/>
      <c r="E1" s="264"/>
      <c r="F1" s="264"/>
      <c r="G1" s="264"/>
      <c r="H1" s="265"/>
      <c r="I1" s="266"/>
      <c r="J1" s="266"/>
      <c r="K1" s="266"/>
      <c r="L1" s="267" t="s">
        <v>4161</v>
      </c>
      <c r="M1" s="793" t="str">
        <f>"（"&amp;はじめに!E4&amp;"年度）"</f>
        <v>（年度）</v>
      </c>
      <c r="N1" s="793"/>
      <c r="T1" s="269">
        <f>はじめに!E4</f>
        <v>0</v>
      </c>
      <c r="U1" s="262"/>
      <c r="V1" s="262"/>
      <c r="W1" s="262"/>
      <c r="X1" s="262"/>
      <c r="Y1" s="262"/>
      <c r="Z1" s="262"/>
      <c r="AA1" s="262"/>
      <c r="AB1" s="262"/>
      <c r="AC1" s="262"/>
      <c r="AD1" s="262"/>
      <c r="AE1" s="262"/>
      <c r="AF1" s="262"/>
      <c r="AG1" s="262"/>
    </row>
    <row r="2" spans="1:37">
      <c r="G2" s="270"/>
      <c r="H2" s="270"/>
      <c r="I2" s="270"/>
      <c r="J2" s="270"/>
      <c r="K2" s="270"/>
      <c r="L2" s="270"/>
      <c r="M2" s="270"/>
      <c r="N2" s="270"/>
      <c r="T2" s="271"/>
    </row>
    <row r="3" spans="1:37" ht="22.2" thickBot="1">
      <c r="C3" s="272" t="s">
        <v>5254</v>
      </c>
      <c r="D3" s="272"/>
      <c r="E3" s="270"/>
      <c r="I3" s="270"/>
      <c r="J3" s="270"/>
      <c r="K3" s="270"/>
      <c r="L3" s="270"/>
      <c r="M3" s="270"/>
      <c r="N3" s="270"/>
      <c r="P3" s="272"/>
      <c r="Q3" s="272"/>
      <c r="R3" s="272"/>
      <c r="S3" s="272"/>
      <c r="T3" s="273"/>
      <c r="U3" s="272" t="s">
        <v>5254</v>
      </c>
      <c r="X3" s="274"/>
      <c r="Y3" s="274"/>
    </row>
    <row r="4" spans="1:37" ht="19.350000000000001" customHeight="1">
      <c r="C4" s="762" t="s">
        <v>5257</v>
      </c>
      <c r="D4" s="763"/>
      <c r="E4" s="763"/>
      <c r="F4" s="763"/>
      <c r="G4" s="763"/>
      <c r="H4" s="764"/>
      <c r="I4" s="735" t="s">
        <v>127</v>
      </c>
      <c r="J4" s="737" t="s">
        <v>40</v>
      </c>
      <c r="K4" s="739" t="s">
        <v>41</v>
      </c>
      <c r="L4" s="741" t="s">
        <v>42</v>
      </c>
      <c r="M4" s="743" t="s">
        <v>5183</v>
      </c>
      <c r="N4" s="745" t="s">
        <v>5184</v>
      </c>
      <c r="O4" s="273"/>
      <c r="P4" s="272"/>
      <c r="Q4" s="272"/>
      <c r="R4" s="268">
        <f>IF(V4=0,0,1)</f>
        <v>0</v>
      </c>
      <c r="S4" s="272"/>
      <c r="T4" s="273"/>
      <c r="U4" s="275" t="s">
        <v>128</v>
      </c>
      <c r="V4" s="276">
        <f>SUM(M36,M57,M78,M90)</f>
        <v>0</v>
      </c>
      <c r="W4" s="277" t="s">
        <v>4186</v>
      </c>
    </row>
    <row r="5" spans="1:37" ht="19.350000000000001" customHeight="1">
      <c r="C5" s="765"/>
      <c r="D5" s="766"/>
      <c r="E5" s="766"/>
      <c r="F5" s="766"/>
      <c r="G5" s="766"/>
      <c r="H5" s="767"/>
      <c r="I5" s="736"/>
      <c r="J5" s="738"/>
      <c r="K5" s="740"/>
      <c r="L5" s="742"/>
      <c r="M5" s="744"/>
      <c r="N5" s="746"/>
      <c r="O5" s="273"/>
      <c r="P5" s="278" t="s">
        <v>5255</v>
      </c>
      <c r="Q5" s="278" t="s">
        <v>5256</v>
      </c>
      <c r="R5" s="278" t="s">
        <v>5059</v>
      </c>
      <c r="S5" s="278" t="s">
        <v>5209</v>
      </c>
      <c r="T5" s="273"/>
      <c r="U5" s="279" t="s">
        <v>129</v>
      </c>
      <c r="V5" s="280">
        <f>V4*0.0258</f>
        <v>0</v>
      </c>
      <c r="W5" s="281" t="s">
        <v>131</v>
      </c>
      <c r="X5" s="282"/>
    </row>
    <row r="6" spans="1:37" ht="19.350000000000001" customHeight="1" thickBot="1">
      <c r="C6" s="283"/>
      <c r="D6" s="77" t="s">
        <v>5258</v>
      </c>
      <c r="E6" s="10"/>
      <c r="F6" s="284"/>
      <c r="G6" s="284"/>
      <c r="H6" s="284"/>
      <c r="I6" s="11"/>
      <c r="J6" s="12"/>
      <c r="K6" s="285" t="str">
        <f t="shared" ref="K6:K33" si="0">IF(AND(I6="",J6=""),"",SUM(I6)-SUM(J6))</f>
        <v/>
      </c>
      <c r="L6" s="286" t="s">
        <v>5036</v>
      </c>
      <c r="M6" s="1072" t="str">
        <f t="shared" ref="M6:M33" si="1">IFERROR(IF(K6="","",$K6*R6),"----------")</f>
        <v/>
      </c>
      <c r="N6" s="287" t="str">
        <f t="shared" ref="N6:N33" si="2">IFERROR(IF(K6="","",$M6*S6*44/12),"----------")</f>
        <v/>
      </c>
      <c r="O6" s="288"/>
      <c r="P6" s="289" t="s">
        <v>120</v>
      </c>
      <c r="Q6" s="289" t="s">
        <v>120</v>
      </c>
      <c r="R6" s="289">
        <f t="shared" ref="R6:R34" si="3">IF($T$1=2022,VLOOKUP($P6,係数2022,7,0),VLOOKUP($Q6,係数2023,7,0))</f>
        <v>38.299999999999997</v>
      </c>
      <c r="S6" s="290">
        <f t="shared" ref="S6:S34" si="4">IF($T$1=2022,VLOOKUP($P6,係数2022,9,0),VLOOKUP($Q6,係数2023,9,0))</f>
        <v>1.9E-2</v>
      </c>
      <c r="T6" s="288"/>
      <c r="U6" s="291" t="s">
        <v>132</v>
      </c>
      <c r="V6" s="292">
        <f>ROUNDDOWN(SUM(N36,N57,N78,N90),0)</f>
        <v>0</v>
      </c>
      <c r="W6" s="293" t="s">
        <v>5185</v>
      </c>
    </row>
    <row r="7" spans="1:37" ht="19.350000000000001" customHeight="1">
      <c r="C7" s="294"/>
      <c r="D7" s="17" t="s">
        <v>5259</v>
      </c>
      <c r="E7" s="16"/>
      <c r="F7" s="295"/>
      <c r="G7" s="295"/>
      <c r="H7" s="296"/>
      <c r="I7" s="14"/>
      <c r="J7" s="15"/>
      <c r="K7" s="297" t="str">
        <f>IF(AND(I7="",J7=""),"",SUM(I7)-SUM(J7))</f>
        <v/>
      </c>
      <c r="L7" s="298" t="s">
        <v>5036</v>
      </c>
      <c r="M7" s="1073" t="str">
        <f t="shared" si="1"/>
        <v/>
      </c>
      <c r="N7" s="299" t="str">
        <f t="shared" si="2"/>
        <v/>
      </c>
      <c r="O7" s="288"/>
      <c r="P7" s="289" t="s">
        <v>121</v>
      </c>
      <c r="Q7" s="289" t="s">
        <v>121</v>
      </c>
      <c r="R7" s="289">
        <f t="shared" si="3"/>
        <v>34.799999999999997</v>
      </c>
      <c r="S7" s="290">
        <f t="shared" si="4"/>
        <v>1.83E-2</v>
      </c>
      <c r="T7" s="288"/>
      <c r="X7" s="263"/>
      <c r="Y7" s="263"/>
      <c r="Z7" s="263"/>
      <c r="AA7" s="263"/>
    </row>
    <row r="8" spans="1:37" ht="19.350000000000001" customHeight="1">
      <c r="C8" s="294"/>
      <c r="D8" s="17" t="s">
        <v>5210</v>
      </c>
      <c r="E8" s="16"/>
      <c r="F8" s="295"/>
      <c r="G8" s="295"/>
      <c r="H8" s="296"/>
      <c r="I8" s="14"/>
      <c r="J8" s="15"/>
      <c r="K8" s="297" t="str">
        <f t="shared" si="0"/>
        <v/>
      </c>
      <c r="L8" s="298" t="s">
        <v>5036</v>
      </c>
      <c r="M8" s="1073" t="str">
        <f t="shared" si="1"/>
        <v/>
      </c>
      <c r="N8" s="299" t="str">
        <f t="shared" si="2"/>
        <v/>
      </c>
      <c r="O8" s="288"/>
      <c r="P8" s="289" t="s">
        <v>5210</v>
      </c>
      <c r="Q8" s="289" t="s">
        <v>5210</v>
      </c>
      <c r="R8" s="289">
        <f t="shared" si="3"/>
        <v>33.4</v>
      </c>
      <c r="S8" s="290">
        <f t="shared" si="4"/>
        <v>1.8700000000000001E-2</v>
      </c>
      <c r="T8" s="288"/>
      <c r="U8" s="752" t="s">
        <v>5013</v>
      </c>
      <c r="V8" s="754" t="s">
        <v>5014</v>
      </c>
      <c r="W8" s="755"/>
      <c r="X8" s="300"/>
      <c r="Y8" s="301"/>
      <c r="Z8" s="302"/>
      <c r="AA8" s="303"/>
      <c r="AB8" s="8"/>
      <c r="AC8" s="8"/>
      <c r="AD8" s="8"/>
      <c r="AE8" s="8"/>
      <c r="AF8" s="8"/>
    </row>
    <row r="9" spans="1:37" ht="19.350000000000001" customHeight="1">
      <c r="C9" s="294"/>
      <c r="D9" s="17" t="s">
        <v>44</v>
      </c>
      <c r="E9" s="16"/>
      <c r="F9" s="295"/>
      <c r="G9" s="295"/>
      <c r="H9" s="296"/>
      <c r="I9" s="14"/>
      <c r="J9" s="15"/>
      <c r="K9" s="297" t="str">
        <f t="shared" si="0"/>
        <v/>
      </c>
      <c r="L9" s="298" t="s">
        <v>5036</v>
      </c>
      <c r="M9" s="1073" t="str">
        <f t="shared" si="1"/>
        <v/>
      </c>
      <c r="N9" s="299" t="str">
        <f t="shared" si="2"/>
        <v/>
      </c>
      <c r="O9" s="288"/>
      <c r="P9" s="289" t="s">
        <v>44</v>
      </c>
      <c r="Q9" s="289" t="s">
        <v>44</v>
      </c>
      <c r="R9" s="289">
        <f t="shared" si="3"/>
        <v>33.299999999999997</v>
      </c>
      <c r="S9" s="290">
        <f t="shared" si="4"/>
        <v>1.8599999999999998E-2</v>
      </c>
      <c r="T9" s="288"/>
      <c r="U9" s="753"/>
      <c r="V9" s="756"/>
      <c r="W9" s="757"/>
      <c r="X9" s="717" t="s">
        <v>5015</v>
      </c>
      <c r="Y9" s="718"/>
      <c r="Z9" s="305" t="s">
        <v>5016</v>
      </c>
      <c r="AA9" s="303"/>
      <c r="AB9" s="8"/>
      <c r="AC9" s="8"/>
      <c r="AD9" s="8"/>
      <c r="AE9" s="8"/>
      <c r="AF9" s="8"/>
      <c r="AG9" s="8"/>
    </row>
    <row r="10" spans="1:37" ht="19.350000000000001" customHeight="1">
      <c r="C10" s="294"/>
      <c r="D10" s="17" t="s">
        <v>5211</v>
      </c>
      <c r="E10" s="16"/>
      <c r="F10" s="295"/>
      <c r="G10" s="295"/>
      <c r="H10" s="296"/>
      <c r="I10" s="14"/>
      <c r="J10" s="15"/>
      <c r="K10" s="297" t="str">
        <f t="shared" si="0"/>
        <v/>
      </c>
      <c r="L10" s="298" t="s">
        <v>5036</v>
      </c>
      <c r="M10" s="1073" t="str">
        <f t="shared" si="1"/>
        <v/>
      </c>
      <c r="N10" s="299" t="str">
        <f t="shared" si="2"/>
        <v/>
      </c>
      <c r="O10" s="288"/>
      <c r="P10" s="289" t="s">
        <v>5211</v>
      </c>
      <c r="Q10" s="289" t="s">
        <v>5211</v>
      </c>
      <c r="R10" s="289">
        <f t="shared" si="3"/>
        <v>36.299999999999997</v>
      </c>
      <c r="S10" s="290">
        <f t="shared" si="4"/>
        <v>1.8599999999999998E-2</v>
      </c>
      <c r="T10" s="288"/>
      <c r="U10" s="306" t="s">
        <v>5017</v>
      </c>
      <c r="V10" s="307">
        <f>M36</f>
        <v>0</v>
      </c>
      <c r="W10" s="308" t="s">
        <v>4186</v>
      </c>
      <c r="X10" s="758"/>
      <c r="Y10" s="759"/>
      <c r="Z10" s="309"/>
      <c r="AA10" s="303"/>
      <c r="AB10" s="8"/>
      <c r="AC10" s="8"/>
      <c r="AD10" s="8"/>
      <c r="AE10" s="8"/>
      <c r="AF10" s="8"/>
      <c r="AG10" s="8"/>
      <c r="AH10" s="268"/>
    </row>
    <row r="11" spans="1:37" ht="19.350000000000001" customHeight="1">
      <c r="C11" s="294"/>
      <c r="D11" s="17" t="s">
        <v>45</v>
      </c>
      <c r="E11" s="16"/>
      <c r="F11" s="295"/>
      <c r="G11" s="295"/>
      <c r="H11" s="296"/>
      <c r="I11" s="14"/>
      <c r="J11" s="15"/>
      <c r="K11" s="297" t="str">
        <f t="shared" si="0"/>
        <v/>
      </c>
      <c r="L11" s="298" t="s">
        <v>5036</v>
      </c>
      <c r="M11" s="1073" t="str">
        <f t="shared" si="1"/>
        <v/>
      </c>
      <c r="N11" s="299" t="str">
        <f t="shared" si="2"/>
        <v/>
      </c>
      <c r="O11" s="288"/>
      <c r="P11" s="289" t="s">
        <v>45</v>
      </c>
      <c r="Q11" s="289" t="s">
        <v>45</v>
      </c>
      <c r="R11" s="289">
        <f t="shared" si="3"/>
        <v>36.5</v>
      </c>
      <c r="S11" s="290">
        <f t="shared" si="4"/>
        <v>1.8700000000000001E-2</v>
      </c>
      <c r="T11" s="288"/>
      <c r="U11" s="306" t="s">
        <v>5018</v>
      </c>
      <c r="V11" s="307">
        <f>IF(T1=2022,"-------------------",SUM(M57))</f>
        <v>0</v>
      </c>
      <c r="W11" s="308" t="s">
        <v>4186</v>
      </c>
      <c r="X11" s="310">
        <f>IF(T1=2022,"-------------------",SUM(M57))</f>
        <v>0</v>
      </c>
      <c r="Y11" s="311" t="s">
        <v>4186</v>
      </c>
      <c r="Z11" s="312" t="str">
        <f>IF(T1=2022,"---------------",IF(V11&lt;&gt;0,X11/V11,"---------------"))</f>
        <v>---------------</v>
      </c>
      <c r="AA11" s="303"/>
      <c r="AB11" s="8"/>
      <c r="AC11" s="8"/>
      <c r="AD11" s="8"/>
      <c r="AE11" s="8"/>
      <c r="AF11" s="8"/>
      <c r="AI11" s="268"/>
      <c r="AJ11" s="268"/>
    </row>
    <row r="12" spans="1:37" ht="19.350000000000001" customHeight="1" thickBot="1">
      <c r="C12" s="294"/>
      <c r="D12" s="17" t="s">
        <v>46</v>
      </c>
      <c r="E12" s="16"/>
      <c r="F12" s="295"/>
      <c r="G12" s="295"/>
      <c r="H12" s="296"/>
      <c r="I12" s="14"/>
      <c r="J12" s="15"/>
      <c r="K12" s="297" t="str">
        <f t="shared" si="0"/>
        <v/>
      </c>
      <c r="L12" s="298" t="s">
        <v>5036</v>
      </c>
      <c r="M12" s="1073" t="str">
        <f t="shared" si="1"/>
        <v/>
      </c>
      <c r="N12" s="299" t="str">
        <f t="shared" si="2"/>
        <v/>
      </c>
      <c r="O12" s="288"/>
      <c r="P12" s="289" t="s">
        <v>46</v>
      </c>
      <c r="Q12" s="289" t="s">
        <v>46</v>
      </c>
      <c r="R12" s="289">
        <f t="shared" si="3"/>
        <v>38</v>
      </c>
      <c r="S12" s="290">
        <f t="shared" si="4"/>
        <v>1.8800000000000001E-2</v>
      </c>
      <c r="T12" s="288"/>
      <c r="U12" s="306" t="s">
        <v>5042</v>
      </c>
      <c r="V12" s="313">
        <f>SUM(M78)</f>
        <v>0</v>
      </c>
      <c r="W12" s="314" t="s">
        <v>4186</v>
      </c>
      <c r="X12" s="315">
        <f>IF(T1=2022,"-------------------",SUM(M77))</f>
        <v>0</v>
      </c>
      <c r="Y12" s="316" t="s">
        <v>4186</v>
      </c>
      <c r="Z12" s="317" t="str">
        <f>IF(T1=2022,"---------------",IF(V12=0,"---------------",X12/V12))</f>
        <v>---------------</v>
      </c>
      <c r="AA12" s="303"/>
      <c r="AB12" s="8"/>
      <c r="AC12" s="8"/>
      <c r="AD12" s="8"/>
      <c r="AE12" s="8"/>
      <c r="AF12" s="318"/>
      <c r="AG12" s="8"/>
      <c r="AI12" s="268"/>
      <c r="AJ12" s="268"/>
      <c r="AK12" s="268"/>
    </row>
    <row r="13" spans="1:37" ht="19.350000000000001" customHeight="1" thickTop="1">
      <c r="C13" s="319"/>
      <c r="D13" s="17" t="s">
        <v>47</v>
      </c>
      <c r="E13" s="16"/>
      <c r="F13" s="295"/>
      <c r="G13" s="295"/>
      <c r="H13" s="296"/>
      <c r="I13" s="14"/>
      <c r="J13" s="15"/>
      <c r="K13" s="297" t="str">
        <f t="shared" si="0"/>
        <v/>
      </c>
      <c r="L13" s="298" t="s">
        <v>5036</v>
      </c>
      <c r="M13" s="1073" t="str">
        <f t="shared" si="1"/>
        <v/>
      </c>
      <c r="N13" s="299" t="str">
        <f t="shared" si="2"/>
        <v/>
      </c>
      <c r="O13" s="288"/>
      <c r="P13" s="289" t="s">
        <v>47</v>
      </c>
      <c r="Q13" s="289" t="s">
        <v>47</v>
      </c>
      <c r="R13" s="289">
        <f t="shared" si="3"/>
        <v>38.9</v>
      </c>
      <c r="S13" s="290">
        <f t="shared" si="4"/>
        <v>1.9300000000000001E-2</v>
      </c>
      <c r="T13" s="288"/>
      <c r="U13" s="306" t="s">
        <v>5320</v>
      </c>
      <c r="V13" s="320">
        <f>SUM(V10:V12)</f>
        <v>0</v>
      </c>
      <c r="W13" s="321" t="s">
        <v>4186</v>
      </c>
      <c r="X13" s="322">
        <f>IF($T$1=2022,"-------------------",SUM(X11,X12))</f>
        <v>0</v>
      </c>
      <c r="Y13" s="323" t="s">
        <v>4186</v>
      </c>
      <c r="Z13" s="324">
        <f>IF($T$1=2022,"---------------",IF(X13=0,0,X13/V13))</f>
        <v>0</v>
      </c>
      <c r="AA13" s="303"/>
      <c r="AB13" s="8"/>
      <c r="AC13" s="8"/>
      <c r="AD13" s="8"/>
      <c r="AE13" s="8"/>
      <c r="AF13" s="318"/>
    </row>
    <row r="14" spans="1:37" ht="19.350000000000001" customHeight="1">
      <c r="C14" s="319"/>
      <c r="D14" s="325" t="s">
        <v>48</v>
      </c>
      <c r="E14" s="326"/>
      <c r="F14" s="327"/>
      <c r="G14" s="327"/>
      <c r="H14" s="328"/>
      <c r="I14" s="185"/>
      <c r="J14" s="15"/>
      <c r="K14" s="297" t="str">
        <f t="shared" si="0"/>
        <v/>
      </c>
      <c r="L14" s="298" t="s">
        <v>5036</v>
      </c>
      <c r="M14" s="1073" t="str">
        <f t="shared" si="1"/>
        <v/>
      </c>
      <c r="N14" s="299" t="str">
        <f t="shared" si="2"/>
        <v/>
      </c>
      <c r="O14" s="288"/>
      <c r="P14" s="289" t="s">
        <v>48</v>
      </c>
      <c r="Q14" s="289" t="s">
        <v>48</v>
      </c>
      <c r="R14" s="289">
        <f t="shared" si="3"/>
        <v>41.8</v>
      </c>
      <c r="S14" s="290">
        <f t="shared" si="4"/>
        <v>2.0199999999999999E-2</v>
      </c>
      <c r="T14" s="288"/>
      <c r="U14"/>
      <c r="V14"/>
      <c r="W14"/>
      <c r="X14" s="329"/>
      <c r="Y14" s="329"/>
      <c r="Z14" s="329"/>
      <c r="AA14" s="329"/>
      <c r="AB14" s="8"/>
      <c r="AC14" s="8"/>
      <c r="AD14" s="8"/>
      <c r="AE14" s="8"/>
    </row>
    <row r="15" spans="1:37" ht="19.350000000000001" customHeight="1">
      <c r="C15" s="319"/>
      <c r="D15" s="17" t="s">
        <v>49</v>
      </c>
      <c r="E15" s="16"/>
      <c r="F15" s="295"/>
      <c r="G15" s="295"/>
      <c r="H15" s="296"/>
      <c r="I15" s="185"/>
      <c r="J15" s="15"/>
      <c r="K15" s="297" t="str">
        <f t="shared" si="0"/>
        <v/>
      </c>
      <c r="L15" s="298" t="s">
        <v>5035</v>
      </c>
      <c r="M15" s="1073" t="str">
        <f>IFERROR(IF(K15="","",$K15*R15),"----------")</f>
        <v/>
      </c>
      <c r="N15" s="299" t="str">
        <f t="shared" si="2"/>
        <v/>
      </c>
      <c r="O15" s="288"/>
      <c r="P15" s="289" t="s">
        <v>49</v>
      </c>
      <c r="Q15" s="289" t="s">
        <v>49</v>
      </c>
      <c r="R15" s="289">
        <f t="shared" si="3"/>
        <v>40</v>
      </c>
      <c r="S15" s="290">
        <f t="shared" si="4"/>
        <v>2.0400000000000001E-2</v>
      </c>
      <c r="T15" s="288"/>
      <c r="U15" s="752" t="s">
        <v>5013</v>
      </c>
      <c r="V15" s="754" t="s">
        <v>5260</v>
      </c>
      <c r="W15" s="755"/>
      <c r="X15" s="300"/>
      <c r="Y15" s="301"/>
      <c r="Z15" s="302"/>
      <c r="AA15" s="329"/>
      <c r="AB15" s="8"/>
      <c r="AC15" s="8"/>
      <c r="AD15" s="8"/>
      <c r="AE15" s="8"/>
      <c r="AF15" s="8"/>
      <c r="AH15" s="268"/>
    </row>
    <row r="16" spans="1:37" ht="19.350000000000001" customHeight="1">
      <c r="C16" s="294"/>
      <c r="D16" s="330" t="s">
        <v>52</v>
      </c>
      <c r="E16" s="331"/>
      <c r="F16" s="295"/>
      <c r="G16" s="295"/>
      <c r="H16" s="296"/>
      <c r="I16" s="185"/>
      <c r="J16" s="15"/>
      <c r="K16" s="297" t="str">
        <f t="shared" si="0"/>
        <v/>
      </c>
      <c r="L16" s="298" t="s">
        <v>5035</v>
      </c>
      <c r="M16" s="1073" t="str">
        <f t="shared" si="1"/>
        <v/>
      </c>
      <c r="N16" s="299" t="str">
        <f t="shared" si="2"/>
        <v/>
      </c>
      <c r="O16" s="288"/>
      <c r="P16" s="289" t="s">
        <v>52</v>
      </c>
      <c r="Q16" s="289" t="s">
        <v>52</v>
      </c>
      <c r="R16" s="289">
        <f t="shared" si="3"/>
        <v>34.1</v>
      </c>
      <c r="S16" s="290">
        <f t="shared" si="4"/>
        <v>2.4500000000000001E-2</v>
      </c>
      <c r="T16" s="288"/>
      <c r="U16" s="753"/>
      <c r="V16" s="756"/>
      <c r="W16" s="757"/>
      <c r="X16" s="717" t="s">
        <v>5262</v>
      </c>
      <c r="Y16" s="718"/>
      <c r="Z16" s="305" t="s">
        <v>5016</v>
      </c>
      <c r="AA16" s="263"/>
    </row>
    <row r="17" spans="3:36" ht="19.350000000000001" customHeight="1">
      <c r="C17" s="319"/>
      <c r="D17" s="777" t="s">
        <v>53</v>
      </c>
      <c r="E17" s="778"/>
      <c r="F17" s="333" t="s">
        <v>5212</v>
      </c>
      <c r="G17" s="334"/>
      <c r="H17" s="335"/>
      <c r="I17" s="185"/>
      <c r="J17" s="15"/>
      <c r="K17" s="297" t="str">
        <f t="shared" si="0"/>
        <v/>
      </c>
      <c r="L17" s="298" t="s">
        <v>5035</v>
      </c>
      <c r="M17" s="1073" t="str">
        <f t="shared" si="1"/>
        <v/>
      </c>
      <c r="N17" s="299" t="str">
        <f t="shared" si="2"/>
        <v/>
      </c>
      <c r="O17" s="288"/>
      <c r="P17" s="289" t="s">
        <v>5212</v>
      </c>
      <c r="Q17" s="289" t="s">
        <v>5212</v>
      </c>
      <c r="R17" s="289">
        <f t="shared" si="3"/>
        <v>50.1</v>
      </c>
      <c r="S17" s="290">
        <f t="shared" si="4"/>
        <v>1.6299999999999999E-2</v>
      </c>
      <c r="T17" s="288"/>
      <c r="U17" s="306" t="s">
        <v>5019</v>
      </c>
      <c r="V17" s="336">
        <f>K90</f>
        <v>0</v>
      </c>
      <c r="W17" s="337" t="s">
        <v>5263</v>
      </c>
      <c r="X17" s="338">
        <f>K89</f>
        <v>0</v>
      </c>
      <c r="Y17" s="311" t="s">
        <v>5264</v>
      </c>
      <c r="Z17" s="312">
        <f>IF($T$1=2022,"----------",IF(V17=0,0,X17/V17))</f>
        <v>0</v>
      </c>
      <c r="AA17" s="263"/>
      <c r="AH17" s="268"/>
    </row>
    <row r="18" spans="3:36" ht="19.350000000000001" customHeight="1">
      <c r="C18" s="319"/>
      <c r="D18" s="779"/>
      <c r="E18" s="780"/>
      <c r="F18" s="339" t="s">
        <v>5213</v>
      </c>
      <c r="G18" s="16"/>
      <c r="H18" s="335"/>
      <c r="I18" s="185"/>
      <c r="J18" s="15"/>
      <c r="K18" s="297" t="str">
        <f t="shared" si="0"/>
        <v/>
      </c>
      <c r="L18" s="340" t="s">
        <v>5261</v>
      </c>
      <c r="M18" s="1073" t="str">
        <f t="shared" si="1"/>
        <v/>
      </c>
      <c r="N18" s="299" t="str">
        <f t="shared" si="2"/>
        <v/>
      </c>
      <c r="O18" s="288"/>
      <c r="P18" s="289" t="s">
        <v>5213</v>
      </c>
      <c r="Q18" s="289" t="s">
        <v>5213</v>
      </c>
      <c r="R18" s="289">
        <f t="shared" si="3"/>
        <v>46.1</v>
      </c>
      <c r="S18" s="290">
        <f t="shared" si="4"/>
        <v>1.44E-2</v>
      </c>
      <c r="T18" s="288"/>
      <c r="X18" s="263"/>
      <c r="Y18" s="263"/>
      <c r="Z18" s="263"/>
      <c r="AA18" s="263"/>
      <c r="AH18" s="268"/>
    </row>
    <row r="19" spans="3:36" ht="19.350000000000001" customHeight="1">
      <c r="C19" s="319" t="s">
        <v>5020</v>
      </c>
      <c r="D19" s="777" t="s">
        <v>56</v>
      </c>
      <c r="E19" s="778"/>
      <c r="F19" s="341" t="s">
        <v>5214</v>
      </c>
      <c r="G19" s="17"/>
      <c r="H19" s="335"/>
      <c r="I19" s="185"/>
      <c r="J19" s="15"/>
      <c r="K19" s="297" t="str">
        <f t="shared" si="0"/>
        <v/>
      </c>
      <c r="L19" s="298" t="s">
        <v>5035</v>
      </c>
      <c r="M19" s="1073" t="str">
        <f t="shared" si="1"/>
        <v/>
      </c>
      <c r="N19" s="299" t="str">
        <f t="shared" si="2"/>
        <v/>
      </c>
      <c r="O19" s="288"/>
      <c r="P19" s="289" t="s">
        <v>5214</v>
      </c>
      <c r="Q19" s="289" t="s">
        <v>5214</v>
      </c>
      <c r="R19" s="289">
        <f t="shared" si="3"/>
        <v>54.7</v>
      </c>
      <c r="S19" s="290">
        <f t="shared" si="4"/>
        <v>1.3899999999999999E-2</v>
      </c>
      <c r="T19" s="288"/>
      <c r="U19" s="342"/>
      <c r="V19" s="343" t="s">
        <v>5021</v>
      </c>
      <c r="W19" s="344"/>
      <c r="X19" s="345" t="s">
        <v>5022</v>
      </c>
      <c r="Y19" s="346"/>
      <c r="Z19" s="263"/>
      <c r="AA19" s="263"/>
      <c r="AH19" s="268"/>
    </row>
    <row r="20" spans="3:36" ht="19.350000000000001" customHeight="1">
      <c r="C20" s="319" t="s">
        <v>5023</v>
      </c>
      <c r="D20" s="779"/>
      <c r="E20" s="780"/>
      <c r="F20" s="339" t="s">
        <v>58</v>
      </c>
      <c r="G20" s="16"/>
      <c r="H20" s="335"/>
      <c r="I20" s="185"/>
      <c r="J20" s="15"/>
      <c r="K20" s="297" t="str">
        <f t="shared" si="0"/>
        <v/>
      </c>
      <c r="L20" s="340" t="s">
        <v>5261</v>
      </c>
      <c r="M20" s="1073" t="str">
        <f t="shared" si="1"/>
        <v/>
      </c>
      <c r="N20" s="299" t="str">
        <f t="shared" si="2"/>
        <v/>
      </c>
      <c r="O20" s="288"/>
      <c r="P20" s="289" t="s">
        <v>58</v>
      </c>
      <c r="Q20" s="289" t="s">
        <v>58</v>
      </c>
      <c r="R20" s="289">
        <f t="shared" si="3"/>
        <v>38.4</v>
      </c>
      <c r="S20" s="290">
        <f t="shared" si="4"/>
        <v>1.3899999999999999E-2</v>
      </c>
      <c r="T20" s="288"/>
      <c r="U20" s="306" t="s">
        <v>5265</v>
      </c>
      <c r="V20" s="749">
        <f>IF($T$1=2022,"----------",IF(X17=0,0,X17/V17))</f>
        <v>0</v>
      </c>
      <c r="W20" s="750"/>
      <c r="X20" s="751">
        <f>Z13</f>
        <v>0</v>
      </c>
      <c r="Y20" s="718"/>
      <c r="Z20" s="263"/>
      <c r="AA20" s="263"/>
      <c r="AH20" s="268"/>
    </row>
    <row r="21" spans="3:36" ht="19.350000000000001" customHeight="1">
      <c r="C21" s="319" t="s">
        <v>5024</v>
      </c>
      <c r="D21" s="347" t="s">
        <v>60</v>
      </c>
      <c r="E21" s="332"/>
      <c r="F21" s="348"/>
      <c r="G21" s="17" t="s">
        <v>5025</v>
      </c>
      <c r="H21" s="335"/>
      <c r="I21" s="185"/>
      <c r="J21" s="15"/>
      <c r="K21" s="297" t="str">
        <f t="shared" ref="K21" si="5">IF(AND(I21="",J21=""),"",SUM(I21)-SUM(J21))</f>
        <v/>
      </c>
      <c r="L21" s="298" t="s">
        <v>5035</v>
      </c>
      <c r="M21" s="1073" t="str">
        <f t="shared" si="1"/>
        <v/>
      </c>
      <c r="N21" s="299" t="str">
        <f t="shared" si="2"/>
        <v/>
      </c>
      <c r="O21" s="288"/>
      <c r="P21" s="289" t="s">
        <v>61</v>
      </c>
      <c r="Q21" s="289" t="s">
        <v>5025</v>
      </c>
      <c r="R21" s="289">
        <f t="shared" si="3"/>
        <v>28.7</v>
      </c>
      <c r="S21" s="290">
        <f t="shared" si="4"/>
        <v>2.46E-2</v>
      </c>
      <c r="T21" s="288"/>
      <c r="X21" s="263"/>
      <c r="Y21" s="263"/>
      <c r="Z21" s="263"/>
      <c r="AA21" s="263"/>
      <c r="AH21" s="268"/>
    </row>
    <row r="22" spans="3:36" ht="19.350000000000001" customHeight="1" thickBot="1">
      <c r="C22" s="319" t="s">
        <v>5026</v>
      </c>
      <c r="D22" s="349"/>
      <c r="E22" s="350"/>
      <c r="F22" s="351" t="s">
        <v>5027</v>
      </c>
      <c r="G22" s="17" t="s">
        <v>5028</v>
      </c>
      <c r="H22" s="335"/>
      <c r="I22" s="185"/>
      <c r="J22" s="15"/>
      <c r="K22" s="297" t="str">
        <f t="shared" si="0"/>
        <v/>
      </c>
      <c r="L22" s="298" t="s">
        <v>5035</v>
      </c>
      <c r="M22" s="1073" t="str">
        <f t="shared" si="1"/>
        <v/>
      </c>
      <c r="N22" s="299" t="str">
        <f t="shared" si="2"/>
        <v/>
      </c>
      <c r="O22" s="288"/>
      <c r="P22" s="8"/>
      <c r="Q22" s="289" t="s">
        <v>5028</v>
      </c>
      <c r="R22" s="289">
        <f t="shared" si="3"/>
        <v>28.9</v>
      </c>
      <c r="S22" s="290">
        <f t="shared" si="4"/>
        <v>2.4500000000000001E-2</v>
      </c>
      <c r="T22" s="288"/>
      <c r="U22" s="272" t="s">
        <v>5187</v>
      </c>
      <c r="X22" s="263"/>
      <c r="Y22" s="263"/>
      <c r="Z22" s="263"/>
      <c r="AA22" s="263"/>
      <c r="AH22" s="268"/>
    </row>
    <row r="23" spans="3:36" ht="19.350000000000001" customHeight="1" thickBot="1">
      <c r="C23" s="294"/>
      <c r="D23" s="349"/>
      <c r="E23" s="350"/>
      <c r="F23" s="352"/>
      <c r="G23" s="17" t="s">
        <v>5029</v>
      </c>
      <c r="H23" s="335"/>
      <c r="I23" s="185"/>
      <c r="J23" s="15"/>
      <c r="K23" s="297" t="str">
        <f t="shared" ref="K23:K26" si="6">IF(AND(I23="",J23=""),"",SUM(I23)-SUM(J23))</f>
        <v/>
      </c>
      <c r="L23" s="298" t="s">
        <v>5035</v>
      </c>
      <c r="M23" s="1073" t="str">
        <f t="shared" si="1"/>
        <v/>
      </c>
      <c r="N23" s="299" t="str">
        <f t="shared" si="2"/>
        <v/>
      </c>
      <c r="O23" s="288"/>
      <c r="P23" s="8"/>
      <c r="Q23" s="289" t="s">
        <v>5029</v>
      </c>
      <c r="R23" s="289">
        <f t="shared" si="3"/>
        <v>28.3</v>
      </c>
      <c r="S23" s="290">
        <f t="shared" si="4"/>
        <v>2.5100000000000001E-2</v>
      </c>
      <c r="T23" s="288"/>
      <c r="U23" s="353" t="s">
        <v>132</v>
      </c>
      <c r="V23" s="354">
        <f>SUM(G103)</f>
        <v>0</v>
      </c>
      <c r="W23" s="355" t="s">
        <v>5185</v>
      </c>
      <c r="AH23" s="268"/>
    </row>
    <row r="24" spans="3:36" ht="19.350000000000001" customHeight="1">
      <c r="C24" s="294"/>
      <c r="D24" s="349"/>
      <c r="E24" s="350"/>
      <c r="F24" s="775" t="s">
        <v>5030</v>
      </c>
      <c r="G24" s="17" t="s">
        <v>5031</v>
      </c>
      <c r="H24" s="335"/>
      <c r="I24" s="185"/>
      <c r="J24" s="15"/>
      <c r="K24" s="297" t="str">
        <f t="shared" si="6"/>
        <v/>
      </c>
      <c r="L24" s="298" t="s">
        <v>5035</v>
      </c>
      <c r="M24" s="1073" t="str">
        <f t="shared" si="1"/>
        <v/>
      </c>
      <c r="N24" s="299" t="str">
        <f t="shared" si="2"/>
        <v/>
      </c>
      <c r="O24" s="288"/>
      <c r="P24" s="289" t="s">
        <v>5218</v>
      </c>
      <c r="Q24" s="289" t="s">
        <v>5031</v>
      </c>
      <c r="R24" s="289">
        <f t="shared" si="3"/>
        <v>26.1</v>
      </c>
      <c r="S24" s="290">
        <f t="shared" si="4"/>
        <v>2.4299999999999999E-2</v>
      </c>
      <c r="T24" s="288"/>
      <c r="AH24" s="268"/>
    </row>
    <row r="25" spans="3:36" ht="19.350000000000001" customHeight="1" thickBot="1">
      <c r="C25" s="294"/>
      <c r="D25" s="349"/>
      <c r="E25" s="350"/>
      <c r="F25" s="776"/>
      <c r="G25" s="356" t="s">
        <v>5032</v>
      </c>
      <c r="H25" s="335"/>
      <c r="I25" s="185"/>
      <c r="J25" s="15"/>
      <c r="K25" s="297" t="str">
        <f t="shared" si="6"/>
        <v/>
      </c>
      <c r="L25" s="298" t="s">
        <v>5035</v>
      </c>
      <c r="M25" s="1073" t="str">
        <f t="shared" si="1"/>
        <v/>
      </c>
      <c r="N25" s="299" t="str">
        <f t="shared" si="2"/>
        <v/>
      </c>
      <c r="O25" s="288"/>
      <c r="P25" s="8"/>
      <c r="Q25" s="289" t="s">
        <v>5032</v>
      </c>
      <c r="R25" s="289">
        <f t="shared" si="3"/>
        <v>24.2</v>
      </c>
      <c r="S25" s="290">
        <f t="shared" si="4"/>
        <v>2.4199999999999999E-2</v>
      </c>
      <c r="T25" s="288"/>
      <c r="U25" s="272" t="s">
        <v>141</v>
      </c>
      <c r="AH25" s="268"/>
    </row>
    <row r="26" spans="3:36" ht="19.350000000000001" customHeight="1" thickBot="1">
      <c r="C26" s="294"/>
      <c r="D26" s="349"/>
      <c r="E26" s="350"/>
      <c r="F26" s="357" t="s">
        <v>5033</v>
      </c>
      <c r="G26" s="358"/>
      <c r="H26" s="359"/>
      <c r="I26" s="185"/>
      <c r="J26" s="15"/>
      <c r="K26" s="297" t="str">
        <f t="shared" si="6"/>
        <v/>
      </c>
      <c r="L26" s="298" t="s">
        <v>5035</v>
      </c>
      <c r="M26" s="1073" t="str">
        <f t="shared" si="1"/>
        <v/>
      </c>
      <c r="N26" s="299" t="str">
        <f t="shared" si="2"/>
        <v/>
      </c>
      <c r="O26" s="288"/>
      <c r="P26" s="289" t="s">
        <v>5220</v>
      </c>
      <c r="Q26" s="289" t="s">
        <v>5033</v>
      </c>
      <c r="R26" s="289">
        <f t="shared" si="3"/>
        <v>27.8</v>
      </c>
      <c r="S26" s="290">
        <f t="shared" si="4"/>
        <v>2.5899999999999999E-2</v>
      </c>
      <c r="T26" s="288"/>
      <c r="U26" s="353" t="s">
        <v>165</v>
      </c>
      <c r="V26" s="354">
        <f>SUM(G116)</f>
        <v>0</v>
      </c>
      <c r="W26" s="355" t="s">
        <v>5185</v>
      </c>
      <c r="AH26" s="268"/>
    </row>
    <row r="27" spans="3:36" ht="19.350000000000001" customHeight="1" thickBot="1">
      <c r="C27" s="294"/>
      <c r="D27" s="17" t="s">
        <v>62</v>
      </c>
      <c r="E27" s="360"/>
      <c r="F27" s="16"/>
      <c r="G27" s="16"/>
      <c r="H27" s="335"/>
      <c r="I27" s="185"/>
      <c r="J27" s="15"/>
      <c r="K27" s="297" t="str">
        <f t="shared" si="0"/>
        <v/>
      </c>
      <c r="L27" s="298" t="s">
        <v>5035</v>
      </c>
      <c r="M27" s="1073" t="str">
        <f t="shared" si="1"/>
        <v/>
      </c>
      <c r="N27" s="299" t="str">
        <f t="shared" si="2"/>
        <v/>
      </c>
      <c r="O27" s="288"/>
      <c r="P27" s="289" t="s">
        <v>62</v>
      </c>
      <c r="Q27" s="289" t="s">
        <v>62</v>
      </c>
      <c r="R27" s="289">
        <f t="shared" si="3"/>
        <v>29</v>
      </c>
      <c r="S27" s="290">
        <f t="shared" si="4"/>
        <v>2.9899999999999999E-2</v>
      </c>
      <c r="T27" s="288"/>
      <c r="AH27" s="268"/>
    </row>
    <row r="28" spans="3:36" ht="19.350000000000001" customHeight="1" thickBot="1">
      <c r="C28" s="294"/>
      <c r="D28" s="17" t="s">
        <v>63</v>
      </c>
      <c r="E28" s="16"/>
      <c r="F28" s="361"/>
      <c r="G28" s="16"/>
      <c r="H28" s="335"/>
      <c r="I28" s="185"/>
      <c r="J28" s="15"/>
      <c r="K28" s="297" t="str">
        <f t="shared" si="0"/>
        <v/>
      </c>
      <c r="L28" s="298" t="s">
        <v>5035</v>
      </c>
      <c r="M28" s="1073" t="str">
        <f t="shared" si="1"/>
        <v/>
      </c>
      <c r="N28" s="299" t="str">
        <f t="shared" si="2"/>
        <v/>
      </c>
      <c r="O28" s="288"/>
      <c r="P28" s="289" t="s">
        <v>63</v>
      </c>
      <c r="Q28" s="289" t="s">
        <v>63</v>
      </c>
      <c r="R28" s="289">
        <f t="shared" si="3"/>
        <v>37.299999999999997</v>
      </c>
      <c r="S28" s="290">
        <f t="shared" si="4"/>
        <v>2.0899999999999998E-2</v>
      </c>
      <c r="T28" s="288"/>
      <c r="U28" s="362" t="s">
        <v>166</v>
      </c>
      <c r="V28" s="363">
        <f>SUM(V6,V23)-V26</f>
        <v>0</v>
      </c>
      <c r="W28" s="355" t="s">
        <v>5185</v>
      </c>
      <c r="AH28" s="268"/>
    </row>
    <row r="29" spans="3:36" ht="19.350000000000001" customHeight="1">
      <c r="C29" s="294"/>
      <c r="D29" s="17" t="s">
        <v>64</v>
      </c>
      <c r="E29" s="16"/>
      <c r="F29" s="361"/>
      <c r="G29" s="16"/>
      <c r="H29" s="335"/>
      <c r="I29" s="185"/>
      <c r="J29" s="15"/>
      <c r="K29" s="297" t="str">
        <f t="shared" si="0"/>
        <v/>
      </c>
      <c r="L29" s="340" t="s">
        <v>5261</v>
      </c>
      <c r="M29" s="1073" t="str">
        <f t="shared" si="1"/>
        <v/>
      </c>
      <c r="N29" s="299" t="str">
        <f t="shared" si="2"/>
        <v/>
      </c>
      <c r="O29" s="288"/>
      <c r="P29" s="289" t="s">
        <v>64</v>
      </c>
      <c r="Q29" s="289" t="s">
        <v>64</v>
      </c>
      <c r="R29" s="289">
        <f t="shared" si="3"/>
        <v>18.399999999999999</v>
      </c>
      <c r="S29" s="290">
        <f t="shared" si="4"/>
        <v>1.09E-2</v>
      </c>
      <c r="T29" s="288"/>
      <c r="AH29" s="268"/>
      <c r="AJ29" s="268"/>
    </row>
    <row r="30" spans="3:36" ht="19.350000000000001" customHeight="1" thickBot="1">
      <c r="C30" s="294"/>
      <c r="D30" s="364" t="s">
        <v>65</v>
      </c>
      <c r="E30" s="13"/>
      <c r="F30" s="365"/>
      <c r="G30" s="13"/>
      <c r="H30" s="366"/>
      <c r="I30" s="185"/>
      <c r="J30" s="15"/>
      <c r="K30" s="297" t="str">
        <f t="shared" si="0"/>
        <v/>
      </c>
      <c r="L30" s="340" t="s">
        <v>5261</v>
      </c>
      <c r="M30" s="1073" t="str">
        <f t="shared" si="1"/>
        <v/>
      </c>
      <c r="N30" s="299" t="str">
        <f t="shared" si="2"/>
        <v/>
      </c>
      <c r="O30" s="288"/>
      <c r="P30" s="289" t="s">
        <v>65</v>
      </c>
      <c r="Q30" s="289" t="s">
        <v>65</v>
      </c>
      <c r="R30" s="289">
        <f t="shared" si="3"/>
        <v>3.23</v>
      </c>
      <c r="S30" s="290">
        <f t="shared" si="4"/>
        <v>2.64E-2</v>
      </c>
      <c r="T30" s="288"/>
      <c r="U30" s="272" t="s">
        <v>143</v>
      </c>
      <c r="AH30" s="268"/>
      <c r="AJ30" s="268"/>
    </row>
    <row r="31" spans="3:36" ht="19.350000000000001" customHeight="1" thickBot="1">
      <c r="C31" s="294"/>
      <c r="D31" s="17" t="s">
        <v>5034</v>
      </c>
      <c r="E31" s="16"/>
      <c r="F31" s="365"/>
      <c r="G31" s="16"/>
      <c r="H31" s="295"/>
      <c r="I31" s="185"/>
      <c r="J31" s="15"/>
      <c r="K31" s="297" t="str">
        <f t="shared" si="0"/>
        <v/>
      </c>
      <c r="L31" s="340" t="s">
        <v>5261</v>
      </c>
      <c r="M31" s="1073" t="str">
        <f t="shared" si="1"/>
        <v/>
      </c>
      <c r="N31" s="299" t="str">
        <f t="shared" si="2"/>
        <v/>
      </c>
      <c r="O31" s="288"/>
      <c r="P31" s="8"/>
      <c r="Q31" s="289" t="s">
        <v>5034</v>
      </c>
      <c r="R31" s="289">
        <f t="shared" si="3"/>
        <v>3.45</v>
      </c>
      <c r="S31" s="290">
        <f t="shared" si="4"/>
        <v>2.64E-2</v>
      </c>
      <c r="T31" s="288"/>
      <c r="U31" s="367" t="s">
        <v>3100</v>
      </c>
      <c r="V31" s="368">
        <f>IF(V28="","",IFERROR(ROUND(V28/G123,3-INT(LOG(V28/G123))),))</f>
        <v>0</v>
      </c>
      <c r="W31" s="733" t="str">
        <f>"t-CO2/"&amp;G122</f>
        <v>t-CO2/</v>
      </c>
      <c r="X31" s="734"/>
      <c r="AI31" s="268"/>
    </row>
    <row r="32" spans="3:36" ht="19.350000000000001" customHeight="1">
      <c r="C32" s="294"/>
      <c r="D32" s="17" t="s">
        <v>66</v>
      </c>
      <c r="E32" s="16"/>
      <c r="F32" s="365"/>
      <c r="G32" s="19"/>
      <c r="H32" s="335"/>
      <c r="I32" s="14"/>
      <c r="J32" s="15"/>
      <c r="K32" s="297" t="str">
        <f t="shared" si="0"/>
        <v/>
      </c>
      <c r="L32" s="340" t="s">
        <v>5261</v>
      </c>
      <c r="M32" s="1073" t="str">
        <f t="shared" si="1"/>
        <v/>
      </c>
      <c r="N32" s="299" t="str">
        <f t="shared" si="2"/>
        <v/>
      </c>
      <c r="O32" s="288"/>
      <c r="P32" s="289" t="s">
        <v>66</v>
      </c>
      <c r="Q32" s="289" t="s">
        <v>66</v>
      </c>
      <c r="R32" s="289">
        <f t="shared" si="3"/>
        <v>7.53</v>
      </c>
      <c r="S32" s="290">
        <f t="shared" si="4"/>
        <v>4.2000000000000003E-2</v>
      </c>
      <c r="T32" s="288"/>
      <c r="U32" s="263"/>
      <c r="V32" s="263"/>
      <c r="W32" s="263"/>
      <c r="X32" s="263"/>
      <c r="Y32" s="263"/>
      <c r="AH32" s="268"/>
      <c r="AJ32" s="268"/>
    </row>
    <row r="33" spans="3:36" ht="19.350000000000001" customHeight="1">
      <c r="C33" s="294"/>
      <c r="D33" s="17" t="s">
        <v>5221</v>
      </c>
      <c r="E33" s="16"/>
      <c r="F33" s="365"/>
      <c r="G33" s="19"/>
      <c r="H33" s="335"/>
      <c r="I33" s="14"/>
      <c r="J33" s="15"/>
      <c r="K33" s="297" t="str">
        <f t="shared" si="0"/>
        <v/>
      </c>
      <c r="L33" s="340" t="s">
        <v>5266</v>
      </c>
      <c r="M33" s="1073" t="str">
        <f t="shared" si="1"/>
        <v/>
      </c>
      <c r="N33" s="299" t="str">
        <f t="shared" si="2"/>
        <v/>
      </c>
      <c r="O33" s="288"/>
      <c r="P33" s="289" t="s">
        <v>5221</v>
      </c>
      <c r="Q33" s="289" t="s">
        <v>5221</v>
      </c>
      <c r="R33" s="289">
        <f t="shared" si="3"/>
        <v>45</v>
      </c>
      <c r="S33" s="290">
        <f t="shared" si="4"/>
        <v>1.4E-2</v>
      </c>
      <c r="T33" s="288"/>
      <c r="U33" s="305" t="s">
        <v>5316</v>
      </c>
      <c r="V33" s="369" t="s">
        <v>87</v>
      </c>
      <c r="W33" s="369" t="s">
        <v>119</v>
      </c>
      <c r="X33" s="263"/>
      <c r="Y33" s="263"/>
      <c r="AF33" s="22"/>
      <c r="AH33" s="268"/>
      <c r="AJ33" s="268"/>
    </row>
    <row r="34" spans="3:36" ht="19.350000000000001" customHeight="1">
      <c r="C34" s="294"/>
      <c r="D34" s="17" t="s">
        <v>5316</v>
      </c>
      <c r="E34" s="16"/>
      <c r="F34" s="365"/>
      <c r="G34" s="19"/>
      <c r="H34" s="335"/>
      <c r="I34" s="14"/>
      <c r="J34" s="15"/>
      <c r="K34" s="297" t="str">
        <f t="shared" ref="K34:K35" si="7">IF(AND(I34="",J34=""),"",SUM(I34)-SUM(J34))</f>
        <v/>
      </c>
      <c r="L34" s="298" t="s">
        <v>130</v>
      </c>
      <c r="M34" s="1073" t="str">
        <f>IFERROR(IF(K34="","",$K34*R34),"----------")</f>
        <v/>
      </c>
      <c r="N34" s="590"/>
      <c r="O34" s="288"/>
      <c r="P34" s="289" t="s">
        <v>5222</v>
      </c>
      <c r="Q34" s="289" t="s">
        <v>5222</v>
      </c>
      <c r="R34" s="289">
        <f t="shared" si="3"/>
        <v>1.19</v>
      </c>
      <c r="S34" s="290" t="str">
        <f t="shared" si="4"/>
        <v>ー</v>
      </c>
      <c r="T34" s="288"/>
      <c r="U34" s="26"/>
      <c r="V34" s="309"/>
      <c r="W34" s="221"/>
      <c r="X34" s="263"/>
      <c r="Y34" s="263"/>
      <c r="AC34" s="22"/>
      <c r="AF34" s="22"/>
      <c r="AG34" s="22"/>
      <c r="AJ34" s="268"/>
    </row>
    <row r="35" spans="3:36" ht="18" thickBot="1">
      <c r="C35" s="370"/>
      <c r="D35" s="17" t="str">
        <f>"その他（"&amp;U37&amp;"）"</f>
        <v>その他（）</v>
      </c>
      <c r="E35" s="16"/>
      <c r="F35" s="365"/>
      <c r="G35" s="19"/>
      <c r="H35" s="335"/>
      <c r="I35" s="20"/>
      <c r="J35" s="21"/>
      <c r="K35" s="371" t="str">
        <f t="shared" si="7"/>
        <v/>
      </c>
      <c r="L35" s="589"/>
      <c r="M35" s="1074"/>
      <c r="N35" s="231"/>
      <c r="O35" s="22"/>
      <c r="P35"/>
      <c r="Q35"/>
      <c r="R35"/>
      <c r="S35"/>
      <c r="T35" s="22"/>
      <c r="U35" s="263"/>
      <c r="V35" s="263"/>
      <c r="W35" s="263"/>
      <c r="X35" s="263"/>
      <c r="Y35" s="263"/>
      <c r="AA35" s="22"/>
      <c r="AB35" s="22"/>
      <c r="AC35" s="22"/>
      <c r="AD35" s="22"/>
      <c r="AE35" s="22"/>
      <c r="AG35" s="22"/>
      <c r="AJ35" s="268"/>
    </row>
    <row r="36" spans="3:36" ht="18.600000000000001" customHeight="1" thickTop="1" thickBot="1">
      <c r="C36" s="691" t="s">
        <v>72</v>
      </c>
      <c r="D36" s="692"/>
      <c r="E36" s="692"/>
      <c r="F36" s="692"/>
      <c r="G36" s="692"/>
      <c r="H36" s="693"/>
      <c r="I36" s="372" t="s">
        <v>73</v>
      </c>
      <c r="J36" s="373" t="s">
        <v>73</v>
      </c>
      <c r="K36" s="373" t="s">
        <v>73</v>
      </c>
      <c r="L36" s="374" t="s">
        <v>73</v>
      </c>
      <c r="M36" s="1075">
        <f>SUM(M6:M35)</f>
        <v>0</v>
      </c>
      <c r="N36" s="375">
        <f>SUM(N6:N35)</f>
        <v>0</v>
      </c>
      <c r="O36" s="288"/>
      <c r="P36"/>
      <c r="Q36"/>
      <c r="R36"/>
      <c r="S36"/>
      <c r="T36" s="288"/>
      <c r="U36" s="305" t="s">
        <v>5267</v>
      </c>
      <c r="V36" s="369" t="s">
        <v>87</v>
      </c>
      <c r="W36" s="369" t="s">
        <v>119</v>
      </c>
      <c r="X36" s="376"/>
      <c r="Y36" s="376"/>
      <c r="Z36" s="22"/>
      <c r="AF36" s="377"/>
    </row>
    <row r="37" spans="3:36" ht="19.350000000000001" customHeight="1">
      <c r="C37" s="762" t="s">
        <v>5268</v>
      </c>
      <c r="D37" s="763"/>
      <c r="E37" s="763"/>
      <c r="F37" s="763"/>
      <c r="G37" s="763"/>
      <c r="H37" s="764"/>
      <c r="I37" s="735" t="s">
        <v>127</v>
      </c>
      <c r="J37" s="737" t="s">
        <v>40</v>
      </c>
      <c r="K37" s="739" t="s">
        <v>41</v>
      </c>
      <c r="L37" s="741" t="s">
        <v>42</v>
      </c>
      <c r="M37" s="747" t="s">
        <v>5183</v>
      </c>
      <c r="N37" s="794" t="s">
        <v>5184</v>
      </c>
      <c r="O37" s="288"/>
      <c r="P37"/>
      <c r="Q37"/>
      <c r="R37"/>
      <c r="S37"/>
      <c r="T37" s="288"/>
      <c r="U37" s="26"/>
      <c r="V37" s="222"/>
      <c r="W37" s="221"/>
      <c r="X37" s="263"/>
      <c r="Y37" s="376"/>
      <c r="Z37" s="22"/>
      <c r="AC37" s="377"/>
      <c r="AF37" s="377"/>
      <c r="AG37" s="377"/>
    </row>
    <row r="38" spans="3:36" ht="19.350000000000001" customHeight="1" thickBot="1">
      <c r="C38" s="768"/>
      <c r="D38" s="769"/>
      <c r="E38" s="769"/>
      <c r="F38" s="769"/>
      <c r="G38" s="769"/>
      <c r="H38" s="770"/>
      <c r="I38" s="736"/>
      <c r="J38" s="738"/>
      <c r="K38" s="740"/>
      <c r="L38" s="742"/>
      <c r="M38" s="748"/>
      <c r="N38" s="795"/>
      <c r="O38" s="288"/>
      <c r="P38" s="278" t="s">
        <v>5255</v>
      </c>
      <c r="Q38" s="278" t="s">
        <v>5256</v>
      </c>
      <c r="R38" s="278" t="s">
        <v>5059</v>
      </c>
      <c r="S38" s="278" t="s">
        <v>5209</v>
      </c>
      <c r="T38" s="288"/>
      <c r="U38" s="263"/>
      <c r="V38" s="263"/>
      <c r="W38" s="263"/>
      <c r="X38" s="263"/>
      <c r="Y38" s="376"/>
      <c r="Z38" s="22"/>
      <c r="AA38" s="377"/>
      <c r="AB38" s="377"/>
      <c r="AC38" s="377"/>
      <c r="AD38" s="377"/>
      <c r="AE38" s="377"/>
      <c r="AF38" s="377"/>
      <c r="AG38" s="377"/>
    </row>
    <row r="39" spans="3:36" ht="19.350000000000001" customHeight="1">
      <c r="C39" s="378"/>
      <c r="D39" s="379" t="s">
        <v>5269</v>
      </c>
      <c r="E39" s="379"/>
      <c r="F39" s="380"/>
      <c r="G39" s="381"/>
      <c r="H39" s="382"/>
      <c r="I39" s="23"/>
      <c r="J39" s="24"/>
      <c r="K39" s="383" t="str">
        <f t="shared" ref="K39:K56" si="8">IF(AND(I39="",J39=""),"",SUM(I39)-SUM(J39))</f>
        <v/>
      </c>
      <c r="L39" s="384" t="s">
        <v>5035</v>
      </c>
      <c r="M39" s="1076" t="str">
        <f t="shared" ref="M39:M55" si="9">IFERROR(IF(K39="","",$K39*R39),"----------")</f>
        <v/>
      </c>
      <c r="N39" s="635"/>
      <c r="P39" s="385"/>
      <c r="Q39" s="385" t="s">
        <v>5062</v>
      </c>
      <c r="R39" s="385">
        <f t="shared" ref="R39:R55" si="10">IF($T$1=2022,VLOOKUP($P39,係数2023,7,0),VLOOKUP($Q39,係数2023,7,0))</f>
        <v>13.6</v>
      </c>
      <c r="S39" s="386" t="str">
        <f t="shared" ref="S39:S55" si="11">IF($T$1=2022,VLOOKUP($P39,係数2023,9,0),VLOOKUP($Q39,係数2023,9,0))</f>
        <v>ー</v>
      </c>
      <c r="U39" s="263"/>
      <c r="V39" s="263"/>
      <c r="W39" s="263"/>
      <c r="X39" s="376"/>
      <c r="Y39" s="376"/>
      <c r="Z39" s="22"/>
      <c r="AA39" s="377"/>
      <c r="AB39" s="377"/>
      <c r="AC39" s="377"/>
      <c r="AD39" s="377"/>
      <c r="AE39" s="377"/>
      <c r="AF39" s="377"/>
      <c r="AG39" s="377"/>
    </row>
    <row r="40" spans="3:36" ht="19.350000000000001" customHeight="1">
      <c r="C40" s="370"/>
      <c r="D40" s="16" t="s">
        <v>5270</v>
      </c>
      <c r="E40" s="16"/>
      <c r="F40" s="365"/>
      <c r="G40" s="19"/>
      <c r="H40" s="387"/>
      <c r="I40" s="20"/>
      <c r="J40" s="21"/>
      <c r="K40" s="371" t="str">
        <f t="shared" si="8"/>
        <v/>
      </c>
      <c r="L40" s="388" t="s">
        <v>5035</v>
      </c>
      <c r="M40" s="1073" t="str">
        <f t="shared" si="9"/>
        <v/>
      </c>
      <c r="N40" s="636"/>
      <c r="P40" s="389"/>
      <c r="Q40" s="389" t="s">
        <v>5064</v>
      </c>
      <c r="R40" s="385">
        <f t="shared" si="10"/>
        <v>13.2</v>
      </c>
      <c r="S40" s="386" t="str">
        <f t="shared" si="11"/>
        <v>ー</v>
      </c>
      <c r="U40" s="22"/>
      <c r="V40" s="22"/>
      <c r="W40" s="22"/>
      <c r="X40" s="22"/>
      <c r="Y40" s="22"/>
      <c r="Z40" s="22"/>
      <c r="AA40" s="377"/>
      <c r="AB40" s="377"/>
      <c r="AC40" s="377"/>
      <c r="AD40" s="377"/>
      <c r="AE40" s="377"/>
      <c r="AF40" s="377"/>
      <c r="AG40" s="377"/>
    </row>
    <row r="41" spans="3:36" ht="19.350000000000001" customHeight="1">
      <c r="C41" s="294"/>
      <c r="D41" s="16" t="s">
        <v>5271</v>
      </c>
      <c r="E41" s="16"/>
      <c r="F41" s="365"/>
      <c r="G41" s="19"/>
      <c r="H41" s="387"/>
      <c r="I41" s="20"/>
      <c r="J41" s="21"/>
      <c r="K41" s="371" t="str">
        <f t="shared" si="8"/>
        <v/>
      </c>
      <c r="L41" s="388" t="s">
        <v>5035</v>
      </c>
      <c r="M41" s="1073" t="str">
        <f t="shared" si="9"/>
        <v/>
      </c>
      <c r="N41" s="636"/>
      <c r="P41" s="385"/>
      <c r="Q41" s="385" t="s">
        <v>5065</v>
      </c>
      <c r="R41" s="385">
        <f t="shared" si="10"/>
        <v>17.100000000000001</v>
      </c>
      <c r="S41" s="386" t="str">
        <f t="shared" si="11"/>
        <v>ー</v>
      </c>
      <c r="X41" s="22"/>
      <c r="Y41" s="22"/>
      <c r="Z41" s="22"/>
      <c r="AA41" s="377"/>
      <c r="AB41" s="377"/>
      <c r="AC41" s="377"/>
      <c r="AD41" s="377"/>
      <c r="AE41" s="377"/>
      <c r="AF41" s="377"/>
      <c r="AG41" s="377"/>
    </row>
    <row r="42" spans="3:36" ht="19.350000000000001" customHeight="1">
      <c r="C42" s="294"/>
      <c r="D42" s="16" t="s">
        <v>5066</v>
      </c>
      <c r="E42" s="16"/>
      <c r="F42" s="365"/>
      <c r="G42" s="19"/>
      <c r="H42" s="387"/>
      <c r="I42" s="20"/>
      <c r="J42" s="21"/>
      <c r="K42" s="371" t="str">
        <f t="shared" si="8"/>
        <v/>
      </c>
      <c r="L42" s="388" t="s">
        <v>5036</v>
      </c>
      <c r="M42" s="1073" t="str">
        <f t="shared" si="9"/>
        <v/>
      </c>
      <c r="N42" s="636"/>
      <c r="P42" s="385"/>
      <c r="Q42" s="385" t="s">
        <v>5066</v>
      </c>
      <c r="R42" s="385">
        <f t="shared" si="10"/>
        <v>23.4</v>
      </c>
      <c r="S42" s="386" t="str">
        <f t="shared" si="11"/>
        <v>ー</v>
      </c>
      <c r="X42" s="22"/>
      <c r="Y42" s="22"/>
      <c r="Z42" s="22"/>
      <c r="AA42" s="377"/>
      <c r="AB42" s="377"/>
      <c r="AC42" s="377"/>
      <c r="AD42" s="377"/>
      <c r="AE42" s="377"/>
      <c r="AF42" s="377"/>
      <c r="AG42" s="377"/>
    </row>
    <row r="43" spans="3:36" ht="19.350000000000001" customHeight="1">
      <c r="C43" s="319"/>
      <c r="D43" s="16" t="s">
        <v>5068</v>
      </c>
      <c r="E43" s="16"/>
      <c r="F43" s="365"/>
      <c r="G43" s="19"/>
      <c r="H43" s="387"/>
      <c r="I43" s="20"/>
      <c r="J43" s="21"/>
      <c r="K43" s="371" t="str">
        <f t="shared" si="8"/>
        <v/>
      </c>
      <c r="L43" s="388" t="s">
        <v>5036</v>
      </c>
      <c r="M43" s="1073" t="str">
        <f t="shared" si="9"/>
        <v/>
      </c>
      <c r="N43" s="636"/>
      <c r="P43" s="385"/>
      <c r="Q43" s="385" t="s">
        <v>5068</v>
      </c>
      <c r="R43" s="385">
        <f t="shared" si="10"/>
        <v>35.6</v>
      </c>
      <c r="S43" s="386" t="str">
        <f t="shared" si="11"/>
        <v>ー</v>
      </c>
      <c r="U43" s="22"/>
      <c r="V43" s="22"/>
      <c r="W43" s="22"/>
      <c r="X43" s="22"/>
      <c r="Y43" s="22"/>
      <c r="Z43" s="22"/>
      <c r="AA43" s="377"/>
      <c r="AB43" s="377"/>
      <c r="AC43" s="377"/>
      <c r="AD43" s="377"/>
      <c r="AE43" s="377"/>
      <c r="AF43" s="377"/>
      <c r="AG43" s="377"/>
    </row>
    <row r="44" spans="3:36" ht="19.350000000000001" customHeight="1">
      <c r="C44" s="319"/>
      <c r="D44" s="16" t="s">
        <v>5069</v>
      </c>
      <c r="E44" s="16"/>
      <c r="F44" s="365"/>
      <c r="G44" s="19"/>
      <c r="H44" s="387"/>
      <c r="I44" s="20"/>
      <c r="J44" s="21"/>
      <c r="K44" s="371" t="str">
        <f t="shared" si="8"/>
        <v/>
      </c>
      <c r="L44" s="388" t="s">
        <v>5038</v>
      </c>
      <c r="M44" s="1073" t="str">
        <f t="shared" si="9"/>
        <v/>
      </c>
      <c r="N44" s="636"/>
      <c r="P44" s="385"/>
      <c r="Q44" s="385" t="s">
        <v>5069</v>
      </c>
      <c r="R44" s="385">
        <f t="shared" si="10"/>
        <v>21.2</v>
      </c>
      <c r="S44" s="386" t="str">
        <f t="shared" si="11"/>
        <v>ー</v>
      </c>
      <c r="U44" s="22"/>
      <c r="V44" s="22"/>
      <c r="W44" s="22"/>
      <c r="X44" s="22"/>
      <c r="Y44" s="22"/>
      <c r="Z44" s="22"/>
      <c r="AA44" s="377"/>
      <c r="AB44" s="377"/>
      <c r="AC44" s="377"/>
      <c r="AD44" s="377"/>
      <c r="AE44" s="377"/>
      <c r="AF44" s="377"/>
      <c r="AG44" s="377"/>
    </row>
    <row r="45" spans="3:36" ht="19.350000000000001" customHeight="1">
      <c r="C45" s="319" t="s">
        <v>5037</v>
      </c>
      <c r="D45" s="16" t="s">
        <v>5272</v>
      </c>
      <c r="E45" s="16"/>
      <c r="F45" s="365"/>
      <c r="G45" s="19"/>
      <c r="H45" s="387"/>
      <c r="I45" s="20"/>
      <c r="J45" s="21"/>
      <c r="K45" s="371" t="str">
        <f t="shared" si="8"/>
        <v/>
      </c>
      <c r="L45" s="388" t="s">
        <v>5035</v>
      </c>
      <c r="M45" s="1073" t="str">
        <f t="shared" si="9"/>
        <v/>
      </c>
      <c r="N45" s="636"/>
      <c r="P45" s="385"/>
      <c r="Q45" s="385" t="s">
        <v>5071</v>
      </c>
      <c r="R45" s="385">
        <f t="shared" si="10"/>
        <v>13.2</v>
      </c>
      <c r="S45" s="386" t="str">
        <f t="shared" si="11"/>
        <v>ー</v>
      </c>
      <c r="U45" s="22"/>
      <c r="V45" s="22"/>
      <c r="W45" s="22"/>
      <c r="X45" s="22"/>
      <c r="Y45" s="22"/>
      <c r="Z45" s="22"/>
      <c r="AA45" s="377"/>
      <c r="AB45" s="377"/>
      <c r="AC45" s="377"/>
      <c r="AD45" s="377"/>
      <c r="AE45" s="377"/>
      <c r="AF45" s="377"/>
      <c r="AG45" s="377"/>
    </row>
    <row r="46" spans="3:36" ht="19.350000000000001" customHeight="1">
      <c r="C46" s="319" t="s">
        <v>5020</v>
      </c>
      <c r="D46" s="16" t="s">
        <v>5072</v>
      </c>
      <c r="E46" s="16"/>
      <c r="F46" s="365"/>
      <c r="G46" s="19"/>
      <c r="H46" s="387"/>
      <c r="I46" s="20"/>
      <c r="J46" s="21"/>
      <c r="K46" s="371" t="str">
        <f t="shared" si="8"/>
        <v/>
      </c>
      <c r="L46" s="388" t="s">
        <v>5035</v>
      </c>
      <c r="M46" s="1073" t="str">
        <f t="shared" si="9"/>
        <v/>
      </c>
      <c r="N46" s="299" t="str">
        <f t="shared" ref="N46:N51" si="12">IFERROR(IF(K46="","",$M46*S46*44/12),"----------")</f>
        <v/>
      </c>
      <c r="P46" s="385"/>
      <c r="Q46" s="385" t="s">
        <v>5072</v>
      </c>
      <c r="R46" s="385">
        <f t="shared" si="10"/>
        <v>18</v>
      </c>
      <c r="S46" s="386">
        <f t="shared" si="11"/>
        <v>1.6199999999999999E-2</v>
      </c>
      <c r="U46" s="22"/>
      <c r="V46" s="22"/>
      <c r="W46" s="22"/>
      <c r="X46" s="22"/>
      <c r="Y46" s="22"/>
      <c r="Z46" s="22"/>
      <c r="AA46" s="377"/>
      <c r="AB46" s="377"/>
      <c r="AC46" s="377"/>
      <c r="AD46" s="377"/>
      <c r="AE46" s="377"/>
      <c r="AF46" s="377"/>
      <c r="AG46" s="377"/>
    </row>
    <row r="47" spans="3:36" ht="19.350000000000001" customHeight="1">
      <c r="C47" s="319" t="s">
        <v>5023</v>
      </c>
      <c r="D47" s="16" t="s">
        <v>5073</v>
      </c>
      <c r="E47" s="16"/>
      <c r="F47" s="365"/>
      <c r="G47" s="19"/>
      <c r="H47" s="387"/>
      <c r="I47" s="20"/>
      <c r="J47" s="21"/>
      <c r="K47" s="371" t="str">
        <f t="shared" si="8"/>
        <v/>
      </c>
      <c r="L47" s="388" t="s">
        <v>5035</v>
      </c>
      <c r="M47" s="1073" t="str">
        <f t="shared" si="9"/>
        <v/>
      </c>
      <c r="N47" s="299" t="str">
        <f t="shared" si="12"/>
        <v/>
      </c>
      <c r="P47" s="385"/>
      <c r="Q47" s="385" t="s">
        <v>5073</v>
      </c>
      <c r="R47" s="385">
        <f t="shared" si="10"/>
        <v>26.9</v>
      </c>
      <c r="S47" s="386">
        <f t="shared" si="11"/>
        <v>1.66E-2</v>
      </c>
      <c r="U47" s="22"/>
      <c r="V47" s="22"/>
      <c r="W47" s="22"/>
      <c r="X47" s="22"/>
      <c r="Y47" s="22"/>
      <c r="Z47" s="22"/>
      <c r="AA47" s="377"/>
      <c r="AB47" s="377"/>
      <c r="AC47" s="377"/>
      <c r="AD47" s="377"/>
      <c r="AE47" s="377"/>
      <c r="AF47" s="377"/>
      <c r="AG47" s="377"/>
    </row>
    <row r="48" spans="3:36" ht="19.350000000000001" customHeight="1">
      <c r="C48" s="319" t="s">
        <v>5024</v>
      </c>
      <c r="D48" s="16" t="s">
        <v>5273</v>
      </c>
      <c r="E48" s="16"/>
      <c r="F48" s="365"/>
      <c r="G48" s="19"/>
      <c r="H48" s="387"/>
      <c r="I48" s="20"/>
      <c r="J48" s="21"/>
      <c r="K48" s="371" t="str">
        <f t="shared" si="8"/>
        <v/>
      </c>
      <c r="L48" s="388" t="s">
        <v>5035</v>
      </c>
      <c r="M48" s="1073" t="str">
        <f t="shared" si="9"/>
        <v/>
      </c>
      <c r="N48" s="299" t="str">
        <f t="shared" si="12"/>
        <v/>
      </c>
      <c r="P48" s="385"/>
      <c r="Q48" s="385" t="s">
        <v>5074</v>
      </c>
      <c r="R48" s="385">
        <f t="shared" si="10"/>
        <v>33.200000000000003</v>
      </c>
      <c r="S48" s="386">
        <f t="shared" si="11"/>
        <v>1.35E-2</v>
      </c>
      <c r="U48" s="22"/>
      <c r="V48" s="22"/>
      <c r="W48" s="22"/>
      <c r="X48" s="22"/>
      <c r="Y48" s="22"/>
      <c r="Z48" s="22"/>
      <c r="AA48" s="377"/>
      <c r="AB48" s="377"/>
      <c r="AC48" s="377"/>
      <c r="AD48" s="377"/>
      <c r="AE48" s="377"/>
      <c r="AG48" s="377"/>
    </row>
    <row r="49" spans="3:31" ht="19.350000000000001" customHeight="1">
      <c r="C49" s="319" t="s">
        <v>5026</v>
      </c>
      <c r="D49" s="771" t="s">
        <v>5275</v>
      </c>
      <c r="E49" s="772"/>
      <c r="F49" s="365" t="s">
        <v>5076</v>
      </c>
      <c r="G49" s="19"/>
      <c r="H49" s="387"/>
      <c r="I49" s="20"/>
      <c r="J49" s="21"/>
      <c r="K49" s="371" t="str">
        <f t="shared" si="8"/>
        <v/>
      </c>
      <c r="L49" s="388" t="s">
        <v>5035</v>
      </c>
      <c r="M49" s="1073" t="str">
        <f t="shared" si="9"/>
        <v/>
      </c>
      <c r="N49" s="299" t="str">
        <f t="shared" si="12"/>
        <v/>
      </c>
      <c r="P49" s="385"/>
      <c r="Q49" s="385" t="s">
        <v>5274</v>
      </c>
      <c r="R49" s="385">
        <f t="shared" si="10"/>
        <v>29.3</v>
      </c>
      <c r="S49" s="386">
        <f t="shared" si="11"/>
        <v>2.5700000000000001E-2</v>
      </c>
      <c r="U49" s="22"/>
      <c r="V49" s="22"/>
      <c r="W49" s="22"/>
      <c r="X49" s="22"/>
      <c r="Y49" s="22"/>
      <c r="Z49" s="22"/>
      <c r="AA49" s="377"/>
      <c r="AB49" s="377"/>
      <c r="AD49" s="377"/>
      <c r="AE49" s="377"/>
    </row>
    <row r="50" spans="3:31" ht="19.350000000000001" customHeight="1">
      <c r="C50" s="319"/>
      <c r="D50" s="773"/>
      <c r="E50" s="774"/>
      <c r="F50" s="365" t="s">
        <v>5077</v>
      </c>
      <c r="G50" s="19"/>
      <c r="H50" s="387"/>
      <c r="I50" s="20"/>
      <c r="J50" s="21"/>
      <c r="K50" s="371" t="str">
        <f t="shared" si="8"/>
        <v/>
      </c>
      <c r="L50" s="388" t="s">
        <v>5035</v>
      </c>
      <c r="M50" s="1073" t="str">
        <f t="shared" si="9"/>
        <v/>
      </c>
      <c r="N50" s="299" t="str">
        <f t="shared" si="12"/>
        <v/>
      </c>
      <c r="P50" s="385"/>
      <c r="Q50" s="385" t="s">
        <v>5276</v>
      </c>
      <c r="R50" s="385">
        <f t="shared" si="10"/>
        <v>29.3</v>
      </c>
      <c r="S50" s="386">
        <f t="shared" si="11"/>
        <v>2.3900000000000001E-2</v>
      </c>
      <c r="U50" s="22"/>
      <c r="V50" s="22"/>
      <c r="W50" s="22"/>
      <c r="X50" s="22"/>
      <c r="Y50" s="22"/>
      <c r="Z50" s="22"/>
    </row>
    <row r="51" spans="3:31" ht="19.350000000000001" customHeight="1">
      <c r="C51" s="319"/>
      <c r="D51" s="16" t="s">
        <v>5277</v>
      </c>
      <c r="E51" s="16"/>
      <c r="F51" s="365"/>
      <c r="G51" s="19"/>
      <c r="H51" s="387"/>
      <c r="I51" s="20"/>
      <c r="J51" s="21"/>
      <c r="K51" s="371" t="str">
        <f t="shared" si="8"/>
        <v/>
      </c>
      <c r="L51" s="388" t="s">
        <v>5036</v>
      </c>
      <c r="M51" s="1073" t="str">
        <f t="shared" si="9"/>
        <v/>
      </c>
      <c r="N51" s="299" t="str">
        <f t="shared" si="12"/>
        <v/>
      </c>
      <c r="P51" s="385"/>
      <c r="Q51" s="385" t="s">
        <v>5078</v>
      </c>
      <c r="R51" s="385">
        <f t="shared" si="10"/>
        <v>40.200000000000003</v>
      </c>
      <c r="S51" s="386">
        <f t="shared" si="11"/>
        <v>1.7899999999999999E-2</v>
      </c>
      <c r="U51" s="22"/>
      <c r="V51" s="22"/>
      <c r="W51" s="22"/>
      <c r="X51" s="22"/>
      <c r="Y51" s="22"/>
      <c r="Z51" s="22"/>
    </row>
    <row r="52" spans="3:31" ht="19.350000000000001" customHeight="1">
      <c r="C52" s="319"/>
      <c r="D52" s="16" t="s">
        <v>5278</v>
      </c>
      <c r="E52" s="16"/>
      <c r="F52" s="365"/>
      <c r="G52" s="19"/>
      <c r="H52" s="387"/>
      <c r="I52" s="20"/>
      <c r="J52" s="21"/>
      <c r="K52" s="371" t="str">
        <f t="shared" si="8"/>
        <v/>
      </c>
      <c r="L52" s="388" t="s">
        <v>5038</v>
      </c>
      <c r="M52" s="1073" t="str">
        <f t="shared" si="9"/>
        <v/>
      </c>
      <c r="N52" s="636"/>
      <c r="P52" s="385"/>
      <c r="Q52" s="385" t="s">
        <v>5079</v>
      </c>
      <c r="R52" s="385">
        <f t="shared" si="10"/>
        <v>21.2</v>
      </c>
      <c r="S52" s="386" t="str">
        <f t="shared" si="11"/>
        <v>ー</v>
      </c>
      <c r="T52" s="263"/>
      <c r="U52" s="376"/>
      <c r="V52" s="376"/>
      <c r="W52" s="376"/>
      <c r="X52" s="376"/>
      <c r="Y52" s="22"/>
      <c r="Z52" s="22"/>
    </row>
    <row r="53" spans="3:31" ht="19.350000000000001" customHeight="1">
      <c r="C53" s="319"/>
      <c r="D53" s="16" t="s">
        <v>5279</v>
      </c>
      <c r="E53" s="16"/>
      <c r="F53" s="365"/>
      <c r="G53" s="19"/>
      <c r="H53" s="387"/>
      <c r="I53" s="20"/>
      <c r="J53" s="21"/>
      <c r="K53" s="371" t="str">
        <f t="shared" si="8"/>
        <v/>
      </c>
      <c r="L53" s="388" t="s">
        <v>5035</v>
      </c>
      <c r="M53" s="1073" t="str">
        <f t="shared" si="9"/>
        <v/>
      </c>
      <c r="N53" s="636"/>
      <c r="P53" s="385"/>
      <c r="Q53" s="385" t="s">
        <v>5080</v>
      </c>
      <c r="R53" s="385">
        <f t="shared" si="10"/>
        <v>17.100000000000001</v>
      </c>
      <c r="S53" s="386" t="str">
        <f t="shared" si="11"/>
        <v>ー</v>
      </c>
      <c r="T53" s="263"/>
      <c r="U53" s="263"/>
      <c r="V53" s="263"/>
      <c r="W53" s="263"/>
      <c r="X53" s="376"/>
      <c r="Y53" s="22"/>
      <c r="Z53" s="22"/>
    </row>
    <row r="54" spans="3:31" ht="19.350000000000001" customHeight="1">
      <c r="C54" s="294"/>
      <c r="D54" s="16" t="s">
        <v>5280</v>
      </c>
      <c r="E54" s="16"/>
      <c r="F54" s="365"/>
      <c r="G54" s="19"/>
      <c r="H54" s="387"/>
      <c r="I54" s="20"/>
      <c r="J54" s="21"/>
      <c r="K54" s="371" t="str">
        <f t="shared" si="8"/>
        <v/>
      </c>
      <c r="L54" s="388" t="s">
        <v>5035</v>
      </c>
      <c r="M54" s="1073" t="str">
        <f t="shared" si="9"/>
        <v/>
      </c>
      <c r="N54" s="636"/>
      <c r="P54" s="385"/>
      <c r="Q54" s="385" t="s">
        <v>5081</v>
      </c>
      <c r="R54" s="385">
        <f t="shared" si="10"/>
        <v>142</v>
      </c>
      <c r="S54" s="386" t="str">
        <f t="shared" si="11"/>
        <v>ー</v>
      </c>
      <c r="T54" s="263"/>
      <c r="U54" s="329"/>
      <c r="V54" s="329"/>
      <c r="W54" s="329"/>
      <c r="X54" s="376"/>
      <c r="Y54" s="22"/>
      <c r="Z54" s="22"/>
    </row>
    <row r="55" spans="3:31">
      <c r="C55" s="294"/>
      <c r="D55" s="16" t="s">
        <v>5309</v>
      </c>
      <c r="E55" s="390"/>
      <c r="F55" s="365"/>
      <c r="G55" s="19"/>
      <c r="H55" s="387"/>
      <c r="I55" s="20"/>
      <c r="J55" s="21"/>
      <c r="K55" s="371" t="str">
        <f t="shared" si="8"/>
        <v/>
      </c>
      <c r="L55" s="388" t="s">
        <v>5035</v>
      </c>
      <c r="M55" s="1073" t="str">
        <f t="shared" si="9"/>
        <v/>
      </c>
      <c r="N55" s="636"/>
      <c r="P55" s="385"/>
      <c r="Q55" s="385" t="s">
        <v>5309</v>
      </c>
      <c r="R55" s="385">
        <f t="shared" si="10"/>
        <v>22.5</v>
      </c>
      <c r="S55" s="386" t="str">
        <f t="shared" si="11"/>
        <v>ー</v>
      </c>
      <c r="T55" s="263"/>
      <c r="U55" s="305" t="s">
        <v>5281</v>
      </c>
      <c r="V55" s="369" t="s">
        <v>87</v>
      </c>
      <c r="W55" s="369" t="s">
        <v>119</v>
      </c>
      <c r="X55" s="376"/>
      <c r="Y55" s="22"/>
      <c r="Z55" s="22"/>
    </row>
    <row r="56" spans="3:31" ht="18" thickBot="1">
      <c r="C56" s="391"/>
      <c r="D56" s="16" t="str">
        <f>"その他（"&amp;U56&amp;"）"</f>
        <v>その他（）</v>
      </c>
      <c r="E56" s="16"/>
      <c r="F56" s="365"/>
      <c r="G56" s="19"/>
      <c r="H56" s="387"/>
      <c r="I56" s="20"/>
      <c r="J56" s="21"/>
      <c r="K56" s="371" t="str">
        <f t="shared" si="8"/>
        <v/>
      </c>
      <c r="L56" s="589"/>
      <c r="M56" s="1074"/>
      <c r="N56" s="231"/>
      <c r="P56" s="385"/>
      <c r="Q56" s="385"/>
      <c r="R56" s="385"/>
      <c r="S56" s="385"/>
      <c r="T56" s="263"/>
      <c r="U56" s="26"/>
      <c r="V56" s="222"/>
      <c r="W56" s="221"/>
      <c r="X56" s="376"/>
      <c r="Y56" s="22"/>
      <c r="Z56" s="22"/>
    </row>
    <row r="57" spans="3:31" ht="19.350000000000001" customHeight="1" thickTop="1" thickBot="1">
      <c r="C57" s="691" t="s">
        <v>72</v>
      </c>
      <c r="D57" s="692"/>
      <c r="E57" s="692"/>
      <c r="F57" s="692"/>
      <c r="G57" s="692"/>
      <c r="H57" s="693"/>
      <c r="I57" s="372" t="s">
        <v>73</v>
      </c>
      <c r="J57" s="373" t="s">
        <v>73</v>
      </c>
      <c r="K57" s="373" t="s">
        <v>73</v>
      </c>
      <c r="L57" s="374" t="s">
        <v>73</v>
      </c>
      <c r="M57" s="1075">
        <f>SUM(M39:M56)</f>
        <v>0</v>
      </c>
      <c r="N57" s="375">
        <f>SUM(N39:N56)</f>
        <v>0</v>
      </c>
      <c r="P57"/>
      <c r="Q57"/>
      <c r="R57"/>
      <c r="S57"/>
      <c r="T57" s="263"/>
      <c r="U57" s="376"/>
      <c r="V57" s="376"/>
      <c r="W57" s="376"/>
      <c r="X57" s="376"/>
      <c r="Y57" s="22"/>
      <c r="Z57" s="22"/>
    </row>
    <row r="58" spans="3:31" ht="19.350000000000001" customHeight="1">
      <c r="C58" s="762" t="s">
        <v>5282</v>
      </c>
      <c r="D58" s="763"/>
      <c r="E58" s="763"/>
      <c r="F58" s="763"/>
      <c r="G58" s="763"/>
      <c r="H58" s="764"/>
      <c r="I58" s="735" t="s">
        <v>127</v>
      </c>
      <c r="J58" s="737" t="s">
        <v>40</v>
      </c>
      <c r="K58" s="739" t="s">
        <v>41</v>
      </c>
      <c r="L58" s="741" t="s">
        <v>42</v>
      </c>
      <c r="M58" s="743" t="s">
        <v>5183</v>
      </c>
      <c r="N58" s="745" t="s">
        <v>5184</v>
      </c>
      <c r="P58"/>
      <c r="Q58"/>
      <c r="R58"/>
      <c r="S58"/>
      <c r="U58" s="22"/>
      <c r="V58" s="22"/>
      <c r="W58" s="22"/>
      <c r="X58" s="22"/>
      <c r="Y58" s="22"/>
      <c r="Z58" s="22"/>
    </row>
    <row r="59" spans="3:31" ht="19.350000000000001" customHeight="1">
      <c r="C59" s="765"/>
      <c r="D59" s="766"/>
      <c r="E59" s="766"/>
      <c r="F59" s="766"/>
      <c r="G59" s="766"/>
      <c r="H59" s="767"/>
      <c r="I59" s="736"/>
      <c r="J59" s="738"/>
      <c r="K59" s="740"/>
      <c r="L59" s="742"/>
      <c r="M59" s="744"/>
      <c r="N59" s="746"/>
      <c r="P59" s="278" t="s">
        <v>5255</v>
      </c>
      <c r="Q59" s="278" t="s">
        <v>5256</v>
      </c>
      <c r="R59" s="278" t="s">
        <v>5059</v>
      </c>
      <c r="S59" s="278" t="s">
        <v>5209</v>
      </c>
      <c r="U59"/>
      <c r="V59"/>
      <c r="W59"/>
      <c r="X59" s="22"/>
      <c r="Y59" s="22"/>
      <c r="Z59" s="22"/>
    </row>
    <row r="60" spans="3:31" ht="19.350000000000001" customHeight="1">
      <c r="C60" s="392"/>
      <c r="D60" s="796" t="s">
        <v>5284</v>
      </c>
      <c r="E60" s="393" t="s">
        <v>123</v>
      </c>
      <c r="F60" s="394"/>
      <c r="G60" s="284"/>
      <c r="H60" s="395"/>
      <c r="I60" s="11"/>
      <c r="J60" s="12"/>
      <c r="K60" s="297" t="str">
        <f>IF(I60="","",SUM(I60)-SUM(J60))</f>
        <v/>
      </c>
      <c r="L60" s="286" t="s">
        <v>68</v>
      </c>
      <c r="M60" s="1072" t="str">
        <f>IFERROR(IF(K60="","",$K60*R60),"----------")</f>
        <v/>
      </c>
      <c r="N60" s="287" t="str">
        <f>IFERROR(IF(K60="","",K60*S60),"----------")</f>
        <v/>
      </c>
      <c r="O60" s="263"/>
      <c r="P60" s="396" t="s">
        <v>123</v>
      </c>
      <c r="Q60" s="396" t="s">
        <v>5283</v>
      </c>
      <c r="R60" s="396">
        <f t="shared" ref="R60:R67" si="13">IF($T$1=2022,VLOOKUP($P60,係数2022,7,0),VLOOKUP($Q60,係数2023,7,0))</f>
        <v>1.17</v>
      </c>
      <c r="S60" s="396">
        <f t="shared" ref="S60:S67" si="14">IF($T$1=2022,VLOOKUP($P60,係数2022,9,0),VLOOKUP($Q60,係数2023,9,0))</f>
        <v>6.54E-2</v>
      </c>
      <c r="T60" s="263"/>
      <c r="U60" s="329"/>
      <c r="V60" s="329"/>
      <c r="W60" s="329"/>
      <c r="X60" s="22"/>
      <c r="Y60" s="22"/>
      <c r="Z60" s="22"/>
    </row>
    <row r="61" spans="3:31" ht="19.350000000000001" customHeight="1">
      <c r="C61" s="370"/>
      <c r="D61" s="797"/>
      <c r="E61" s="397"/>
      <c r="F61" s="398" t="s">
        <v>5285</v>
      </c>
      <c r="G61" s="361"/>
      <c r="H61" s="399"/>
      <c r="I61" s="186"/>
      <c r="J61" s="187"/>
      <c r="K61" s="297" t="str">
        <f t="shared" ref="K61:K69" si="15">IF(I61="","",SUM(I61)-SUM(J61))</f>
        <v/>
      </c>
      <c r="L61" s="298" t="s">
        <v>68</v>
      </c>
      <c r="M61" s="1077" t="str">
        <f>IFERROR(IF(K61="","",$K61*R61),"----------")</f>
        <v/>
      </c>
      <c r="N61" s="400"/>
      <c r="O61" s="263"/>
      <c r="P61" s="396"/>
      <c r="Q61" s="396" t="s">
        <v>5229</v>
      </c>
      <c r="R61" s="396">
        <f t="shared" si="13"/>
        <v>1.17</v>
      </c>
      <c r="S61" s="396" t="str">
        <f t="shared" si="14"/>
        <v>ー</v>
      </c>
      <c r="T61" s="263"/>
      <c r="U61" s="305" t="s">
        <v>126</v>
      </c>
      <c r="V61" s="369" t="s">
        <v>87</v>
      </c>
      <c r="W61" s="369" t="s">
        <v>119</v>
      </c>
      <c r="X61" s="22"/>
      <c r="Y61" s="22"/>
      <c r="Z61" s="22"/>
    </row>
    <row r="62" spans="3:31" ht="19.350000000000001" customHeight="1">
      <c r="C62" s="370"/>
      <c r="D62" s="797"/>
      <c r="E62" s="401" t="s">
        <v>133</v>
      </c>
      <c r="F62" s="402"/>
      <c r="G62" s="361"/>
      <c r="H62" s="296"/>
      <c r="I62" s="14"/>
      <c r="J62" s="15"/>
      <c r="K62" s="297" t="str">
        <f t="shared" si="15"/>
        <v/>
      </c>
      <c r="L62" s="298" t="s">
        <v>68</v>
      </c>
      <c r="M62" s="1073" t="str">
        <f t="shared" ref="M62:M67" si="16">IFERROR(IF(K62="","",$K62*R62),"----------")</f>
        <v/>
      </c>
      <c r="N62" s="299" t="str">
        <f>IF(K62="","",
      IF($T$1=2022,K62*S62,
                  IF(OR(W62="",K62=""),"",K62*W62)))</f>
        <v/>
      </c>
      <c r="O62" s="263"/>
      <c r="P62" s="396" t="s">
        <v>133</v>
      </c>
      <c r="Q62" s="396" t="s">
        <v>5226</v>
      </c>
      <c r="R62" s="396">
        <f t="shared" si="13"/>
        <v>1.19</v>
      </c>
      <c r="S62" s="396" t="str">
        <f t="shared" si="14"/>
        <v>ー</v>
      </c>
      <c r="T62" s="263"/>
      <c r="U62" s="403" t="s">
        <v>5286</v>
      </c>
      <c r="V62" s="404"/>
      <c r="W62" s="221"/>
      <c r="X62" s="22"/>
      <c r="Y62" s="22"/>
      <c r="Z62" s="22"/>
    </row>
    <row r="63" spans="3:31" ht="19.350000000000001" customHeight="1">
      <c r="C63" s="370"/>
      <c r="D63" s="797"/>
      <c r="E63" s="397"/>
      <c r="F63" s="398" t="s">
        <v>5285</v>
      </c>
      <c r="G63" s="361"/>
      <c r="H63" s="296"/>
      <c r="I63" s="14"/>
      <c r="J63" s="15"/>
      <c r="K63" s="297" t="str">
        <f t="shared" si="15"/>
        <v/>
      </c>
      <c r="L63" s="298" t="s">
        <v>68</v>
      </c>
      <c r="M63" s="1073" t="str">
        <f>IFERROR(IF(K63="","",$K63*R63),"----------")</f>
        <v/>
      </c>
      <c r="N63" s="400"/>
      <c r="O63" s="263"/>
      <c r="P63" s="396"/>
      <c r="Q63" s="396" t="s">
        <v>5230</v>
      </c>
      <c r="R63" s="396">
        <f t="shared" si="13"/>
        <v>1.19</v>
      </c>
      <c r="S63" s="396" t="str">
        <f t="shared" si="14"/>
        <v>ー</v>
      </c>
      <c r="T63" s="263"/>
      <c r="U63" s="403" t="s">
        <v>5287</v>
      </c>
      <c r="V63" s="404"/>
      <c r="W63" s="221"/>
      <c r="X63" s="22"/>
      <c r="Y63" s="22"/>
      <c r="Z63" s="22"/>
    </row>
    <row r="64" spans="3:31" ht="19.350000000000001" customHeight="1">
      <c r="C64" s="370"/>
      <c r="D64" s="797"/>
      <c r="E64" s="401" t="s">
        <v>70</v>
      </c>
      <c r="F64" s="361"/>
      <c r="G64" s="361"/>
      <c r="H64" s="296"/>
      <c r="I64" s="14"/>
      <c r="J64" s="15"/>
      <c r="K64" s="297" t="str">
        <f t="shared" si="15"/>
        <v/>
      </c>
      <c r="L64" s="298" t="s">
        <v>68</v>
      </c>
      <c r="M64" s="1073" t="str">
        <f>IFERROR(IF(K64="","",$K64*R64),"----------")</f>
        <v/>
      </c>
      <c r="N64" s="299" t="str">
        <f>IF(K64="","",
      IF($T$1=2022,K64*S64,
                  IF(OR(W63="",K64=""),"",K64*W63)))</f>
        <v/>
      </c>
      <c r="O64" s="263"/>
      <c r="P64" s="396" t="s">
        <v>70</v>
      </c>
      <c r="Q64" s="396" t="s">
        <v>5227</v>
      </c>
      <c r="R64" s="396">
        <f t="shared" si="13"/>
        <v>1.19</v>
      </c>
      <c r="S64" s="396" t="str">
        <f t="shared" si="14"/>
        <v>ー</v>
      </c>
      <c r="T64" s="263"/>
      <c r="U64" s="171" t="s">
        <v>5288</v>
      </c>
      <c r="V64" s="309"/>
      <c r="W64" s="221"/>
      <c r="X64" s="22"/>
      <c r="Y64" s="22"/>
      <c r="Z64" s="22"/>
    </row>
    <row r="65" spans="2:38" ht="19.350000000000001" customHeight="1">
      <c r="C65" s="405"/>
      <c r="D65" s="797"/>
      <c r="E65" s="397"/>
      <c r="F65" s="398" t="s">
        <v>5285</v>
      </c>
      <c r="G65" s="361"/>
      <c r="H65" s="406"/>
      <c r="I65" s="14"/>
      <c r="J65" s="15"/>
      <c r="K65" s="297" t="str">
        <f t="shared" si="15"/>
        <v/>
      </c>
      <c r="L65" s="298" t="s">
        <v>68</v>
      </c>
      <c r="M65" s="1073" t="str">
        <f t="shared" si="16"/>
        <v/>
      </c>
      <c r="N65" s="400"/>
      <c r="O65" s="263"/>
      <c r="P65" s="396"/>
      <c r="Q65" s="396" t="s">
        <v>5231</v>
      </c>
      <c r="R65" s="396">
        <f t="shared" si="13"/>
        <v>1.19</v>
      </c>
      <c r="S65" s="396" t="str">
        <f t="shared" si="14"/>
        <v>ー</v>
      </c>
      <c r="T65" s="263"/>
      <c r="U65" s="329"/>
      <c r="V65" s="329"/>
      <c r="W65" s="329"/>
      <c r="X65" s="22"/>
      <c r="Y65" s="22"/>
      <c r="Z65" s="22"/>
    </row>
    <row r="66" spans="2:38" ht="19.350000000000001" customHeight="1">
      <c r="C66" s="405"/>
      <c r="D66" s="797"/>
      <c r="E66" s="401" t="s">
        <v>71</v>
      </c>
      <c r="F66" s="361"/>
      <c r="G66" s="361"/>
      <c r="H66" s="296"/>
      <c r="I66" s="14"/>
      <c r="J66" s="15"/>
      <c r="K66" s="297" t="str">
        <f t="shared" si="15"/>
        <v/>
      </c>
      <c r="L66" s="298" t="s">
        <v>68</v>
      </c>
      <c r="M66" s="1073" t="str">
        <f>IFERROR(IF(K66="","",$K66*R66),"----------")</f>
        <v/>
      </c>
      <c r="N66" s="299" t="str">
        <f>IF(K66="","",
      IF($T$1=2022,K66*S66,
                  IF(OR(W64="",K66=""),"",K66*W64)))</f>
        <v/>
      </c>
      <c r="O66" s="263"/>
      <c r="P66" s="396" t="s">
        <v>71</v>
      </c>
      <c r="Q66" s="396" t="s">
        <v>5228</v>
      </c>
      <c r="R66" s="396">
        <f t="shared" si="13"/>
        <v>1.19</v>
      </c>
      <c r="S66" s="396" t="str">
        <f t="shared" si="14"/>
        <v>ー</v>
      </c>
      <c r="T66" s="263"/>
      <c r="U66" s="329"/>
      <c r="V66" s="329"/>
      <c r="W66" s="329"/>
      <c r="X66" s="22"/>
      <c r="Y66" s="22"/>
      <c r="Z66" s="22"/>
    </row>
    <row r="67" spans="2:38" ht="19.350000000000001" customHeight="1">
      <c r="C67" s="405" t="s">
        <v>5083</v>
      </c>
      <c r="D67" s="797"/>
      <c r="E67" s="397"/>
      <c r="F67" s="398" t="s">
        <v>5285</v>
      </c>
      <c r="G67" s="361"/>
      <c r="H67" s="296"/>
      <c r="I67" s="186"/>
      <c r="J67" s="187"/>
      <c r="K67" s="407" t="str">
        <f t="shared" si="15"/>
        <v/>
      </c>
      <c r="L67" s="408" t="s">
        <v>68</v>
      </c>
      <c r="M67" s="1077" t="str">
        <f t="shared" si="16"/>
        <v/>
      </c>
      <c r="N67" s="400"/>
      <c r="O67" s="263"/>
      <c r="P67" s="409"/>
      <c r="Q67" s="396" t="s">
        <v>5232</v>
      </c>
      <c r="R67" s="409">
        <f t="shared" si="13"/>
        <v>1.19</v>
      </c>
      <c r="S67" s="396" t="str">
        <f t="shared" si="14"/>
        <v>ー</v>
      </c>
      <c r="T67" s="263"/>
      <c r="U67" s="305" t="s">
        <v>5289</v>
      </c>
      <c r="V67" s="369" t="s">
        <v>87</v>
      </c>
      <c r="W67" s="369" t="s">
        <v>119</v>
      </c>
      <c r="X67" s="22"/>
      <c r="Y67" s="22"/>
      <c r="Z67" s="22"/>
    </row>
    <row r="68" spans="2:38" s="268" customFormat="1" ht="19.350000000000001" customHeight="1">
      <c r="B68" s="263"/>
      <c r="C68" s="370"/>
      <c r="D68" s="797"/>
      <c r="E68" s="401" t="str">
        <f>"その他（"&amp;U68&amp;"）"</f>
        <v>その他（）</v>
      </c>
      <c r="F68" s="361"/>
      <c r="G68" s="361"/>
      <c r="H68" s="296"/>
      <c r="I68" s="14"/>
      <c r="J68" s="15"/>
      <c r="K68" s="297" t="str">
        <f t="shared" si="15"/>
        <v/>
      </c>
      <c r="L68" s="298" t="s">
        <v>68</v>
      </c>
      <c r="M68" s="1078"/>
      <c r="N68" s="590"/>
      <c r="O68" s="263"/>
      <c r="P68" s="409"/>
      <c r="Q68" s="409"/>
      <c r="R68" s="409"/>
      <c r="S68" s="409"/>
      <c r="T68" s="263"/>
      <c r="U68" s="26"/>
      <c r="V68" s="222"/>
      <c r="W68" s="221"/>
      <c r="X68" s="22"/>
      <c r="Y68" s="22"/>
      <c r="Z68" s="22"/>
      <c r="AH68" s="8"/>
      <c r="AI68" s="8"/>
      <c r="AJ68" s="8"/>
      <c r="AK68" s="8"/>
      <c r="AL68" s="8"/>
    </row>
    <row r="69" spans="2:38" s="268" customFormat="1" ht="19.350000000000001" customHeight="1">
      <c r="B69" s="263"/>
      <c r="C69" s="370"/>
      <c r="D69" s="798"/>
      <c r="E69" s="410"/>
      <c r="F69" s="411" t="s">
        <v>5285</v>
      </c>
      <c r="G69" s="328"/>
      <c r="H69" s="406"/>
      <c r="I69" s="188"/>
      <c r="J69" s="189"/>
      <c r="K69" s="412" t="str">
        <f t="shared" si="15"/>
        <v/>
      </c>
      <c r="L69" s="413" t="s">
        <v>68</v>
      </c>
      <c r="M69" s="1079"/>
      <c r="N69" s="414"/>
      <c r="O69" s="263"/>
      <c r="P69" s="409"/>
      <c r="Q69" s="409"/>
      <c r="R69" s="409"/>
      <c r="S69" s="409"/>
      <c r="T69" s="263"/>
      <c r="U69" s="415" t="s">
        <v>5285</v>
      </c>
      <c r="V69" s="416" t="str">
        <f>IF(V68="","",V68)</f>
        <v/>
      </c>
      <c r="W69" s="417"/>
      <c r="X69" s="22"/>
      <c r="Y69" s="22"/>
      <c r="Z69" s="22"/>
      <c r="AH69" s="8"/>
      <c r="AI69" s="8"/>
      <c r="AJ69" s="8"/>
      <c r="AK69" s="8"/>
    </row>
    <row r="70" spans="2:38" s="268" customFormat="1" ht="14.1" customHeight="1">
      <c r="B70" s="263"/>
      <c r="C70" s="370"/>
      <c r="D70" s="418"/>
      <c r="E70" s="419"/>
      <c r="F70" s="419"/>
      <c r="G70" s="419"/>
      <c r="H70" s="419"/>
      <c r="I70" s="419"/>
      <c r="J70" s="419"/>
      <c r="K70" s="419"/>
      <c r="L70" s="419"/>
      <c r="M70" s="419"/>
      <c r="N70" s="420"/>
      <c r="O70" s="263"/>
      <c r="P70" s="409"/>
      <c r="Q70" s="409"/>
      <c r="R70" s="409"/>
      <c r="S70" s="409"/>
      <c r="T70" s="263"/>
      <c r="U70" s="329"/>
      <c r="V70" s="329"/>
      <c r="W70" s="329"/>
      <c r="X70" s="22"/>
      <c r="Y70" s="22"/>
      <c r="Z70" s="22"/>
      <c r="AH70" s="8"/>
      <c r="AI70" s="8"/>
      <c r="AJ70" s="8"/>
      <c r="AK70" s="8"/>
    </row>
    <row r="71" spans="2:38" s="268" customFormat="1" ht="19.350000000000001" customHeight="1">
      <c r="B71" s="263"/>
      <c r="C71" s="370"/>
      <c r="D71" s="421"/>
      <c r="E71" s="422"/>
      <c r="F71" s="422"/>
      <c r="G71" s="422"/>
      <c r="H71" s="422"/>
      <c r="I71" s="422"/>
      <c r="J71" s="422"/>
      <c r="K71" s="422"/>
      <c r="L71" s="422"/>
      <c r="M71" s="422"/>
      <c r="N71" s="423"/>
      <c r="O71" s="263"/>
      <c r="P71" s="409"/>
      <c r="Q71" s="409"/>
      <c r="R71" s="409"/>
      <c r="S71" s="409"/>
      <c r="T71" s="263"/>
      <c r="U71" s="304" t="s">
        <v>5313</v>
      </c>
      <c r="V71" s="369" t="s">
        <v>87</v>
      </c>
      <c r="W71" s="263"/>
      <c r="X71" s="22"/>
      <c r="Y71" s="22"/>
      <c r="Z71" s="22"/>
      <c r="AH71" s="8"/>
      <c r="AI71" s="8"/>
      <c r="AJ71" s="8"/>
      <c r="AK71" s="8"/>
    </row>
    <row r="72" spans="2:38" s="268" customFormat="1" ht="32.1" customHeight="1">
      <c r="B72" s="263"/>
      <c r="C72" s="405"/>
      <c r="D72" s="781" t="s">
        <v>5312</v>
      </c>
      <c r="E72" s="394" t="s">
        <v>5043</v>
      </c>
      <c r="F72" s="284"/>
      <c r="G72" s="284"/>
      <c r="H72" s="395"/>
      <c r="I72" s="11"/>
      <c r="J72" s="12"/>
      <c r="K72" s="424" t="str">
        <f t="shared" ref="K72:K75" si="17">IF(I72="","",SUM(I72)-SUM(J72))</f>
        <v/>
      </c>
      <c r="L72" s="286" t="s">
        <v>68</v>
      </c>
      <c r="M72" s="1072" t="str">
        <f>IF($T$1=2022,"----------",IFERROR(IF(V72="","",$K72*V72),""))</f>
        <v/>
      </c>
      <c r="N72" s="425"/>
      <c r="O72" s="263"/>
      <c r="P72" s="396"/>
      <c r="Q72" s="396"/>
      <c r="R72" s="396"/>
      <c r="S72" s="396"/>
      <c r="T72" s="263"/>
      <c r="U72" s="171" t="s">
        <v>5043</v>
      </c>
      <c r="V72" s="222"/>
      <c r="W72" s="376"/>
      <c r="X72" s="22"/>
      <c r="Y72" s="22"/>
      <c r="Z72" s="22"/>
      <c r="AH72" s="8"/>
      <c r="AI72" s="8"/>
      <c r="AJ72" s="8"/>
      <c r="AK72" s="8"/>
    </row>
    <row r="73" spans="2:38" ht="32.1" customHeight="1">
      <c r="C73" s="370"/>
      <c r="D73" s="782"/>
      <c r="E73" s="402" t="s">
        <v>5044</v>
      </c>
      <c r="F73" s="361"/>
      <c r="G73" s="361"/>
      <c r="H73" s="296"/>
      <c r="I73" s="14"/>
      <c r="J73" s="15"/>
      <c r="K73" s="297" t="str">
        <f t="shared" si="17"/>
        <v/>
      </c>
      <c r="L73" s="298" t="s">
        <v>68</v>
      </c>
      <c r="M73" s="1073" t="str">
        <f>IF($T$1=2022,"----------",IFERROR(IF(V73="","",$K73*V73),""))</f>
        <v/>
      </c>
      <c r="N73" s="426"/>
      <c r="O73" s="263"/>
      <c r="P73" s="396"/>
      <c r="Q73" s="396"/>
      <c r="R73" s="396"/>
      <c r="S73" s="396"/>
      <c r="T73" s="263"/>
      <c r="U73" s="171" t="s">
        <v>5044</v>
      </c>
      <c r="V73" s="222"/>
      <c r="W73" s="263"/>
      <c r="X73" s="22"/>
      <c r="AL73" s="268"/>
    </row>
    <row r="74" spans="2:38" ht="32.1" customHeight="1">
      <c r="C74" s="370"/>
      <c r="D74" s="782"/>
      <c r="E74" s="402" t="s">
        <v>5045</v>
      </c>
      <c r="F74" s="361"/>
      <c r="G74" s="361"/>
      <c r="H74" s="296"/>
      <c r="I74" s="14"/>
      <c r="J74" s="15"/>
      <c r="K74" s="297" t="str">
        <f t="shared" si="17"/>
        <v/>
      </c>
      <c r="L74" s="298" t="s">
        <v>68</v>
      </c>
      <c r="M74" s="1073" t="str">
        <f>IF($T$1=2022,"----------",IFERROR(IF(V74="","",$K74*V74),""))</f>
        <v/>
      </c>
      <c r="N74" s="426"/>
      <c r="O74" s="263"/>
      <c r="P74" s="396"/>
      <c r="Q74" s="396"/>
      <c r="R74" s="396"/>
      <c r="S74" s="396"/>
      <c r="T74" s="263"/>
      <c r="U74" s="171" t="s">
        <v>5045</v>
      </c>
      <c r="V74" s="222"/>
      <c r="W74" s="263"/>
      <c r="X74" s="22"/>
      <c r="AL74" s="268"/>
    </row>
    <row r="75" spans="2:38" ht="32.1" customHeight="1">
      <c r="C75" s="370"/>
      <c r="D75" s="782"/>
      <c r="E75" s="402" t="s">
        <v>5046</v>
      </c>
      <c r="F75" s="361"/>
      <c r="G75" s="361"/>
      <c r="H75" s="296"/>
      <c r="I75" s="14"/>
      <c r="J75" s="15"/>
      <c r="K75" s="297" t="str">
        <f t="shared" si="17"/>
        <v/>
      </c>
      <c r="L75" s="298" t="s">
        <v>68</v>
      </c>
      <c r="M75" s="1073" t="str">
        <f>IF($T$1=2022,"----------",IFERROR(IF(V75="","",$K75*V75),""))</f>
        <v/>
      </c>
      <c r="N75" s="426"/>
      <c r="O75" s="263"/>
      <c r="P75" s="396"/>
      <c r="Q75" s="396"/>
      <c r="R75" s="396"/>
      <c r="S75" s="396"/>
      <c r="T75" s="263"/>
      <c r="U75" s="171" t="s">
        <v>5046</v>
      </c>
      <c r="V75" s="222"/>
      <c r="W75" s="263"/>
      <c r="X75" s="22"/>
      <c r="AC75" s="427"/>
      <c r="AF75" s="427"/>
      <c r="AG75" s="427"/>
    </row>
    <row r="76" spans="2:38" ht="32.1" customHeight="1" thickBot="1">
      <c r="C76" s="370"/>
      <c r="D76" s="783"/>
      <c r="E76" s="428" t="str">
        <f>"その他 （"&amp;U76&amp;"）"</f>
        <v>その他 （）</v>
      </c>
      <c r="F76" s="429"/>
      <c r="G76" s="429"/>
      <c r="H76" s="430"/>
      <c r="I76" s="27"/>
      <c r="J76" s="28"/>
      <c r="K76" s="431" t="str">
        <f>IF(I76="","",SUM(I76)-SUM(J76))</f>
        <v/>
      </c>
      <c r="L76" s="298" t="s">
        <v>68</v>
      </c>
      <c r="M76" s="1073" t="str">
        <f>IF($T$1=2022,"----------",IFERROR(IF(V76="","",$K76*V76),""))</f>
        <v/>
      </c>
      <c r="N76" s="432"/>
      <c r="O76" s="263"/>
      <c r="P76" s="396"/>
      <c r="Q76" s="396"/>
      <c r="R76" s="396"/>
      <c r="S76" s="396"/>
      <c r="T76" s="263"/>
      <c r="U76" s="26"/>
      <c r="V76" s="222"/>
      <c r="W76" s="263"/>
      <c r="X76" s="22"/>
      <c r="AC76" s="377"/>
      <c r="AF76" s="377"/>
      <c r="AG76" s="377"/>
    </row>
    <row r="77" spans="2:38" ht="19.350000000000001" customHeight="1" thickTop="1">
      <c r="C77" s="433"/>
      <c r="D77" s="434"/>
      <c r="E77" s="435"/>
      <c r="F77" s="436" t="s">
        <v>5047</v>
      </c>
      <c r="G77" s="437"/>
      <c r="H77" s="438"/>
      <c r="I77" s="439">
        <f>SUM(I61,I63,I65,I67,I69,I72:I76)</f>
        <v>0</v>
      </c>
      <c r="J77" s="440">
        <f>SUM(J61,J63,J65,J67,J69,J72:J76)</f>
        <v>0</v>
      </c>
      <c r="K77" s="440">
        <f>SUM(K61,K63,K65,K67,K69,K72:K76)</f>
        <v>0</v>
      </c>
      <c r="L77" s="441" t="s">
        <v>68</v>
      </c>
      <c r="M77" s="1080">
        <f>SUM(M61,M63,M65,M67,M69,M72:M76)</f>
        <v>0</v>
      </c>
      <c r="N77" s="442"/>
      <c r="O77" s="263"/>
      <c r="P77" s="263"/>
      <c r="Q77" s="263"/>
      <c r="R77" s="263"/>
      <c r="S77" s="263"/>
      <c r="T77" s="263"/>
      <c r="U77" s="376"/>
      <c r="V77" s="376"/>
      <c r="W77" s="263"/>
      <c r="X77" s="22"/>
      <c r="AC77" s="377"/>
      <c r="AD77" s="427"/>
      <c r="AE77" s="427"/>
      <c r="AF77" s="377"/>
      <c r="AG77" s="377"/>
    </row>
    <row r="78" spans="2:38" ht="19.350000000000001" customHeight="1" thickBot="1">
      <c r="C78" s="784" t="s">
        <v>72</v>
      </c>
      <c r="D78" s="785"/>
      <c r="E78" s="785"/>
      <c r="F78" s="785"/>
      <c r="G78" s="785"/>
      <c r="H78" s="786"/>
      <c r="I78" s="443">
        <f>SUM(I60,I62,I64,I66,I68,I72:I76)</f>
        <v>0</v>
      </c>
      <c r="J78" s="444">
        <f>SUM(J60,J62,J64,J66,J68,J72:J76)</f>
        <v>0</v>
      </c>
      <c r="K78" s="444">
        <f>SUM(K60,K62,K64,K66,K68,K72:K76)</f>
        <v>0</v>
      </c>
      <c r="L78" s="445" t="s">
        <v>68</v>
      </c>
      <c r="M78" s="1081">
        <f>SUM(M60,M62,M64,M66,M68,M72:M76)</f>
        <v>0</v>
      </c>
      <c r="N78" s="446">
        <f>SUM(N60:N69)</f>
        <v>0</v>
      </c>
      <c r="P78"/>
      <c r="Q78"/>
      <c r="R78"/>
      <c r="S78"/>
      <c r="U78" s="263"/>
      <c r="V78" s="263"/>
      <c r="W78" s="263"/>
      <c r="X78" s="263"/>
      <c r="Y78" s="263"/>
      <c r="Z78" s="263"/>
      <c r="AA78" s="263"/>
      <c r="AB78" s="263"/>
      <c r="AC78" s="447"/>
      <c r="AD78" s="377"/>
      <c r="AE78" s="377"/>
      <c r="AF78" s="377"/>
      <c r="AG78" s="377"/>
    </row>
    <row r="79" spans="2:38" ht="19.350000000000001" customHeight="1">
      <c r="C79" s="762" t="s">
        <v>5290</v>
      </c>
      <c r="D79" s="763"/>
      <c r="E79" s="763"/>
      <c r="F79" s="763"/>
      <c r="G79" s="763"/>
      <c r="H79" s="764"/>
      <c r="I79" s="735" t="s">
        <v>127</v>
      </c>
      <c r="J79" s="737" t="s">
        <v>40</v>
      </c>
      <c r="K79" s="739" t="s">
        <v>41</v>
      </c>
      <c r="L79" s="741" t="s">
        <v>42</v>
      </c>
      <c r="M79" s="760" t="s">
        <v>5183</v>
      </c>
      <c r="N79" s="745" t="s">
        <v>5184</v>
      </c>
      <c r="P79"/>
      <c r="Q79"/>
      <c r="R79"/>
      <c r="S79"/>
      <c r="U79" s="731" t="s">
        <v>5048</v>
      </c>
      <c r="V79" s="715" t="s">
        <v>5291</v>
      </c>
      <c r="W79" s="715" t="s">
        <v>5292</v>
      </c>
      <c r="X79" s="715" t="s">
        <v>5049</v>
      </c>
      <c r="Y79" s="715" t="s">
        <v>5392</v>
      </c>
      <c r="Z79" s="715" t="s">
        <v>5395</v>
      </c>
      <c r="AA79" s="715" t="s">
        <v>5396</v>
      </c>
      <c r="AB79" s="448"/>
      <c r="AC79" s="447"/>
      <c r="AD79" s="377"/>
      <c r="AE79" s="377"/>
      <c r="AF79" s="377"/>
      <c r="AG79" s="377"/>
    </row>
    <row r="80" spans="2:38" ht="19.350000000000001" customHeight="1">
      <c r="C80" s="790"/>
      <c r="D80" s="791"/>
      <c r="E80" s="791"/>
      <c r="F80" s="791"/>
      <c r="G80" s="791"/>
      <c r="H80" s="792"/>
      <c r="I80" s="736"/>
      <c r="J80" s="738"/>
      <c r="K80" s="740"/>
      <c r="L80" s="742"/>
      <c r="M80" s="744"/>
      <c r="N80" s="746"/>
      <c r="P80" s="278" t="s">
        <v>5255</v>
      </c>
      <c r="Q80" s="278" t="s">
        <v>5256</v>
      </c>
      <c r="R80" s="278" t="s">
        <v>5059</v>
      </c>
      <c r="S80" s="278" t="s">
        <v>5209</v>
      </c>
      <c r="U80" s="732"/>
      <c r="V80" s="716"/>
      <c r="W80" s="716"/>
      <c r="X80" s="716"/>
      <c r="Y80" s="716"/>
      <c r="Z80" s="716"/>
      <c r="AA80" s="716"/>
      <c r="AB80" s="448"/>
      <c r="AC80" s="447"/>
      <c r="AD80" s="377"/>
      <c r="AE80" s="377"/>
      <c r="AF80" s="377"/>
      <c r="AG80" s="377"/>
    </row>
    <row r="81" spans="1:34" ht="19.350000000000001" customHeight="1">
      <c r="C81" s="449"/>
      <c r="D81" s="410" t="s">
        <v>5295</v>
      </c>
      <c r="E81" s="273"/>
      <c r="F81" s="419"/>
      <c r="G81" s="419"/>
      <c r="H81" s="395"/>
      <c r="I81" s="450" t="str">
        <f>IF(COUNTBLANK(V81:W85)=10,"",SUM(I82:I83))</f>
        <v/>
      </c>
      <c r="J81" s="451"/>
      <c r="K81" s="452" t="str">
        <f>I81</f>
        <v/>
      </c>
      <c r="L81" s="453" t="s">
        <v>5190</v>
      </c>
      <c r="M81" s="1082" t="str">
        <f>IF(COUNTBLANK(V81:W85)=10,"",SUM(M82,M83))</f>
        <v/>
      </c>
      <c r="N81" s="287" t="str">
        <f>IF(COUNTBLANK(V81:W85)=10,"",SUM(N82,N83))</f>
        <v/>
      </c>
      <c r="P81" s="454"/>
      <c r="Q81" s="454"/>
      <c r="R81" s="454"/>
      <c r="S81" s="454"/>
      <c r="U81" s="227"/>
      <c r="V81" s="223"/>
      <c r="W81" s="223"/>
      <c r="X81" s="225"/>
      <c r="Y81" s="226"/>
      <c r="Z81" s="455" t="str">
        <f>IF(V81="","",V81*Y81)</f>
        <v/>
      </c>
      <c r="AA81" s="455" t="str">
        <f>IF(W81="","",W81*Y81)</f>
        <v/>
      </c>
      <c r="AB81" s="447"/>
      <c r="AC81" s="456"/>
      <c r="AD81" s="377"/>
      <c r="AE81" s="377"/>
      <c r="AF81" s="457"/>
      <c r="AG81" s="457"/>
    </row>
    <row r="82" spans="1:34" ht="19.350000000000001" customHeight="1">
      <c r="C82" s="449"/>
      <c r="D82" s="410"/>
      <c r="E82" s="334" t="s">
        <v>5318</v>
      </c>
      <c r="F82" s="334"/>
      <c r="G82" s="458"/>
      <c r="H82" s="335"/>
      <c r="I82" s="459" t="str">
        <f>IF(COUNTBLANK(V81:W85)=10,"",V86)</f>
        <v/>
      </c>
      <c r="J82" s="460"/>
      <c r="K82" s="461" t="str">
        <f t="shared" ref="K82:K85" si="18">I82</f>
        <v/>
      </c>
      <c r="L82" s="462" t="s">
        <v>5397</v>
      </c>
      <c r="M82" s="1083" t="str">
        <f>IFERROR(IF(K82="","",$K82*R82),"-------------")</f>
        <v/>
      </c>
      <c r="N82" s="299" t="str">
        <f>IF(COUNTBLANK(V81:W85)=10,"",Z86)</f>
        <v/>
      </c>
      <c r="P82" s="454" t="s">
        <v>5234</v>
      </c>
      <c r="Q82" s="454" t="s">
        <v>5234</v>
      </c>
      <c r="R82" s="454">
        <f t="shared" ref="R82:R87" si="19">IF($T$1=2022,VLOOKUP($P82,係数2022,7,0),VLOOKUP($Q82,係数2023,7,0))</f>
        <v>8.64</v>
      </c>
      <c r="S82" s="454"/>
      <c r="U82" s="227"/>
      <c r="V82" s="223"/>
      <c r="W82" s="223"/>
      <c r="X82" s="225"/>
      <c r="Y82" s="226"/>
      <c r="Z82" s="455" t="str">
        <f t="shared" ref="Z82:Z85" si="20">IF(V82="","",V82*Y82)</f>
        <v/>
      </c>
      <c r="AA82" s="455" t="str">
        <f t="shared" ref="AA82:AA85" si="21">IF(W82="","",W82*Y82)</f>
        <v/>
      </c>
      <c r="AB82" s="447"/>
      <c r="AC82" s="456"/>
      <c r="AD82" s="377"/>
      <c r="AE82" s="377"/>
      <c r="AF82" s="457"/>
      <c r="AG82" s="457"/>
    </row>
    <row r="83" spans="1:34" ht="19.350000000000001" customHeight="1">
      <c r="C83" s="449"/>
      <c r="D83" s="410"/>
      <c r="E83" s="334" t="s">
        <v>5319</v>
      </c>
      <c r="F83" s="334"/>
      <c r="G83" s="458"/>
      <c r="H83" s="463"/>
      <c r="I83" s="459" t="str">
        <f>IF(COUNTBLANK(V81:W85)=10,"",W86)</f>
        <v/>
      </c>
      <c r="J83" s="460"/>
      <c r="K83" s="461" t="str">
        <f t="shared" si="18"/>
        <v/>
      </c>
      <c r="L83" s="462" t="s">
        <v>5297</v>
      </c>
      <c r="M83" s="1083" t="str">
        <f>IFERROR(IF(K83="","",$K83*R83),"-------------")</f>
        <v/>
      </c>
      <c r="N83" s="299" t="str">
        <f>IF(COUNTBLANK(V81:W85)=10,"",AA86)</f>
        <v/>
      </c>
      <c r="P83" s="454" t="s">
        <v>5235</v>
      </c>
      <c r="Q83" s="454" t="s">
        <v>5235</v>
      </c>
      <c r="R83" s="454">
        <f t="shared" si="19"/>
        <v>8.64</v>
      </c>
      <c r="S83" s="454"/>
      <c r="U83" s="227"/>
      <c r="V83" s="223"/>
      <c r="W83" s="223"/>
      <c r="X83" s="225"/>
      <c r="Y83" s="226"/>
      <c r="Z83" s="455" t="str">
        <f t="shared" si="20"/>
        <v/>
      </c>
      <c r="AA83" s="455" t="str">
        <f t="shared" si="21"/>
        <v/>
      </c>
      <c r="AB83" s="447"/>
      <c r="AC83" s="303"/>
      <c r="AD83" s="457"/>
      <c r="AE83" s="457"/>
      <c r="AF83" s="8"/>
      <c r="AG83" s="8"/>
    </row>
    <row r="84" spans="1:34" ht="19.350000000000001" customHeight="1">
      <c r="C84" s="464" t="s">
        <v>5050</v>
      </c>
      <c r="D84" s="465"/>
      <c r="E84" s="39"/>
      <c r="F84" s="466" t="s">
        <v>5041</v>
      </c>
      <c r="G84" s="467"/>
      <c r="H84" s="430"/>
      <c r="I84" s="468" t="str">
        <f>IF($T$1=2022,"----------",IF(COUNTBLANK(V81:W85)=10,"",SUMPRODUCT(V81:V85,X81:X85)+SUMPRODUCT(W81:W85,X81:X85)))</f>
        <v/>
      </c>
      <c r="J84" s="469"/>
      <c r="K84" s="470" t="str">
        <f>I84</f>
        <v/>
      </c>
      <c r="L84" s="471" t="s">
        <v>5190</v>
      </c>
      <c r="M84" s="1084" t="str">
        <f>IF($T$1=2022,"----------",IF(M81&lt;&gt;"",K84*R84,""))</f>
        <v/>
      </c>
      <c r="N84" s="472"/>
      <c r="P84" s="454"/>
      <c r="Q84" s="454" t="s">
        <v>5298</v>
      </c>
      <c r="R84" s="454">
        <f t="shared" si="19"/>
        <v>8.64</v>
      </c>
      <c r="S84" s="454"/>
      <c r="U84" s="228"/>
      <c r="V84" s="223"/>
      <c r="W84" s="223"/>
      <c r="X84" s="225"/>
      <c r="Y84" s="226"/>
      <c r="Z84" s="455" t="str">
        <f t="shared" si="20"/>
        <v/>
      </c>
      <c r="AA84" s="455" t="str">
        <f t="shared" si="21"/>
        <v/>
      </c>
      <c r="AB84" s="447"/>
      <c r="AC84" s="303"/>
      <c r="AD84" s="8"/>
      <c r="AE84" s="8"/>
      <c r="AF84" s="8"/>
      <c r="AG84" s="8"/>
      <c r="AH84" s="268"/>
    </row>
    <row r="85" spans="1:34" ht="19.350000000000001" customHeight="1" thickBot="1">
      <c r="C85" s="464" t="s">
        <v>5299</v>
      </c>
      <c r="D85" s="410" t="s">
        <v>5301</v>
      </c>
      <c r="E85" s="273"/>
      <c r="F85" s="419"/>
      <c r="G85" s="419"/>
      <c r="H85" s="473"/>
      <c r="I85" s="474" t="str">
        <f>IF(COUNTBLANK(W91:W93)+COUNTBLANK(W97:W98)=5,"",W99)</f>
        <v/>
      </c>
      <c r="J85" s="475"/>
      <c r="K85" s="476" t="str">
        <f t="shared" si="18"/>
        <v/>
      </c>
      <c r="L85" s="477" t="s">
        <v>5190</v>
      </c>
      <c r="M85" s="1082" t="str">
        <f>IF(K85="","",IF(COUNTBLANK(W91:W93)+COUNTBLANK(W97:W98)=5,"",SUM(AB99)))</f>
        <v/>
      </c>
      <c r="N85" s="478" t="str">
        <f>IF(I85="","",SUMPRODUCT(W91:W93,Y91:Y93)+SUMPRODUCT(W97:W98,Y97:Y98))</f>
        <v/>
      </c>
      <c r="P85" s="479" t="s">
        <v>5300</v>
      </c>
      <c r="Q85" s="479" t="s">
        <v>5300</v>
      </c>
      <c r="R85" s="454">
        <f t="shared" si="19"/>
        <v>8.64</v>
      </c>
      <c r="S85" s="480"/>
      <c r="U85" s="229"/>
      <c r="V85" s="230"/>
      <c r="W85" s="230"/>
      <c r="X85" s="225"/>
      <c r="Y85" s="226"/>
      <c r="Z85" s="455" t="str">
        <f t="shared" si="20"/>
        <v/>
      </c>
      <c r="AA85" s="455" t="str">
        <f t="shared" si="21"/>
        <v/>
      </c>
      <c r="AB85" s="447"/>
      <c r="AC85" s="303"/>
      <c r="AD85" s="8"/>
      <c r="AE85" s="8"/>
      <c r="AF85" s="8"/>
      <c r="AG85" s="8"/>
      <c r="AH85" s="268"/>
    </row>
    <row r="86" spans="1:34" ht="19.350000000000001" customHeight="1" thickTop="1">
      <c r="C86" s="464"/>
      <c r="D86" s="465"/>
      <c r="E86" s="39"/>
      <c r="F86" s="466" t="s">
        <v>5041</v>
      </c>
      <c r="G86" s="467"/>
      <c r="H86" s="430"/>
      <c r="I86" s="468" t="str">
        <f>IF($T$1=2022,"----------",IF(COUNTBLANK(W91:W93)+COUNTBLANK(W97:W98)=5,"",SUMPRODUCT(W91:W98,X91:X98)))</f>
        <v/>
      </c>
      <c r="J86" s="469"/>
      <c r="K86" s="470" t="str">
        <f>I86</f>
        <v/>
      </c>
      <c r="L86" s="471" t="s">
        <v>5190</v>
      </c>
      <c r="M86" s="1084" t="str">
        <f>IF($T$1=2022,"----------",IF(COUNTBLANK(W91:W93)+COUNTBLANK(W97:W98)=5,"",SUM(AB99)*X99))</f>
        <v/>
      </c>
      <c r="N86" s="472"/>
      <c r="P86" s="479"/>
      <c r="Q86" s="479" t="s">
        <v>5300</v>
      </c>
      <c r="R86" s="454">
        <f t="shared" si="19"/>
        <v>8.64</v>
      </c>
      <c r="S86" s="480"/>
      <c r="U86" s="481" t="s">
        <v>118</v>
      </c>
      <c r="V86" s="482" t="str">
        <f>IF(COUNTBLANK(V81:V85)=5,"",SUM(V81:V85))</f>
        <v/>
      </c>
      <c r="W86" s="482" t="str">
        <f>IF(COUNTBLANK(W81:W85)=5,"",SUM(W81:W85))</f>
        <v/>
      </c>
      <c r="X86" s="483" t="str">
        <f>IF(COUNTBLANK(U81:U85)=5,"",
         IFERROR(
                 IF($T$1=2022,"---------------",
                        (SUMPRODUCT(V81:V85,X81:X85)+SUMPRODUCT(W81:W85,X81:X85))/SUM(V86,W86)),"使用量未入力"))</f>
        <v/>
      </c>
      <c r="Y86" s="484"/>
      <c r="Z86" s="485" t="str">
        <f>IF(COUNTBLANK(V81:V85)=5,"",SUM(Z81:Z85))</f>
        <v/>
      </c>
      <c r="AA86" s="485" t="str">
        <f>IF(COUNTBLANK(W81:W85)=5,"",SUM(AA81:AA85))</f>
        <v/>
      </c>
      <c r="AB86" s="456"/>
      <c r="AC86" s="303"/>
      <c r="AD86" s="8"/>
      <c r="AE86" s="8"/>
      <c r="AF86" s="8"/>
      <c r="AG86" s="8"/>
      <c r="AH86" s="268"/>
    </row>
    <row r="87" spans="1:34" ht="19.350000000000001" customHeight="1">
      <c r="C87" s="464"/>
      <c r="D87" s="486" t="s">
        <v>124</v>
      </c>
      <c r="E87" s="487"/>
      <c r="F87" s="488"/>
      <c r="G87" s="488"/>
      <c r="H87" s="489"/>
      <c r="I87" s="490"/>
      <c r="J87" s="491" t="str">
        <f>IF(W103="","",SUM(W103))</f>
        <v/>
      </c>
      <c r="K87" s="491" t="str">
        <f>IF(J87="","",-SUM(J87))</f>
        <v/>
      </c>
      <c r="L87" s="492" t="s">
        <v>5190</v>
      </c>
      <c r="M87" s="1085" t="str">
        <f>IF(K87="","",IF($T$1=2022,IF(X103="",K87*R87,K87*X103),$K87*X103))</f>
        <v/>
      </c>
      <c r="N87" s="493" t="str">
        <f>IF(J87="","",-SUM(Z103))</f>
        <v/>
      </c>
      <c r="P87" s="454" t="s">
        <v>5236</v>
      </c>
      <c r="Q87" s="454"/>
      <c r="R87" s="454" t="e">
        <f t="shared" si="19"/>
        <v>#N/A</v>
      </c>
      <c r="S87" s="480"/>
      <c r="U87" s="494"/>
      <c r="V87" s="447"/>
      <c r="W87" s="447"/>
      <c r="X87" s="495"/>
      <c r="Y87" s="447"/>
      <c r="Z87" s="456"/>
      <c r="AA87" s="456"/>
      <c r="AB87" s="456"/>
      <c r="AC87" s="303"/>
      <c r="AD87" s="8"/>
      <c r="AE87" s="8"/>
      <c r="AF87" s="8"/>
      <c r="AG87" s="8"/>
      <c r="AH87" s="268"/>
    </row>
    <row r="88" spans="1:34" ht="19.350000000000001" customHeight="1" thickBot="1">
      <c r="C88" s="496"/>
      <c r="D88" s="497" t="s">
        <v>5051</v>
      </c>
      <c r="E88" s="498"/>
      <c r="F88" s="498"/>
      <c r="G88" s="498"/>
      <c r="H88" s="499"/>
      <c r="I88" s="474" t="str">
        <f>IF($T$1=2022,"----------",IF(COUNTBLANK(W107:W110)=4,"",W111))</f>
        <v/>
      </c>
      <c r="J88" s="475"/>
      <c r="K88" s="476" t="str">
        <f>IF(T1=2022,"----------",IF(I88="","",SUM(I88)))</f>
        <v/>
      </c>
      <c r="L88" s="477" t="s">
        <v>5190</v>
      </c>
      <c r="M88" s="1086" t="str">
        <f>IF(COUNTBLANK(W107:W110)=4,"",K88*3.6)</f>
        <v/>
      </c>
      <c r="N88" s="500"/>
      <c r="P88" s="501"/>
      <c r="Q88" s="501"/>
      <c r="R88" s="501"/>
      <c r="S88" s="501"/>
      <c r="U88" s="494"/>
      <c r="V88" s="447"/>
      <c r="W88" s="447"/>
      <c r="X88" s="263"/>
      <c r="Y88" s="263"/>
      <c r="Z88" s="303"/>
      <c r="AA88" s="303"/>
      <c r="AB88" s="303"/>
      <c r="AC88" s="303"/>
      <c r="AD88" s="8"/>
      <c r="AE88" s="8"/>
      <c r="AF88" s="8"/>
      <c r="AG88" s="8"/>
      <c r="AH88" s="268"/>
    </row>
    <row r="89" spans="1:34" ht="19.350000000000001" customHeight="1" thickTop="1">
      <c r="C89" s="502"/>
      <c r="D89" s="434"/>
      <c r="E89" s="503"/>
      <c r="F89" s="787" t="s">
        <v>5047</v>
      </c>
      <c r="G89" s="788"/>
      <c r="H89" s="789"/>
      <c r="I89" s="504">
        <f>IF($T$1=2022,"----------",SUM(I84,I86,I88))</f>
        <v>0</v>
      </c>
      <c r="J89" s="505"/>
      <c r="K89" s="506">
        <f>IF($T$1=2022,"----------",SUM(K84,K86,K88))</f>
        <v>0</v>
      </c>
      <c r="L89" s="507" t="s">
        <v>5317</v>
      </c>
      <c r="M89" s="1080">
        <f>SUM(M84,M86,M88)</f>
        <v>0</v>
      </c>
      <c r="N89" s="508"/>
      <c r="U89" s="723" t="s">
        <v>5302</v>
      </c>
      <c r="V89" s="725"/>
      <c r="W89" s="715" t="s">
        <v>3110</v>
      </c>
      <c r="X89" s="715" t="s">
        <v>5049</v>
      </c>
      <c r="Y89" s="715" t="s">
        <v>5392</v>
      </c>
      <c r="Z89" s="715" t="s">
        <v>5393</v>
      </c>
      <c r="AA89" s="715" t="s">
        <v>3108</v>
      </c>
      <c r="AB89" s="727" t="s">
        <v>5303</v>
      </c>
      <c r="AC89" s="303"/>
      <c r="AD89" s="8"/>
      <c r="AE89" s="8"/>
      <c r="AF89" s="8"/>
      <c r="AG89" s="8"/>
      <c r="AH89" s="268"/>
    </row>
    <row r="90" spans="1:34" ht="19.350000000000001" customHeight="1" thickBot="1">
      <c r="C90" s="784" t="s">
        <v>72</v>
      </c>
      <c r="D90" s="785"/>
      <c r="E90" s="785"/>
      <c r="F90" s="785"/>
      <c r="G90" s="785"/>
      <c r="H90" s="786"/>
      <c r="I90" s="509">
        <f>SUM(I81,I85,I87,I88)</f>
        <v>0</v>
      </c>
      <c r="J90" s="510">
        <f>SUM(J87)</f>
        <v>0</v>
      </c>
      <c r="K90" s="510">
        <f>SUM(K81,K85,K87,K88)</f>
        <v>0</v>
      </c>
      <c r="L90" s="511" t="s">
        <v>5317</v>
      </c>
      <c r="M90" s="1087">
        <f>SUM(M81,M85,M87,M88)</f>
        <v>0</v>
      </c>
      <c r="N90" s="512">
        <f>SUM(N81,N85,N87)</f>
        <v>0</v>
      </c>
      <c r="P90"/>
      <c r="Q90"/>
      <c r="R90"/>
      <c r="S90"/>
      <c r="U90" s="724"/>
      <c r="V90" s="726"/>
      <c r="W90" s="716"/>
      <c r="X90" s="716"/>
      <c r="Y90" s="716"/>
      <c r="Z90" s="716"/>
      <c r="AA90" s="716"/>
      <c r="AB90" s="728"/>
      <c r="AC90" s="303"/>
      <c r="AD90" s="8"/>
      <c r="AE90" s="8"/>
      <c r="AF90" s="8"/>
      <c r="AG90" s="8"/>
      <c r="AH90" s="268"/>
    </row>
    <row r="91" spans="1:34" ht="19.350000000000001" customHeight="1">
      <c r="C91" s="513"/>
      <c r="D91" s="513"/>
      <c r="E91" s="513"/>
      <c r="F91" s="513"/>
      <c r="G91" s="513"/>
      <c r="H91" s="513"/>
      <c r="I91" s="513"/>
      <c r="J91" s="513"/>
      <c r="K91" s="513"/>
      <c r="L91" s="513"/>
      <c r="M91" s="513"/>
      <c r="N91" s="513"/>
      <c r="P91"/>
      <c r="Q91"/>
      <c r="R91"/>
      <c r="S91"/>
      <c r="U91" s="514" t="s">
        <v>5304</v>
      </c>
      <c r="V91" s="515"/>
      <c r="W91" s="223"/>
      <c r="X91" s="516">
        <v>1</v>
      </c>
      <c r="Y91" s="517"/>
      <c r="Z91" s="455" t="str">
        <f>IF(W91="","",W91*Y91)</f>
        <v/>
      </c>
      <c r="AA91" s="518">
        <v>3.6</v>
      </c>
      <c r="AB91" s="519" t="str">
        <f>IF(W91="","",W91*AA91)</f>
        <v/>
      </c>
      <c r="AC91" s="303"/>
      <c r="AD91" s="8"/>
      <c r="AE91" s="8"/>
      <c r="AF91" s="8"/>
      <c r="AG91" s="8"/>
      <c r="AH91" s="268"/>
    </row>
    <row r="92" spans="1:34" ht="19.350000000000001" customHeight="1">
      <c r="C92" s="520"/>
      <c r="D92" s="520"/>
      <c r="E92" s="520"/>
      <c r="F92" s="520"/>
      <c r="G92" s="520"/>
      <c r="H92" s="520"/>
      <c r="I92" s="520"/>
      <c r="J92" s="520"/>
      <c r="K92" s="520"/>
      <c r="L92" s="520"/>
      <c r="M92" s="520"/>
      <c r="N92" s="520"/>
      <c r="P92"/>
      <c r="Q92"/>
      <c r="R92"/>
      <c r="S92"/>
      <c r="U92" s="514" t="s">
        <v>5305</v>
      </c>
      <c r="V92" s="515"/>
      <c r="W92" s="223"/>
      <c r="X92" s="516">
        <v>1</v>
      </c>
      <c r="Y92" s="517"/>
      <c r="Z92" s="455" t="str">
        <f>IF(W92="","",W92*Y92)</f>
        <v/>
      </c>
      <c r="AA92" s="518">
        <v>3.6</v>
      </c>
      <c r="AB92" s="519" t="str">
        <f t="shared" ref="AB92" si="22">IF(W92="","",W92*AA92)</f>
        <v/>
      </c>
      <c r="AC92" s="303"/>
      <c r="AD92" s="8"/>
      <c r="AE92" s="8"/>
      <c r="AF92" s="8"/>
      <c r="AG92" s="8"/>
      <c r="AH92" s="268"/>
    </row>
    <row r="93" spans="1:34" ht="19.350000000000001" customHeight="1" thickBot="1">
      <c r="C93" s="272" t="s">
        <v>5187</v>
      </c>
      <c r="D93" s="272"/>
      <c r="I93" s="520"/>
      <c r="J93" s="520"/>
      <c r="K93" s="520"/>
      <c r="L93" s="520"/>
      <c r="M93" s="520"/>
      <c r="N93" s="520"/>
      <c r="P93"/>
      <c r="Q93"/>
      <c r="R93"/>
      <c r="S93"/>
      <c r="U93" s="514" t="s">
        <v>5306</v>
      </c>
      <c r="V93" s="515"/>
      <c r="W93" s="224"/>
      <c r="X93" s="225"/>
      <c r="Y93" s="226"/>
      <c r="Z93" s="455" t="str">
        <f>IF(W93="","",W93*Y93)</f>
        <v/>
      </c>
      <c r="AA93" s="518">
        <v>8.64</v>
      </c>
      <c r="AB93" s="519" t="str">
        <f>IF(W93="","",W93*AA93)</f>
        <v/>
      </c>
      <c r="AC93" s="303"/>
      <c r="AD93" s="8"/>
      <c r="AE93" s="8"/>
      <c r="AF93" s="8"/>
      <c r="AG93" s="8"/>
      <c r="AH93" s="268"/>
    </row>
    <row r="94" spans="1:34" ht="19.350000000000001" customHeight="1">
      <c r="C94" s="700" t="s">
        <v>5307</v>
      </c>
      <c r="D94" s="701"/>
      <c r="E94" s="701"/>
      <c r="F94" s="799"/>
      <c r="G94" s="801" t="s">
        <v>5184</v>
      </c>
      <c r="H94" s="802"/>
      <c r="I94" s="520"/>
      <c r="J94" s="520"/>
      <c r="K94" s="761"/>
      <c r="L94" s="520"/>
      <c r="M94" s="520"/>
      <c r="N94" s="520"/>
      <c r="P94"/>
      <c r="Q94"/>
      <c r="R94"/>
      <c r="S94"/>
      <c r="U94" s="521"/>
      <c r="V94" s="522"/>
      <c r="W94" s="523"/>
      <c r="X94" s="524"/>
      <c r="Y94" s="525"/>
      <c r="Z94" s="523"/>
      <c r="AA94" s="523"/>
      <c r="AB94" s="526"/>
      <c r="AC94" s="303"/>
      <c r="AD94" s="8"/>
      <c r="AE94" s="8"/>
      <c r="AH94" s="268"/>
    </row>
    <row r="95" spans="1:34" ht="19.350000000000001" customHeight="1" thickBot="1">
      <c r="C95" s="703"/>
      <c r="D95" s="704"/>
      <c r="E95" s="704"/>
      <c r="F95" s="800"/>
      <c r="G95" s="803"/>
      <c r="H95" s="804"/>
      <c r="I95" s="520"/>
      <c r="J95" s="520"/>
      <c r="K95" s="761"/>
      <c r="L95" s="520"/>
      <c r="M95" s="520"/>
      <c r="N95" s="520"/>
      <c r="P95"/>
      <c r="Q95"/>
      <c r="R95"/>
      <c r="S95"/>
      <c r="U95" s="527"/>
      <c r="V95" s="729" t="s">
        <v>79</v>
      </c>
      <c r="W95" s="715" t="s">
        <v>3110</v>
      </c>
      <c r="X95" s="715" t="s">
        <v>5049</v>
      </c>
      <c r="Y95" s="715" t="s">
        <v>5392</v>
      </c>
      <c r="Z95" s="715" t="s">
        <v>5393</v>
      </c>
      <c r="AA95" s="715" t="s">
        <v>3108</v>
      </c>
      <c r="AB95" s="727" t="s">
        <v>5303</v>
      </c>
      <c r="AC95" s="263"/>
    </row>
    <row r="96" spans="1:34" ht="19.350000000000001" customHeight="1">
      <c r="A96" s="520"/>
      <c r="B96" s="520"/>
      <c r="C96" s="528" t="s">
        <v>5191</v>
      </c>
      <c r="D96" s="528"/>
      <c r="E96" s="380"/>
      <c r="F96" s="380"/>
      <c r="G96" s="811"/>
      <c r="H96" s="812"/>
      <c r="P96"/>
      <c r="Q96"/>
      <c r="R96"/>
      <c r="S96"/>
      <c r="U96" s="527" t="s">
        <v>125</v>
      </c>
      <c r="V96" s="730"/>
      <c r="W96" s="716"/>
      <c r="X96" s="716"/>
      <c r="Y96" s="716"/>
      <c r="Z96" s="716"/>
      <c r="AA96" s="716"/>
      <c r="AB96" s="728"/>
      <c r="AC96" s="263"/>
    </row>
    <row r="97" spans="2:38" ht="19.350000000000001" customHeight="1">
      <c r="C97" s="529" t="s">
        <v>5192</v>
      </c>
      <c r="D97" s="529"/>
      <c r="E97" s="361"/>
      <c r="F97" s="361"/>
      <c r="G97" s="809"/>
      <c r="H97" s="810"/>
      <c r="P97"/>
      <c r="Q97"/>
      <c r="R97"/>
      <c r="S97"/>
      <c r="U97" s="530"/>
      <c r="V97" s="224"/>
      <c r="W97" s="224"/>
      <c r="X97" s="225"/>
      <c r="Y97" s="226"/>
      <c r="Z97" s="455" t="str">
        <f>IF(W97="","",W97*Y97)</f>
        <v/>
      </c>
      <c r="AA97" s="518">
        <f>IFERROR(IF($T$1=2022,VLOOKUP($U$96,係数2022,7,0),8.64),"-")</f>
        <v>8.64</v>
      </c>
      <c r="AB97" s="519" t="str">
        <f t="shared" ref="AB97:AB98" si="23">IF(W97="","",W97*AA97)</f>
        <v/>
      </c>
      <c r="AC97" s="263"/>
    </row>
    <row r="98" spans="2:38" ht="19.350000000000001" customHeight="1" thickBot="1">
      <c r="C98" s="529" t="s">
        <v>5193</v>
      </c>
      <c r="D98" s="529"/>
      <c r="E98" s="361"/>
      <c r="F98" s="361"/>
      <c r="G98" s="809"/>
      <c r="H98" s="810"/>
      <c r="P98"/>
      <c r="Q98"/>
      <c r="R98"/>
      <c r="S98"/>
      <c r="U98" s="531"/>
      <c r="V98" s="224"/>
      <c r="W98" s="224"/>
      <c r="X98" s="225"/>
      <c r="Y98" s="226"/>
      <c r="Z98" s="455" t="str">
        <f>IF(W98="","",W98*Y98)</f>
        <v/>
      </c>
      <c r="AA98" s="518">
        <f>IFERROR(IF($T$1=2022,VLOOKUP($U$96,係数2022,7,0),8.64),"-")</f>
        <v>8.64</v>
      </c>
      <c r="AB98" s="532" t="str">
        <f t="shared" si="23"/>
        <v/>
      </c>
      <c r="AC98" s="263"/>
    </row>
    <row r="99" spans="2:38" ht="19.350000000000001" customHeight="1" thickTop="1">
      <c r="C99" s="529" t="s">
        <v>137</v>
      </c>
      <c r="D99" s="529"/>
      <c r="E99" s="361"/>
      <c r="F99" s="361"/>
      <c r="G99" s="809"/>
      <c r="H99" s="810"/>
      <c r="P99"/>
      <c r="Q99"/>
      <c r="R99"/>
      <c r="S99"/>
      <c r="U99" s="533" t="s">
        <v>118</v>
      </c>
      <c r="V99" s="484"/>
      <c r="W99" s="534" t="str">
        <f>IF(COUNTBLANK(W91:W93)+COUNTBLANK(W97:W98)=5,"",SUM(W91:W93,W97:W98))</f>
        <v/>
      </c>
      <c r="X99" s="535" t="str">
        <f>IF(W99="","",SUM(SUMPRODUCT(W91:W93,X91:X93),SUMPRODUCT(W97:W98,X97:X98))/W99)</f>
        <v/>
      </c>
      <c r="Y99" s="484"/>
      <c r="Z99" s="536" t="str">
        <f>IF(W99="","",SUM(Z91:Z93,Z97:Z98))</f>
        <v/>
      </c>
      <c r="AA99" s="484"/>
      <c r="AB99" s="537" t="str">
        <f>IF(W99="","",SUM(AB91:AB93,AB97:AB98))</f>
        <v/>
      </c>
      <c r="AC99" s="263"/>
    </row>
    <row r="100" spans="2:38" ht="19.350000000000001" customHeight="1">
      <c r="C100" s="529" t="s">
        <v>138</v>
      </c>
      <c r="D100" s="529"/>
      <c r="E100" s="361"/>
      <c r="F100" s="361"/>
      <c r="G100" s="809"/>
      <c r="H100" s="810"/>
      <c r="P100"/>
      <c r="Q100"/>
      <c r="R100"/>
      <c r="S100"/>
      <c r="U100" s="263"/>
      <c r="V100" s="263"/>
      <c r="W100" s="263"/>
      <c r="X100" s="263"/>
      <c r="Y100" s="303"/>
      <c r="Z100" s="263"/>
      <c r="AA100" s="263"/>
      <c r="AB100" s="263"/>
      <c r="AC100" s="263"/>
      <c r="AH100" s="268"/>
    </row>
    <row r="101" spans="2:38" ht="19.350000000000001" customHeight="1">
      <c r="C101" s="529" t="s">
        <v>5194</v>
      </c>
      <c r="D101" s="529"/>
      <c r="E101" s="361"/>
      <c r="F101" s="361"/>
      <c r="G101" s="809"/>
      <c r="H101" s="810"/>
      <c r="P101"/>
      <c r="Q101"/>
      <c r="R101"/>
      <c r="S101"/>
      <c r="U101" s="719"/>
      <c r="V101" s="538"/>
      <c r="W101" s="715" t="s">
        <v>3109</v>
      </c>
      <c r="X101" s="715" t="s">
        <v>3108</v>
      </c>
      <c r="Y101" s="715" t="s">
        <v>5392</v>
      </c>
      <c r="Z101" s="715" t="s">
        <v>5394</v>
      </c>
      <c r="AA101" s="263"/>
      <c r="AB101" s="263"/>
      <c r="AC101" s="263"/>
      <c r="AH101" s="268"/>
    </row>
    <row r="102" spans="2:38" ht="19.350000000000001" customHeight="1" thickBot="1">
      <c r="C102" s="539" t="s">
        <v>5195</v>
      </c>
      <c r="D102" s="539"/>
      <c r="E102" s="429"/>
      <c r="F102" s="429"/>
      <c r="G102" s="807"/>
      <c r="H102" s="808"/>
      <c r="P102"/>
      <c r="Q102"/>
      <c r="R102"/>
      <c r="S102"/>
      <c r="U102" s="721"/>
      <c r="V102" s="540"/>
      <c r="W102" s="716"/>
      <c r="X102" s="716"/>
      <c r="Y102" s="716"/>
      <c r="Z102" s="716"/>
      <c r="AA102" s="263"/>
      <c r="AB102" s="263"/>
      <c r="AC102" s="263"/>
      <c r="AH102" s="268"/>
    </row>
    <row r="103" spans="2:38" ht="19.350000000000001" customHeight="1" thickTop="1" thickBot="1">
      <c r="C103" s="691" t="s">
        <v>140</v>
      </c>
      <c r="D103" s="692"/>
      <c r="E103" s="692"/>
      <c r="F103" s="693"/>
      <c r="G103" s="805" t="str">
        <f>IF(COUNTBLANK(G96:H102)=14,"",SUM(G96:H102))</f>
        <v/>
      </c>
      <c r="H103" s="806"/>
      <c r="P103"/>
      <c r="Q103"/>
      <c r="R103"/>
      <c r="S103"/>
      <c r="U103" s="717" t="s">
        <v>76</v>
      </c>
      <c r="V103" s="718"/>
      <c r="W103" s="223"/>
      <c r="X103" s="222"/>
      <c r="Y103" s="221"/>
      <c r="Z103" s="455" t="str">
        <f>IF(W103="","",W103*Y103)</f>
        <v/>
      </c>
      <c r="AA103" s="263"/>
      <c r="AB103" s="263"/>
      <c r="AC103" s="263"/>
      <c r="AH103" s="268"/>
    </row>
    <row r="104" spans="2:38" ht="19.350000000000001" customHeight="1">
      <c r="C104" s="273"/>
      <c r="D104" s="273"/>
      <c r="E104" s="273"/>
      <c r="F104" s="273"/>
      <c r="G104" s="541"/>
      <c r="H104" s="541"/>
      <c r="P104"/>
      <c r="Q104"/>
      <c r="R104"/>
      <c r="S104"/>
      <c r="U104" s="494"/>
      <c r="V104" s="494"/>
      <c r="W104" s="494"/>
      <c r="X104" s="494"/>
      <c r="Y104" s="494"/>
      <c r="Z104" s="494"/>
      <c r="AA104" s="494"/>
      <c r="AB104" s="263"/>
      <c r="AC104" s="263"/>
      <c r="AH104" s="268"/>
    </row>
    <row r="105" spans="2:38" s="268" customFormat="1" ht="19.350000000000001" customHeight="1">
      <c r="B105" s="263"/>
      <c r="P105"/>
      <c r="Q105"/>
      <c r="R105"/>
      <c r="S105"/>
      <c r="U105" s="719" t="s">
        <v>5052</v>
      </c>
      <c r="V105" s="720"/>
      <c r="W105" s="715" t="s">
        <v>5053</v>
      </c>
      <c r="X105" s="715" t="s">
        <v>3108</v>
      </c>
      <c r="Y105" s="263"/>
      <c r="Z105" s="303"/>
      <c r="AA105" s="263"/>
      <c r="AB105" s="263"/>
      <c r="AC105" s="263"/>
      <c r="AI105" s="8"/>
      <c r="AJ105" s="8"/>
      <c r="AK105" s="8"/>
      <c r="AL105" s="8"/>
    </row>
    <row r="106" spans="2:38" s="268" customFormat="1" ht="19.350000000000001" customHeight="1" thickBot="1">
      <c r="B106" s="263"/>
      <c r="C106" s="272" t="s">
        <v>141</v>
      </c>
      <c r="D106" s="272"/>
      <c r="P106"/>
      <c r="Q106"/>
      <c r="R106"/>
      <c r="S106"/>
      <c r="U106" s="721"/>
      <c r="V106" s="722"/>
      <c r="W106" s="716"/>
      <c r="X106" s="716"/>
      <c r="Y106" s="263"/>
      <c r="Z106" s="263"/>
      <c r="AA106" s="263"/>
      <c r="AB106" s="263"/>
      <c r="AC106" s="263"/>
      <c r="AI106" s="8"/>
      <c r="AJ106" s="8"/>
      <c r="AK106" s="8"/>
      <c r="AL106" s="8"/>
    </row>
    <row r="107" spans="2:38" s="268" customFormat="1" ht="19.350000000000001" customHeight="1">
      <c r="B107" s="263"/>
      <c r="C107" s="700" t="s">
        <v>5308</v>
      </c>
      <c r="D107" s="701"/>
      <c r="E107" s="701"/>
      <c r="F107" s="799"/>
      <c r="G107" s="801" t="s">
        <v>5184</v>
      </c>
      <c r="H107" s="802"/>
      <c r="P107"/>
      <c r="Q107"/>
      <c r="R107"/>
      <c r="S107"/>
      <c r="U107" s="542" t="s">
        <v>5054</v>
      </c>
      <c r="V107" s="543"/>
      <c r="W107" s="223"/>
      <c r="X107" s="544">
        <v>3.6</v>
      </c>
      <c r="Y107" s="447"/>
      <c r="Z107" s="263"/>
      <c r="AA107" s="263"/>
      <c r="AB107" s="263"/>
      <c r="AC107" s="263"/>
      <c r="AI107" s="8"/>
      <c r="AJ107" s="8"/>
      <c r="AK107" s="8"/>
      <c r="AL107" s="8"/>
    </row>
    <row r="108" spans="2:38" s="268" customFormat="1" ht="19.350000000000001" customHeight="1" thickBot="1">
      <c r="B108" s="263"/>
      <c r="C108" s="703"/>
      <c r="D108" s="704"/>
      <c r="E108" s="704"/>
      <c r="F108" s="800"/>
      <c r="G108" s="803"/>
      <c r="H108" s="804"/>
      <c r="P108"/>
      <c r="Q108"/>
      <c r="R108"/>
      <c r="S108"/>
      <c r="U108" s="542" t="s">
        <v>5055</v>
      </c>
      <c r="V108" s="543"/>
      <c r="W108" s="223"/>
      <c r="X108" s="544">
        <v>3.6</v>
      </c>
      <c r="Y108" s="447"/>
      <c r="Z108" s="263"/>
      <c r="AA108" s="263"/>
      <c r="AB108" s="263"/>
      <c r="AC108" s="263"/>
      <c r="AI108" s="8"/>
      <c r="AJ108" s="8"/>
      <c r="AK108" s="8"/>
      <c r="AL108" s="8"/>
    </row>
    <row r="109" spans="2:38" s="268" customFormat="1" ht="19.350000000000001" customHeight="1">
      <c r="B109" s="263"/>
      <c r="C109" s="819"/>
      <c r="D109" s="820"/>
      <c r="E109" s="820"/>
      <c r="F109" s="821"/>
      <c r="G109" s="811"/>
      <c r="H109" s="812"/>
      <c r="P109"/>
      <c r="Q109"/>
      <c r="R109"/>
      <c r="S109"/>
      <c r="U109" s="542" t="s">
        <v>5056</v>
      </c>
      <c r="V109" s="543"/>
      <c r="W109" s="223"/>
      <c r="X109" s="544">
        <v>3.6</v>
      </c>
      <c r="Y109" s="447"/>
      <c r="Z109" s="263"/>
      <c r="AA109" s="263"/>
      <c r="AB109" s="263"/>
      <c r="AC109" s="263"/>
      <c r="AI109" s="8"/>
      <c r="AJ109" s="8"/>
      <c r="AK109" s="8"/>
      <c r="AL109" s="8"/>
    </row>
    <row r="110" spans="2:38" s="268" customFormat="1" ht="19.350000000000001" customHeight="1" thickBot="1">
      <c r="B110" s="263"/>
      <c r="C110" s="816"/>
      <c r="D110" s="817"/>
      <c r="E110" s="817"/>
      <c r="F110" s="818"/>
      <c r="G110" s="809"/>
      <c r="H110" s="810"/>
      <c r="P110"/>
      <c r="Q110"/>
      <c r="R110"/>
      <c r="S110"/>
      <c r="U110" s="542" t="s">
        <v>5057</v>
      </c>
      <c r="V110" s="543"/>
      <c r="W110" s="223"/>
      <c r="X110" s="544">
        <v>3.6</v>
      </c>
      <c r="Y110" s="263"/>
      <c r="Z110" s="263"/>
      <c r="AA110" s="263"/>
      <c r="AB110" s="263"/>
      <c r="AC110" s="263"/>
      <c r="AI110" s="8"/>
      <c r="AJ110" s="8"/>
      <c r="AK110" s="8"/>
      <c r="AL110" s="8"/>
    </row>
    <row r="111" spans="2:38" s="268" customFormat="1" ht="19.350000000000001" customHeight="1" thickTop="1">
      <c r="B111" s="263"/>
      <c r="C111" s="816"/>
      <c r="D111" s="817"/>
      <c r="E111" s="817"/>
      <c r="F111" s="818"/>
      <c r="G111" s="809"/>
      <c r="H111" s="810"/>
      <c r="P111"/>
      <c r="Q111"/>
      <c r="R111"/>
      <c r="S111"/>
      <c r="U111" s="545" t="s">
        <v>118</v>
      </c>
      <c r="V111" s="546"/>
      <c r="W111" s="482">
        <f>SUM(W107:W110)</f>
        <v>0</v>
      </c>
      <c r="X111" s="484"/>
      <c r="Y111" s="303"/>
      <c r="Z111" s="263"/>
      <c r="AA111" s="263"/>
      <c r="AB111" s="263"/>
      <c r="AC111" s="263"/>
      <c r="AH111" s="8"/>
      <c r="AI111" s="8"/>
      <c r="AJ111" s="8"/>
      <c r="AK111" s="8"/>
    </row>
    <row r="112" spans="2:38" s="268" customFormat="1" ht="19.350000000000001" customHeight="1">
      <c r="B112" s="263"/>
      <c r="C112" s="816"/>
      <c r="D112" s="817"/>
      <c r="E112" s="817"/>
      <c r="F112" s="818"/>
      <c r="G112" s="809"/>
      <c r="H112" s="810"/>
      <c r="P112"/>
      <c r="Q112"/>
      <c r="R112"/>
      <c r="S112"/>
      <c r="U112" s="263"/>
      <c r="V112" s="263"/>
      <c r="W112" s="263"/>
      <c r="X112" s="263"/>
      <c r="Y112" s="263"/>
      <c r="Z112" s="263"/>
      <c r="AA112" s="263"/>
      <c r="AB112" s="263"/>
      <c r="AC112" s="263"/>
      <c r="AH112" s="8"/>
      <c r="AI112" s="8"/>
      <c r="AJ112" s="8"/>
      <c r="AK112" s="8"/>
    </row>
    <row r="113" spans="2:38" s="268" customFormat="1" ht="19.350000000000001" customHeight="1">
      <c r="B113" s="263"/>
      <c r="C113" s="816"/>
      <c r="D113" s="817"/>
      <c r="E113" s="817"/>
      <c r="F113" s="818"/>
      <c r="G113" s="809"/>
      <c r="H113" s="810"/>
      <c r="P113"/>
      <c r="Q113"/>
      <c r="R113"/>
      <c r="S113"/>
      <c r="U113" s="263"/>
      <c r="V113" s="263"/>
      <c r="W113" s="263"/>
      <c r="X113" s="263"/>
      <c r="Y113" s="263"/>
      <c r="Z113" s="263"/>
      <c r="AA113" s="263"/>
      <c r="AB113" s="263"/>
      <c r="AC113" s="263"/>
      <c r="AH113" s="8"/>
      <c r="AI113" s="8"/>
      <c r="AJ113" s="8"/>
      <c r="AK113" s="8"/>
    </row>
    <row r="114" spans="2:38" s="268" customFormat="1" ht="19.350000000000001" customHeight="1">
      <c r="B114" s="263"/>
      <c r="C114" s="816"/>
      <c r="D114" s="817"/>
      <c r="E114" s="817"/>
      <c r="F114" s="818"/>
      <c r="G114" s="809"/>
      <c r="H114" s="810"/>
      <c r="P114"/>
      <c r="Q114"/>
      <c r="R114"/>
      <c r="S114"/>
      <c r="U114" s="263"/>
      <c r="V114" s="263"/>
      <c r="W114" s="263"/>
      <c r="X114" s="263"/>
      <c r="Y114" s="263"/>
      <c r="Z114" s="263"/>
      <c r="AA114" s="263"/>
      <c r="AB114" s="263"/>
      <c r="AC114" s="263"/>
      <c r="AH114" s="8"/>
      <c r="AI114" s="8"/>
      <c r="AJ114" s="8"/>
      <c r="AK114" s="8"/>
    </row>
    <row r="115" spans="2:38" s="268" customFormat="1" ht="19.350000000000001" customHeight="1" thickBot="1">
      <c r="B115" s="263"/>
      <c r="C115" s="813"/>
      <c r="D115" s="814"/>
      <c r="E115" s="814"/>
      <c r="F115" s="815"/>
      <c r="G115" s="807"/>
      <c r="H115" s="808"/>
      <c r="P115"/>
      <c r="Q115"/>
      <c r="R115"/>
      <c r="S115"/>
      <c r="AH115" s="8"/>
      <c r="AI115" s="8"/>
      <c r="AJ115" s="8"/>
      <c r="AK115" s="8"/>
    </row>
    <row r="116" spans="2:38" s="268" customFormat="1" ht="18" customHeight="1" thickTop="1" thickBot="1">
      <c r="B116" s="263"/>
      <c r="C116" s="691" t="s">
        <v>140</v>
      </c>
      <c r="D116" s="692"/>
      <c r="E116" s="692"/>
      <c r="F116" s="693"/>
      <c r="G116" s="689" t="str">
        <f>IF(COUNTBLANK(G109:H115)=14,"",SUM(G109:H115))</f>
        <v/>
      </c>
      <c r="H116" s="690"/>
      <c r="P116"/>
      <c r="Q116"/>
      <c r="R116"/>
      <c r="S116"/>
      <c r="AH116" s="8"/>
      <c r="AI116" s="8"/>
      <c r="AJ116" s="8"/>
      <c r="AK116" s="8"/>
    </row>
    <row r="117" spans="2:38" s="268" customFormat="1" ht="18.600000000000001" customHeight="1">
      <c r="B117" s="263"/>
      <c r="O117" s="8"/>
      <c r="P117"/>
      <c r="Q117"/>
      <c r="R117"/>
      <c r="S117"/>
      <c r="AH117" s="8"/>
      <c r="AI117" s="8"/>
      <c r="AJ117" s="8"/>
      <c r="AK117" s="8"/>
    </row>
    <row r="118" spans="2:38" s="268" customFormat="1" ht="18.600000000000001" customHeight="1" thickBot="1">
      <c r="B118" s="263"/>
      <c r="C118" s="272" t="s">
        <v>143</v>
      </c>
      <c r="D118" s="272"/>
      <c r="O118" s="8"/>
      <c r="P118"/>
      <c r="Q118"/>
      <c r="R118"/>
      <c r="S118"/>
      <c r="AH118" s="8"/>
      <c r="AI118" s="8"/>
      <c r="AJ118" s="8"/>
      <c r="AK118" s="8"/>
    </row>
    <row r="119" spans="2:38" s="268" customFormat="1" ht="18" customHeight="1">
      <c r="B119" s="263"/>
      <c r="C119" s="700" t="s">
        <v>142</v>
      </c>
      <c r="D119" s="701"/>
      <c r="E119" s="701"/>
      <c r="F119" s="701"/>
      <c r="G119" s="701"/>
      <c r="H119" s="702"/>
      <c r="O119" s="8"/>
      <c r="P119"/>
      <c r="Q119"/>
      <c r="R119"/>
      <c r="S119"/>
      <c r="T119" s="8"/>
      <c r="AH119" s="8"/>
      <c r="AI119" s="8"/>
      <c r="AJ119" s="8"/>
      <c r="AK119" s="8"/>
    </row>
    <row r="120" spans="2:38" s="268" customFormat="1" ht="18" customHeight="1" thickBot="1">
      <c r="B120" s="263"/>
      <c r="C120" s="703"/>
      <c r="D120" s="704"/>
      <c r="E120" s="704"/>
      <c r="F120" s="704"/>
      <c r="G120" s="704"/>
      <c r="H120" s="705"/>
      <c r="P120"/>
      <c r="Q120"/>
      <c r="R120"/>
      <c r="S120"/>
      <c r="T120" s="8"/>
      <c r="Z120" s="377"/>
      <c r="AH120" s="8"/>
      <c r="AI120" s="8"/>
      <c r="AJ120" s="8"/>
      <c r="AK120" s="8"/>
    </row>
    <row r="121" spans="2:38" s="268" customFormat="1" ht="18.600000000000001" customHeight="1">
      <c r="B121" s="263"/>
      <c r="C121" s="697" t="s">
        <v>77</v>
      </c>
      <c r="D121" s="698"/>
      <c r="E121" s="698"/>
      <c r="F121" s="699"/>
      <c r="G121" s="710"/>
      <c r="H121" s="711"/>
      <c r="P121"/>
      <c r="Q121"/>
      <c r="R121"/>
      <c r="S121"/>
      <c r="T121" s="8"/>
      <c r="Z121" s="377"/>
      <c r="AH121" s="8"/>
      <c r="AI121" s="8"/>
      <c r="AJ121" s="8"/>
      <c r="AK121" s="8"/>
    </row>
    <row r="122" spans="2:38" s="268" customFormat="1">
      <c r="B122" s="263"/>
      <c r="C122" s="694" t="s">
        <v>161</v>
      </c>
      <c r="D122" s="695"/>
      <c r="E122" s="695"/>
      <c r="F122" s="696"/>
      <c r="G122" s="708"/>
      <c r="H122" s="709"/>
      <c r="P122"/>
      <c r="Q122"/>
      <c r="R122"/>
      <c r="S122"/>
      <c r="Z122" s="377"/>
      <c r="AH122" s="8"/>
      <c r="AI122" s="8"/>
      <c r="AJ122" s="8"/>
      <c r="AK122" s="8"/>
    </row>
    <row r="123" spans="2:38" ht="18" thickBot="1">
      <c r="C123" s="712" t="s">
        <v>160</v>
      </c>
      <c r="D123" s="713"/>
      <c r="E123" s="713"/>
      <c r="F123" s="714"/>
      <c r="G123" s="706"/>
      <c r="H123" s="707"/>
      <c r="I123" s="270"/>
      <c r="P123"/>
      <c r="Q123"/>
      <c r="R123"/>
      <c r="S123"/>
      <c r="Z123" s="8"/>
      <c r="AL123" s="268"/>
    </row>
    <row r="124" spans="2:38" s="268" customFormat="1">
      <c r="B124" s="263"/>
      <c r="H124" s="270"/>
      <c r="P124"/>
      <c r="Q124"/>
      <c r="R124"/>
      <c r="S124"/>
      <c r="Z124" s="8"/>
      <c r="AH124" s="8"/>
      <c r="AI124" s="8"/>
      <c r="AJ124" s="8"/>
      <c r="AK124" s="8"/>
    </row>
    <row r="125" spans="2:38">
      <c r="Z125" s="8"/>
    </row>
    <row r="126" spans="2:38">
      <c r="AL126" s="268"/>
    </row>
    <row r="127" spans="2:38">
      <c r="U127" s="8"/>
      <c r="V127" s="8"/>
      <c r="W127" s="8"/>
    </row>
  </sheetData>
  <sheetProtection algorithmName="SHA-512" hashValue="iQfELlW0jHxLnJiLbIUL9hdlaeFwB3ExFI2e6vL8IqYrvGfknrRBzxw5Zejro//z7vG+U7OH5nmM3x6HV9AnWg==" saltValue="+K7WC2l1RPCIiswUSrbzHQ==" spinCount="100000" sheet="1" objects="1" scenarios="1" selectLockedCells="1"/>
  <mergeCells count="118">
    <mergeCell ref="C107:F108"/>
    <mergeCell ref="G107:H108"/>
    <mergeCell ref="C115:F115"/>
    <mergeCell ref="C114:F114"/>
    <mergeCell ref="C113:F113"/>
    <mergeCell ref="C112:F112"/>
    <mergeCell ref="C111:F111"/>
    <mergeCell ref="C110:F110"/>
    <mergeCell ref="C109:F109"/>
    <mergeCell ref="G115:H115"/>
    <mergeCell ref="G114:H114"/>
    <mergeCell ref="G113:H113"/>
    <mergeCell ref="G112:H112"/>
    <mergeCell ref="G111:H111"/>
    <mergeCell ref="G110:H110"/>
    <mergeCell ref="G109:H109"/>
    <mergeCell ref="C103:F103"/>
    <mergeCell ref="C94:F95"/>
    <mergeCell ref="G94:H95"/>
    <mergeCell ref="G103:H103"/>
    <mergeCell ref="G102:H102"/>
    <mergeCell ref="G101:H101"/>
    <mergeCell ref="G100:H100"/>
    <mergeCell ref="G99:H99"/>
    <mergeCell ref="G98:H98"/>
    <mergeCell ref="G97:H97"/>
    <mergeCell ref="G96:H96"/>
    <mergeCell ref="M1:N1"/>
    <mergeCell ref="I4:I5"/>
    <mergeCell ref="J4:J5"/>
    <mergeCell ref="K4:K5"/>
    <mergeCell ref="L4:L5"/>
    <mergeCell ref="M4:M5"/>
    <mergeCell ref="N4:N5"/>
    <mergeCell ref="N37:N38"/>
    <mergeCell ref="D60:D69"/>
    <mergeCell ref="L79:L80"/>
    <mergeCell ref="M79:M80"/>
    <mergeCell ref="N79:N80"/>
    <mergeCell ref="K94:K95"/>
    <mergeCell ref="C4:H5"/>
    <mergeCell ref="C36:H36"/>
    <mergeCell ref="C37:H38"/>
    <mergeCell ref="C57:H57"/>
    <mergeCell ref="C58:H59"/>
    <mergeCell ref="I79:I80"/>
    <mergeCell ref="J79:J80"/>
    <mergeCell ref="K79:K80"/>
    <mergeCell ref="D49:E50"/>
    <mergeCell ref="F24:F25"/>
    <mergeCell ref="D17:E18"/>
    <mergeCell ref="D19:E20"/>
    <mergeCell ref="D72:D76"/>
    <mergeCell ref="C90:H90"/>
    <mergeCell ref="F89:H89"/>
    <mergeCell ref="C79:H80"/>
    <mergeCell ref="C78:H78"/>
    <mergeCell ref="V20:W20"/>
    <mergeCell ref="X20:Y20"/>
    <mergeCell ref="U8:U9"/>
    <mergeCell ref="V8:W9"/>
    <mergeCell ref="X9:Y9"/>
    <mergeCell ref="X10:Y10"/>
    <mergeCell ref="U15:U16"/>
    <mergeCell ref="V15:W16"/>
    <mergeCell ref="X16:Y16"/>
    <mergeCell ref="W31:X31"/>
    <mergeCell ref="I58:I59"/>
    <mergeCell ref="J58:J59"/>
    <mergeCell ref="K58:K59"/>
    <mergeCell ref="L58:L59"/>
    <mergeCell ref="M58:M59"/>
    <mergeCell ref="N58:N59"/>
    <mergeCell ref="I37:I38"/>
    <mergeCell ref="J37:J38"/>
    <mergeCell ref="K37:K38"/>
    <mergeCell ref="L37:L38"/>
    <mergeCell ref="M37:M38"/>
    <mergeCell ref="AA79:AA80"/>
    <mergeCell ref="U89:U90"/>
    <mergeCell ref="V89:V90"/>
    <mergeCell ref="W89:W90"/>
    <mergeCell ref="X89:X90"/>
    <mergeCell ref="Y89:Y90"/>
    <mergeCell ref="Z89:Z90"/>
    <mergeCell ref="AA95:AA96"/>
    <mergeCell ref="AB95:AB96"/>
    <mergeCell ref="AA89:AA90"/>
    <mergeCell ref="AB89:AB90"/>
    <mergeCell ref="V95:V96"/>
    <mergeCell ref="W95:W96"/>
    <mergeCell ref="X95:X96"/>
    <mergeCell ref="Y95:Y96"/>
    <mergeCell ref="Z95:Z96"/>
    <mergeCell ref="U79:U80"/>
    <mergeCell ref="V79:V80"/>
    <mergeCell ref="W79:W80"/>
    <mergeCell ref="X79:X80"/>
    <mergeCell ref="Y79:Y80"/>
    <mergeCell ref="Z79:Z80"/>
    <mergeCell ref="Z101:Z102"/>
    <mergeCell ref="U103:V103"/>
    <mergeCell ref="U105:V106"/>
    <mergeCell ref="W105:W106"/>
    <mergeCell ref="X105:X106"/>
    <mergeCell ref="U101:U102"/>
    <mergeCell ref="W101:W102"/>
    <mergeCell ref="X101:X102"/>
    <mergeCell ref="Y101:Y102"/>
    <mergeCell ref="G116:H116"/>
    <mergeCell ref="C116:F116"/>
    <mergeCell ref="C122:F122"/>
    <mergeCell ref="C121:F121"/>
    <mergeCell ref="C119:H120"/>
    <mergeCell ref="G123:H123"/>
    <mergeCell ref="G122:H122"/>
    <mergeCell ref="G121:H121"/>
    <mergeCell ref="C123:F123"/>
  </mergeCells>
  <phoneticPr fontId="1"/>
  <conditionalFormatting sqref="U33">
    <cfRule type="expression" priority="1">
      <formula>T1048575=2022</formula>
    </cfRule>
  </conditionalFormatting>
  <conditionalFormatting sqref="U36">
    <cfRule type="expression" priority="2">
      <formula>T1=2022</formula>
    </cfRule>
  </conditionalFormatting>
  <conditionalFormatting sqref="AA97:AA98">
    <cfRule type="expression" dxfId="267" priority="3">
      <formula>$T$1=2022</formula>
    </cfRule>
  </conditionalFormatting>
  <dataValidations count="2">
    <dataValidation imeMode="halfAlpha" allowBlank="1" showInputMessage="1" showErrorMessage="1" sqref="V68:W69 G123 W97:X98 I60:J69 W107:X110 I72:J76 W103:Y103 G109:G115 V56:W56 I6:J34 V72:V76 G96:G102 V62:W64 W91:X94 V81:X85" xr:uid="{B8D9C6A1-C741-4A96-89A3-DB184DE205C3}"/>
    <dataValidation imeMode="hiragana" allowBlank="1" showInputMessage="1" showErrorMessage="1" sqref="C109:C115 G121:G122 U62:U64 U68:U69 V95 V97:V98 U72:U76 U81:U85 U107:V110 U37 U56 U34" xr:uid="{A932AA02-8C2F-4052-8F81-19E6493DE807}"/>
  </dataValidations>
  <printOptions horizontalCentered="1"/>
  <pageMargins left="0.70866141732283472" right="0.55118110236220474" top="0.74803149606299213" bottom="0.74803149606299213" header="0.31496062992125984" footer="0.31496062992125984"/>
  <pageSetup paperSize="8" scale="47" orientation="portrait" verticalDpi="0" r:id="rId1"/>
  <headerFooter>
    <oddHeader>&amp;L様式第１号</oddHeader>
    <oddFooter>&amp;R&amp;8（事業所等用）</oddFooter>
  </headerFooter>
  <rowBreaks count="2" manualBreakCount="2">
    <brk id="35" min="2" max="33" man="1"/>
    <brk id="75" min="2" max="33" man="1"/>
  </rowBreaks>
  <colBreaks count="1" manualBreakCount="1">
    <brk id="19" max="122"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3:Q34"/>
  <sheetViews>
    <sheetView showGridLines="0" view="pageBreakPreview" zoomScaleNormal="100" zoomScaleSheetLayoutView="100" workbookViewId="0"/>
  </sheetViews>
  <sheetFormatPr defaultColWidth="9" defaultRowHeight="16.2"/>
  <cols>
    <col min="1" max="8" width="5.6640625" style="22" customWidth="1"/>
    <col min="9" max="9" width="0.88671875" style="22" customWidth="1"/>
    <col min="10" max="38" width="5.6640625" style="22" customWidth="1"/>
    <col min="39" max="16384" width="9" style="22"/>
  </cols>
  <sheetData>
    <row r="3" spans="1:17" ht="25.5" customHeight="1">
      <c r="B3" s="672" t="s">
        <v>4140</v>
      </c>
      <c r="C3" s="672"/>
      <c r="D3" s="672"/>
      <c r="E3" s="672"/>
      <c r="F3" s="672"/>
      <c r="G3" s="672"/>
      <c r="H3" s="672"/>
      <c r="I3" s="672"/>
      <c r="J3" s="672"/>
      <c r="K3" s="672"/>
      <c r="L3" s="672"/>
      <c r="M3" s="672"/>
      <c r="N3" s="672"/>
      <c r="O3" s="672"/>
      <c r="P3" s="672"/>
    </row>
    <row r="5" spans="1:17">
      <c r="L5" s="22" t="str">
        <f>IF(はじめに!E5="","",はじめに!E5)</f>
        <v/>
      </c>
      <c r="M5" s="119" t="s">
        <v>2</v>
      </c>
      <c r="N5" s="22" t="str">
        <f>IF(はじめに!G5="","",はじめに!G5)</f>
        <v/>
      </c>
      <c r="O5" s="119" t="s">
        <v>1</v>
      </c>
      <c r="P5" s="22" t="str">
        <f>IF(はじめに!I5="","",はじめに!I5)</f>
        <v/>
      </c>
      <c r="Q5" s="119" t="s">
        <v>0</v>
      </c>
    </row>
    <row r="6" spans="1:17">
      <c r="A6" s="22" t="s">
        <v>3</v>
      </c>
    </row>
    <row r="8" spans="1:17" ht="27" customHeight="1">
      <c r="G8" s="842" t="s">
        <v>4</v>
      </c>
      <c r="H8" s="842"/>
      <c r="J8" s="846" t="str">
        <f>IF(はじめに!E7="","",はじめに!E7)</f>
        <v/>
      </c>
      <c r="K8" s="846"/>
      <c r="L8" s="846"/>
      <c r="M8" s="846"/>
      <c r="N8" s="846"/>
      <c r="O8" s="846"/>
      <c r="P8" s="846"/>
    </row>
    <row r="9" spans="1:17" ht="27" customHeight="1">
      <c r="G9" s="842" t="s">
        <v>37</v>
      </c>
      <c r="H9" s="842"/>
      <c r="J9" s="846" t="str">
        <f>IF(はじめに!E6="","",はじめに!E6)</f>
        <v/>
      </c>
      <c r="K9" s="846"/>
      <c r="L9" s="846"/>
      <c r="M9" s="846"/>
      <c r="N9" s="846"/>
      <c r="O9" s="846"/>
      <c r="P9" s="846"/>
    </row>
    <row r="10" spans="1:17" ht="27" customHeight="1">
      <c r="G10" s="842" t="s">
        <v>38</v>
      </c>
      <c r="H10" s="842"/>
      <c r="J10" s="846" t="str">
        <f>IF(はじめに!E8="","",はじめに!E8)</f>
        <v/>
      </c>
      <c r="K10" s="846"/>
      <c r="L10" s="846"/>
      <c r="M10" s="846"/>
      <c r="N10" s="846"/>
      <c r="O10" s="846"/>
      <c r="P10" s="846"/>
      <c r="Q10" s="151"/>
    </row>
    <row r="12" spans="1:17" ht="13.5" customHeight="1">
      <c r="A12" s="845" t="s">
        <v>4101</v>
      </c>
      <c r="B12" s="845"/>
      <c r="C12" s="845"/>
      <c r="D12" s="845"/>
      <c r="E12" s="845"/>
      <c r="F12" s="845"/>
      <c r="G12" s="845"/>
      <c r="H12" s="845"/>
      <c r="I12" s="845"/>
      <c r="J12" s="845"/>
      <c r="K12" s="845"/>
      <c r="L12" s="845"/>
      <c r="M12" s="845"/>
      <c r="N12" s="845"/>
      <c r="O12" s="845"/>
      <c r="P12" s="845"/>
      <c r="Q12" s="845"/>
    </row>
    <row r="13" spans="1:17">
      <c r="A13" s="845"/>
      <c r="B13" s="845"/>
      <c r="C13" s="845"/>
      <c r="D13" s="845"/>
      <c r="E13" s="845"/>
      <c r="F13" s="845"/>
      <c r="G13" s="845"/>
      <c r="H13" s="845"/>
      <c r="I13" s="845"/>
      <c r="J13" s="845"/>
      <c r="K13" s="845"/>
      <c r="L13" s="845"/>
      <c r="M13" s="845"/>
      <c r="N13" s="845"/>
      <c r="O13" s="845"/>
      <c r="P13" s="845"/>
      <c r="Q13" s="845"/>
    </row>
    <row r="15" spans="1:17" ht="27" customHeight="1">
      <c r="A15" s="683" t="s">
        <v>5</v>
      </c>
      <c r="B15" s="684"/>
      <c r="C15" s="685"/>
      <c r="D15" s="674" t="str">
        <f>IF(J9="","",J9)</f>
        <v/>
      </c>
      <c r="E15" s="674"/>
      <c r="F15" s="674"/>
      <c r="G15" s="674"/>
      <c r="H15" s="674"/>
      <c r="I15" s="674"/>
      <c r="J15" s="674"/>
      <c r="K15" s="674"/>
      <c r="L15" s="674"/>
      <c r="M15" s="674"/>
      <c r="N15" s="674"/>
      <c r="O15" s="674"/>
      <c r="P15" s="674"/>
      <c r="Q15" s="674"/>
    </row>
    <row r="16" spans="1:17" ht="27" customHeight="1">
      <c r="A16" s="683" t="s">
        <v>6</v>
      </c>
      <c r="B16" s="684"/>
      <c r="C16" s="685"/>
      <c r="D16" s="674" t="str">
        <f>IF(はじめに!E14="","",はじめに!E14)</f>
        <v/>
      </c>
      <c r="E16" s="674"/>
      <c r="F16" s="674"/>
      <c r="G16" s="674"/>
      <c r="H16" s="674"/>
      <c r="I16" s="674"/>
      <c r="J16" s="674"/>
      <c r="K16" s="674"/>
      <c r="L16" s="674"/>
      <c r="M16" s="674"/>
      <c r="N16" s="674"/>
      <c r="O16" s="674"/>
      <c r="P16" s="674"/>
      <c r="Q16" s="674"/>
    </row>
    <row r="17" spans="1:17" ht="27" customHeight="1">
      <c r="A17" s="683" t="s">
        <v>7</v>
      </c>
      <c r="B17" s="684"/>
      <c r="C17" s="685"/>
      <c r="D17" s="674" t="str">
        <f>IF(はじめに!E16="","",はじめに!E16)</f>
        <v/>
      </c>
      <c r="E17" s="674"/>
      <c r="F17" s="674"/>
      <c r="G17" s="674"/>
      <c r="H17" s="674"/>
      <c r="I17" s="674"/>
      <c r="J17" s="674"/>
      <c r="K17" s="674"/>
      <c r="L17" s="674"/>
      <c r="M17" s="674"/>
      <c r="N17" s="674"/>
      <c r="O17" s="674"/>
      <c r="P17" s="674"/>
      <c r="Q17" s="674"/>
    </row>
    <row r="18" spans="1:17" ht="18.75" customHeight="1">
      <c r="A18" s="153"/>
      <c r="B18" s="153"/>
      <c r="C18" s="153"/>
      <c r="D18" s="152"/>
      <c r="E18" s="152"/>
      <c r="F18" s="152"/>
      <c r="G18" s="152"/>
      <c r="H18" s="152"/>
      <c r="I18" s="152"/>
      <c r="J18" s="152"/>
      <c r="K18" s="152"/>
      <c r="L18" s="152"/>
      <c r="M18" s="152"/>
      <c r="N18" s="152"/>
      <c r="O18" s="152"/>
      <c r="P18" s="152"/>
    </row>
    <row r="19" spans="1:17" ht="33" customHeight="1">
      <c r="A19" s="664" t="s">
        <v>3111</v>
      </c>
      <c r="B19" s="665"/>
      <c r="C19" s="666"/>
      <c r="D19" s="120" t="str">
        <f>IF(はじめに!S10=TRUE,"〇","")</f>
        <v>〇</v>
      </c>
      <c r="E19" s="674" t="s">
        <v>4107</v>
      </c>
      <c r="F19" s="674"/>
      <c r="G19" s="674"/>
      <c r="H19" s="674"/>
      <c r="I19" s="674"/>
      <c r="J19" s="674"/>
      <c r="K19" s="674"/>
      <c r="L19" s="674"/>
      <c r="M19" s="674"/>
      <c r="N19" s="674"/>
      <c r="O19" s="674"/>
      <c r="P19" s="674"/>
      <c r="Q19" s="674"/>
    </row>
    <row r="20" spans="1:17" ht="33" customHeight="1">
      <c r="A20" s="847"/>
      <c r="B20" s="848"/>
      <c r="C20" s="849"/>
      <c r="D20" s="120" t="str">
        <f>IF(はじめに!S11=TRUE,"〇","")</f>
        <v/>
      </c>
      <c r="E20" s="674" t="s">
        <v>5198</v>
      </c>
      <c r="F20" s="674"/>
      <c r="G20" s="674"/>
      <c r="H20" s="674"/>
      <c r="I20" s="674"/>
      <c r="J20" s="674"/>
      <c r="K20" s="674"/>
      <c r="L20" s="674"/>
      <c r="M20" s="674"/>
      <c r="N20" s="674"/>
      <c r="O20" s="674"/>
      <c r="P20" s="674"/>
      <c r="Q20" s="674"/>
    </row>
    <row r="21" spans="1:17" ht="33" customHeight="1">
      <c r="A21" s="847"/>
      <c r="B21" s="848"/>
      <c r="C21" s="849"/>
      <c r="D21" s="120" t="str">
        <f>IF(はじめに!S12=TRUE,"〇","")</f>
        <v/>
      </c>
      <c r="E21" s="674" t="s">
        <v>4108</v>
      </c>
      <c r="F21" s="674"/>
      <c r="G21" s="674"/>
      <c r="H21" s="674"/>
      <c r="I21" s="674"/>
      <c r="J21" s="674"/>
      <c r="K21" s="674"/>
      <c r="L21" s="674"/>
      <c r="M21" s="674"/>
      <c r="N21" s="674"/>
      <c r="O21" s="674"/>
      <c r="P21" s="674"/>
      <c r="Q21" s="674"/>
    </row>
    <row r="22" spans="1:17" ht="33" customHeight="1">
      <c r="A22" s="667"/>
      <c r="B22" s="668"/>
      <c r="C22" s="669"/>
      <c r="D22" s="120" t="str">
        <f>IF(はじめに!S13=TRUE,"〇","")</f>
        <v/>
      </c>
      <c r="E22" s="674" t="s">
        <v>4109</v>
      </c>
      <c r="F22" s="674"/>
      <c r="G22" s="674"/>
      <c r="H22" s="674"/>
      <c r="I22" s="674"/>
      <c r="J22" s="674"/>
      <c r="K22" s="674"/>
      <c r="L22" s="674"/>
      <c r="M22" s="674"/>
      <c r="N22" s="674"/>
      <c r="O22" s="674"/>
      <c r="P22" s="674"/>
      <c r="Q22" s="674"/>
    </row>
    <row r="23" spans="1:17" ht="18.75" customHeight="1"/>
    <row r="24" spans="1:17" ht="27" customHeight="1">
      <c r="A24" s="828" t="s">
        <v>8</v>
      </c>
      <c r="B24" s="829"/>
      <c r="C24" s="830"/>
      <c r="D24" s="822" t="s">
        <v>12</v>
      </c>
      <c r="E24" s="824"/>
      <c r="F24" s="837" t="s">
        <v>13</v>
      </c>
      <c r="G24" s="661"/>
      <c r="H24" s="674" t="str">
        <f>IF(はじめに!E21="","",はじめに!E21)</f>
        <v/>
      </c>
      <c r="I24" s="674"/>
      <c r="J24" s="674"/>
      <c r="K24" s="674"/>
      <c r="L24" s="674"/>
      <c r="M24" s="674"/>
      <c r="N24" s="674"/>
      <c r="O24" s="674"/>
      <c r="P24" s="674"/>
      <c r="Q24" s="674"/>
    </row>
    <row r="25" spans="1:17" ht="27" customHeight="1">
      <c r="A25" s="831"/>
      <c r="B25" s="832"/>
      <c r="C25" s="833"/>
      <c r="D25" s="825"/>
      <c r="E25" s="827"/>
      <c r="F25" s="837" t="s">
        <v>14</v>
      </c>
      <c r="G25" s="661"/>
      <c r="H25" s="674" t="str">
        <f>IF(はじめに!E24="","",はじめに!E24)</f>
        <v/>
      </c>
      <c r="I25" s="674"/>
      <c r="J25" s="674"/>
      <c r="K25" s="674"/>
      <c r="L25" s="674"/>
      <c r="M25" s="674"/>
      <c r="N25" s="674"/>
      <c r="O25" s="674"/>
      <c r="P25" s="674"/>
      <c r="Q25" s="674"/>
    </row>
    <row r="26" spans="1:17" ht="27" customHeight="1">
      <c r="A26" s="831"/>
      <c r="B26" s="832"/>
      <c r="C26" s="833"/>
      <c r="D26" s="837" t="s">
        <v>3121</v>
      </c>
      <c r="E26" s="682"/>
      <c r="F26" s="682"/>
      <c r="G26" s="661"/>
      <c r="H26" s="674" t="str">
        <f>IF(はじめに!F22="","",はじめに!F22 &amp; "-")  &amp; IF(はじめに!H22="","",はじめに!H22)</f>
        <v/>
      </c>
      <c r="I26" s="674"/>
      <c r="J26" s="674"/>
      <c r="K26" s="674"/>
      <c r="L26" s="674"/>
      <c r="M26" s="674"/>
      <c r="N26" s="674"/>
      <c r="O26" s="674"/>
      <c r="P26" s="674"/>
      <c r="Q26" s="674"/>
    </row>
    <row r="27" spans="1:17" ht="27" customHeight="1">
      <c r="A27" s="831"/>
      <c r="B27" s="832"/>
      <c r="C27" s="833"/>
      <c r="D27" s="837" t="s">
        <v>4098</v>
      </c>
      <c r="E27" s="682"/>
      <c r="F27" s="682"/>
      <c r="G27" s="661"/>
      <c r="H27" s="674" t="str">
        <f>IF(はじめに!E23="","",はじめに!E23)</f>
        <v/>
      </c>
      <c r="I27" s="674"/>
      <c r="J27" s="674"/>
      <c r="K27" s="674"/>
      <c r="L27" s="674"/>
      <c r="M27" s="674"/>
      <c r="N27" s="674"/>
      <c r="O27" s="674"/>
      <c r="P27" s="674"/>
      <c r="Q27" s="674"/>
    </row>
    <row r="28" spans="1:17" ht="27" customHeight="1">
      <c r="A28" s="831"/>
      <c r="B28" s="832"/>
      <c r="C28" s="833"/>
      <c r="D28" s="837" t="s">
        <v>9</v>
      </c>
      <c r="E28" s="682"/>
      <c r="F28" s="682"/>
      <c r="G28" s="661"/>
      <c r="H28" s="674" t="str">
        <f>IF(はじめに!E25="","",はじめに!E25)</f>
        <v/>
      </c>
      <c r="I28" s="674"/>
      <c r="J28" s="674"/>
      <c r="K28" s="674"/>
      <c r="L28" s="674"/>
      <c r="M28" s="674"/>
      <c r="N28" s="674"/>
      <c r="O28" s="674"/>
      <c r="P28" s="674"/>
      <c r="Q28" s="674"/>
    </row>
    <row r="29" spans="1:17" ht="27" customHeight="1">
      <c r="A29" s="831"/>
      <c r="B29" s="832"/>
      <c r="C29" s="833"/>
      <c r="D29" s="837" t="s">
        <v>10</v>
      </c>
      <c r="E29" s="682"/>
      <c r="F29" s="682"/>
      <c r="G29" s="661"/>
      <c r="H29" s="674" t="str">
        <f>IF(はじめに!E26="","",はじめに!E26)</f>
        <v/>
      </c>
      <c r="I29" s="674"/>
      <c r="J29" s="674"/>
      <c r="K29" s="674"/>
      <c r="L29" s="674"/>
      <c r="M29" s="674"/>
      <c r="N29" s="674"/>
      <c r="O29" s="674"/>
      <c r="P29" s="674"/>
      <c r="Q29" s="674"/>
    </row>
    <row r="30" spans="1:17" ht="27" customHeight="1">
      <c r="A30" s="834"/>
      <c r="B30" s="835"/>
      <c r="C30" s="836"/>
      <c r="D30" s="837" t="s">
        <v>11</v>
      </c>
      <c r="E30" s="682"/>
      <c r="F30" s="682"/>
      <c r="G30" s="661"/>
      <c r="H30" s="674" t="str">
        <f>IF(はじめに!E27="","",はじめに!E27)</f>
        <v/>
      </c>
      <c r="I30" s="674"/>
      <c r="J30" s="674"/>
      <c r="K30" s="674"/>
      <c r="L30" s="674"/>
      <c r="M30" s="674"/>
      <c r="N30" s="674"/>
      <c r="O30" s="674"/>
      <c r="P30" s="674"/>
      <c r="Q30" s="674"/>
    </row>
    <row r="31" spans="1:17" ht="8.25" customHeight="1"/>
    <row r="32" spans="1:17" ht="8.25" customHeight="1"/>
    <row r="33" spans="1:17" ht="55.5" customHeight="1">
      <c r="A33" s="843" t="s">
        <v>15</v>
      </c>
      <c r="B33" s="822"/>
      <c r="C33" s="823"/>
      <c r="D33" s="823"/>
      <c r="E33" s="824"/>
      <c r="F33" s="840" t="s">
        <v>16</v>
      </c>
      <c r="G33" s="841"/>
      <c r="H33" s="838"/>
      <c r="I33" s="838"/>
      <c r="J33" s="838"/>
      <c r="K33" s="838"/>
      <c r="L33" s="838"/>
      <c r="M33" s="838"/>
      <c r="N33" s="838"/>
      <c r="O33" s="838"/>
      <c r="P33" s="838"/>
      <c r="Q33" s="838"/>
    </row>
    <row r="34" spans="1:17" ht="55.5" customHeight="1">
      <c r="A34" s="844"/>
      <c r="B34" s="825"/>
      <c r="C34" s="826"/>
      <c r="D34" s="826"/>
      <c r="E34" s="827"/>
      <c r="F34" s="837" t="s">
        <v>17</v>
      </c>
      <c r="G34" s="661"/>
      <c r="H34" s="839"/>
      <c r="I34" s="839"/>
      <c r="J34" s="839"/>
      <c r="K34" s="839"/>
      <c r="L34" s="839"/>
      <c r="M34" s="839"/>
      <c r="N34" s="839"/>
      <c r="O34" s="839"/>
      <c r="P34" s="839"/>
      <c r="Q34" s="839"/>
    </row>
  </sheetData>
  <sheetProtection algorithmName="SHA-512" hashValue="a6B1k2N8wvvfKPDTspnPLdWmmSFCtMv2AKOXlwTD91DMYNWARbHnRebHJk6PY9dALn3z//XI0zl2lzFnQvJ84A==" saltValue="PqLTzUxw2X1sv1YcEx7dWg==" spinCount="100000" sheet="1" objects="1" scenarios="1" selectLockedCells="1"/>
  <mergeCells count="41">
    <mergeCell ref="E21:Q21"/>
    <mergeCell ref="A12:Q13"/>
    <mergeCell ref="D15:Q15"/>
    <mergeCell ref="D16:Q16"/>
    <mergeCell ref="J8:P8"/>
    <mergeCell ref="J9:P9"/>
    <mergeCell ref="J10:P10"/>
    <mergeCell ref="A16:C16"/>
    <mergeCell ref="A17:C17"/>
    <mergeCell ref="D17:Q17"/>
    <mergeCell ref="E19:Q19"/>
    <mergeCell ref="E20:Q20"/>
    <mergeCell ref="A19:C22"/>
    <mergeCell ref="E22:Q22"/>
    <mergeCell ref="B3:P3"/>
    <mergeCell ref="H28:Q28"/>
    <mergeCell ref="H29:Q29"/>
    <mergeCell ref="F33:G33"/>
    <mergeCell ref="D30:G30"/>
    <mergeCell ref="F25:G25"/>
    <mergeCell ref="D24:E25"/>
    <mergeCell ref="D28:G28"/>
    <mergeCell ref="D29:G29"/>
    <mergeCell ref="D27:G27"/>
    <mergeCell ref="F24:G24"/>
    <mergeCell ref="A15:C15"/>
    <mergeCell ref="G10:H10"/>
    <mergeCell ref="G8:H8"/>
    <mergeCell ref="G9:H9"/>
    <mergeCell ref="A33:A34"/>
    <mergeCell ref="B33:E34"/>
    <mergeCell ref="A24:C30"/>
    <mergeCell ref="F34:G34"/>
    <mergeCell ref="D26:G26"/>
    <mergeCell ref="H33:Q33"/>
    <mergeCell ref="H34:Q34"/>
    <mergeCell ref="H30:Q30"/>
    <mergeCell ref="H24:Q24"/>
    <mergeCell ref="H25:Q25"/>
    <mergeCell ref="H26:Q26"/>
    <mergeCell ref="H27:Q27"/>
  </mergeCells>
  <phoneticPr fontId="1"/>
  <pageMargins left="0.70866141732283472" right="0.55118110236220474" top="0.74803149606299213" bottom="0.74803149606299213" header="0.31496062992125984" footer="0.31496062992125984"/>
  <pageSetup paperSize="9" scale="94" orientation="portrait" r:id="rId1"/>
  <headerFooter>
    <oddHeader>&amp;L様式第３号</oddHeader>
    <oddFooter>&amp;R&amp;8（事業所等用）</oddFooter>
  </headerFooter>
  <rowBreaks count="1" manualBreakCount="1">
    <brk id="34"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1">
    <tabColor rgb="FF00B0F0"/>
  </sheetPr>
  <dimension ref="A3:V47"/>
  <sheetViews>
    <sheetView showGridLines="0" view="pageBreakPreview" zoomScaleNormal="100" zoomScaleSheetLayoutView="100" workbookViewId="0"/>
  </sheetViews>
  <sheetFormatPr defaultColWidth="8.88671875" defaultRowHeight="17.399999999999999"/>
  <cols>
    <col min="1" max="4" width="4.33203125" style="8" customWidth="1"/>
    <col min="5" max="5" width="6.44140625" style="8" customWidth="1"/>
    <col min="6" max="10" width="6.6640625" style="8" customWidth="1"/>
    <col min="11" max="12" width="7.109375" style="8" customWidth="1"/>
    <col min="13" max="15" width="6.6640625" style="8" customWidth="1"/>
    <col min="16" max="16" width="7.109375" style="8" customWidth="1"/>
    <col min="17" max="17" width="6.6640625" style="8" customWidth="1"/>
    <col min="18" max="38" width="5.6640625" style="8" customWidth="1"/>
    <col min="39" max="16384" width="8.88671875" style="8"/>
  </cols>
  <sheetData>
    <row r="3" spans="1:17" ht="20.25" customHeight="1">
      <c r="B3" s="672" t="s">
        <v>5204</v>
      </c>
      <c r="C3" s="672"/>
      <c r="D3" s="672"/>
      <c r="E3" s="672"/>
      <c r="F3" s="672"/>
      <c r="G3" s="672"/>
      <c r="H3" s="672"/>
      <c r="I3" s="672"/>
      <c r="J3" s="672"/>
      <c r="K3" s="672"/>
      <c r="L3" s="672"/>
      <c r="M3" s="672"/>
      <c r="N3" s="672"/>
      <c r="O3" s="672"/>
      <c r="P3" s="672"/>
    </row>
    <row r="4" spans="1:17" s="22" customFormat="1" ht="16.2"/>
    <row r="5" spans="1:17" s="22" customFormat="1" ht="17.25" customHeight="1">
      <c r="A5" s="155" t="s">
        <v>81</v>
      </c>
    </row>
    <row r="6" spans="1:17" s="22" customFormat="1" ht="21.6" customHeight="1">
      <c r="A6" s="894" t="s">
        <v>5</v>
      </c>
      <c r="B6" s="894"/>
      <c r="C6" s="894"/>
      <c r="D6" s="894"/>
      <c r="E6" s="674" t="str">
        <f>IF(計画書提出書!D15="","",計画書提出書!D15)</f>
        <v/>
      </c>
      <c r="F6" s="674"/>
      <c r="G6" s="674"/>
      <c r="H6" s="674"/>
      <c r="I6" s="674"/>
      <c r="J6" s="674"/>
      <c r="K6" s="674"/>
      <c r="L6" s="674"/>
      <c r="M6" s="674"/>
      <c r="N6" s="674"/>
      <c r="O6" s="674"/>
      <c r="P6" s="674"/>
      <c r="Q6" s="674"/>
    </row>
    <row r="7" spans="1:17" s="22" customFormat="1" ht="21.6" customHeight="1">
      <c r="A7" s="894" t="s">
        <v>6</v>
      </c>
      <c r="B7" s="894"/>
      <c r="C7" s="894"/>
      <c r="D7" s="894"/>
      <c r="E7" s="674" t="str">
        <f>IF(計画書提出書!D16="","",計画書提出書!D16)</f>
        <v/>
      </c>
      <c r="F7" s="674"/>
      <c r="G7" s="674"/>
      <c r="H7" s="674"/>
      <c r="I7" s="674"/>
      <c r="J7" s="674"/>
      <c r="K7" s="674"/>
      <c r="L7" s="674"/>
      <c r="M7" s="674"/>
      <c r="N7" s="674"/>
      <c r="O7" s="674"/>
      <c r="P7" s="674"/>
      <c r="Q7" s="674"/>
    </row>
    <row r="8" spans="1:17" s="22" customFormat="1" ht="21.6" customHeight="1">
      <c r="A8" s="894" t="s">
        <v>7</v>
      </c>
      <c r="B8" s="894"/>
      <c r="C8" s="894"/>
      <c r="D8" s="894"/>
      <c r="E8" s="674" t="str">
        <f>IF(計画書提出書!D17="","",計画書提出書!D17)</f>
        <v/>
      </c>
      <c r="F8" s="674"/>
      <c r="G8" s="674"/>
      <c r="H8" s="674"/>
      <c r="I8" s="674"/>
      <c r="J8" s="674"/>
      <c r="K8" s="674"/>
      <c r="L8" s="674"/>
      <c r="M8" s="674"/>
      <c r="N8" s="674"/>
      <c r="O8" s="674"/>
      <c r="P8" s="674"/>
      <c r="Q8" s="674"/>
    </row>
    <row r="9" spans="1:17" s="22" customFormat="1" ht="21.6" customHeight="1">
      <c r="A9" s="859" t="s">
        <v>162</v>
      </c>
      <c r="B9" s="860"/>
      <c r="C9" s="860"/>
      <c r="D9" s="861"/>
      <c r="E9" s="850" t="str">
        <f>IF(はじめに!S17="","",はじめに!S17)</f>
        <v/>
      </c>
      <c r="F9" s="850"/>
      <c r="G9" s="850"/>
      <c r="H9" s="850"/>
      <c r="I9" s="850"/>
      <c r="J9" s="850"/>
      <c r="K9" s="850"/>
      <c r="L9" s="850"/>
      <c r="M9" s="850"/>
      <c r="N9" s="850"/>
      <c r="O9" s="850"/>
      <c r="P9" s="850"/>
      <c r="Q9" s="850"/>
    </row>
    <row r="10" spans="1:17" s="22" customFormat="1" ht="21.6" customHeight="1">
      <c r="A10" s="865" t="s">
        <v>4123</v>
      </c>
      <c r="B10" s="866"/>
      <c r="C10" s="866"/>
      <c r="D10" s="895"/>
      <c r="E10" s="118" t="str">
        <f>IF(計画書提出書!D19="","",計画書提出書!D19)</f>
        <v>〇</v>
      </c>
      <c r="F10" s="862" t="s">
        <v>4121</v>
      </c>
      <c r="G10" s="863"/>
      <c r="H10" s="863"/>
      <c r="I10" s="863"/>
      <c r="J10" s="863"/>
      <c r="K10" s="863"/>
      <c r="L10" s="863"/>
      <c r="M10" s="863"/>
      <c r="N10" s="863"/>
      <c r="O10" s="863"/>
      <c r="P10" s="863"/>
      <c r="Q10" s="864"/>
    </row>
    <row r="11" spans="1:17" s="22" customFormat="1" ht="21.6" customHeight="1">
      <c r="A11" s="896"/>
      <c r="B11" s="897"/>
      <c r="C11" s="897"/>
      <c r="D11" s="898"/>
      <c r="E11" s="118" t="str">
        <f>IF(計画書提出書!D20="","",計画書提出書!D20)</f>
        <v/>
      </c>
      <c r="F11" s="862" t="s">
        <v>4124</v>
      </c>
      <c r="G11" s="863"/>
      <c r="H11" s="863"/>
      <c r="I11" s="863"/>
      <c r="J11" s="863"/>
      <c r="K11" s="863"/>
      <c r="L11" s="863"/>
      <c r="M11" s="863"/>
      <c r="N11" s="863"/>
      <c r="O11" s="863"/>
      <c r="P11" s="863"/>
      <c r="Q11" s="864"/>
    </row>
    <row r="12" spans="1:17" s="22" customFormat="1" ht="21.6" customHeight="1">
      <c r="A12" s="896"/>
      <c r="B12" s="897"/>
      <c r="C12" s="897"/>
      <c r="D12" s="898"/>
      <c r="E12" s="118" t="str">
        <f>IF(計画書提出書!D21="","",計画書提出書!D21)</f>
        <v/>
      </c>
      <c r="F12" s="862" t="s">
        <v>4125</v>
      </c>
      <c r="G12" s="863"/>
      <c r="H12" s="863"/>
      <c r="I12" s="863"/>
      <c r="J12" s="863"/>
      <c r="K12" s="863"/>
      <c r="L12" s="863"/>
      <c r="M12" s="863"/>
      <c r="N12" s="863"/>
      <c r="O12" s="863"/>
      <c r="P12" s="863"/>
      <c r="Q12" s="864"/>
    </row>
    <row r="13" spans="1:17" s="22" customFormat="1" ht="21.6" customHeight="1">
      <c r="A13" s="899"/>
      <c r="B13" s="900"/>
      <c r="C13" s="900"/>
      <c r="D13" s="901"/>
      <c r="E13" s="118" t="str">
        <f>IF(計画書提出書!D22="","",計画書提出書!D22)</f>
        <v/>
      </c>
      <c r="F13" s="862" t="s">
        <v>4122</v>
      </c>
      <c r="G13" s="863"/>
      <c r="H13" s="863"/>
      <c r="I13" s="863"/>
      <c r="J13" s="863"/>
      <c r="K13" s="863"/>
      <c r="L13" s="863"/>
      <c r="M13" s="863"/>
      <c r="N13" s="863"/>
      <c r="O13" s="863"/>
      <c r="P13" s="863"/>
      <c r="Q13" s="864"/>
    </row>
    <row r="14" spans="1:17" s="22" customFormat="1" ht="63" customHeight="1">
      <c r="A14" s="865" t="s">
        <v>4103</v>
      </c>
      <c r="B14" s="866"/>
      <c r="C14" s="866"/>
      <c r="D14" s="866"/>
      <c r="E14" s="850" t="str">
        <f>IF('計画書①（事業所概要・目標）'!A13="","",'計画書①（事業所概要・目標）'!A13)</f>
        <v/>
      </c>
      <c r="F14" s="850"/>
      <c r="G14" s="850"/>
      <c r="H14" s="850"/>
      <c r="I14" s="850"/>
      <c r="J14" s="850"/>
      <c r="K14" s="850"/>
      <c r="L14" s="850"/>
      <c r="M14" s="850"/>
      <c r="N14" s="850"/>
      <c r="O14" s="850"/>
      <c r="P14" s="850"/>
      <c r="Q14" s="850"/>
    </row>
    <row r="15" spans="1:17" s="22" customFormat="1" ht="8.25" customHeight="1">
      <c r="A15" s="158"/>
      <c r="B15" s="158"/>
      <c r="C15" s="158"/>
      <c r="D15" s="158"/>
      <c r="E15" s="159"/>
      <c r="F15" s="159"/>
      <c r="G15" s="159"/>
      <c r="H15" s="159"/>
      <c r="I15" s="159"/>
      <c r="J15" s="159"/>
      <c r="K15" s="159"/>
      <c r="L15" s="159"/>
      <c r="M15" s="159"/>
      <c r="N15" s="159"/>
      <c r="O15" s="159"/>
      <c r="P15" s="159"/>
    </row>
    <row r="16" spans="1:17" s="22" customFormat="1" ht="17.25" customHeight="1">
      <c r="A16" s="155" t="s">
        <v>3101</v>
      </c>
    </row>
    <row r="17" spans="1:22" s="22" customFormat="1" ht="19.5" customHeight="1">
      <c r="A17" s="873" t="s">
        <v>5400</v>
      </c>
      <c r="B17" s="874"/>
      <c r="C17" s="874"/>
      <c r="D17" s="875"/>
      <c r="E17" s="908" t="s">
        <v>86</v>
      </c>
      <c r="F17" s="909"/>
      <c r="G17" s="160" t="str">
        <f>IF(はじめに!E4="","",はじめに!E4)</f>
        <v/>
      </c>
      <c r="H17" s="232" t="s">
        <v>94</v>
      </c>
      <c r="I17" s="856" t="str">
        <f>IF('計画書①（事業所概要・目標）'!F24="","",'計画書①（事業所概要・目標）'!F24)</f>
        <v>基準排出量</v>
      </c>
      <c r="J17" s="882"/>
      <c r="K17" s="902" t="str">
        <f>IF('計画書①（事業所概要・目標）'!H24="","",'計画書①（事業所概要・目標）'!H24)</f>
        <v/>
      </c>
      <c r="L17" s="903"/>
      <c r="M17" s="161" t="str">
        <f>IF('計画書①（事業所概要・目標）'!J24="","",'計画書①（事業所概要・目標）'!J24)</f>
        <v>t-CO2</v>
      </c>
      <c r="N17" s="856" t="str">
        <f>IF('計画書①（事業所概要・目標）'!K24="","",'計画書①（事業所概要・目標）'!K24)</f>
        <v>基準原単位</v>
      </c>
      <c r="O17" s="882"/>
      <c r="P17" s="892" t="str">
        <f>IF('計画書①（事業所概要・目標）'!M24="","",'計画書①（事業所概要・目標）'!M24)</f>
        <v/>
      </c>
      <c r="Q17" s="893"/>
    </row>
    <row r="18" spans="1:22" s="22" customFormat="1" ht="19.5" customHeight="1">
      <c r="A18" s="876"/>
      <c r="B18" s="877"/>
      <c r="C18" s="877"/>
      <c r="D18" s="878"/>
      <c r="E18" s="885" t="s">
        <v>163</v>
      </c>
      <c r="F18" s="886"/>
      <c r="G18" s="867">
        <f>IF(はじめに!H3="","",はじめに!H3)</f>
        <v>2025</v>
      </c>
      <c r="H18" s="904" t="s">
        <v>94</v>
      </c>
      <c r="I18" s="856" t="str">
        <f>IF('計画書①（事業所概要・目標）'!F25="","",'計画書①（事業所概要・目標）'!F25)</f>
        <v>目標排出量</v>
      </c>
      <c r="J18" s="882"/>
      <c r="K18" s="902" t="str">
        <f>IF('計画書①（事業所概要・目標）'!H25="","",'計画書①（事業所概要・目標）'!H25)</f>
        <v/>
      </c>
      <c r="L18" s="903"/>
      <c r="M18" s="161" t="str">
        <f>IF('計画書①（事業所概要・目標）'!J25="","",'計画書①（事業所概要・目標）'!J25)</f>
        <v>t-CO2</v>
      </c>
      <c r="N18" s="856" t="str">
        <f>IF('計画書①（事業所概要・目標）'!K25="","",'計画書①（事業所概要・目標）'!K25)</f>
        <v>目標原単位</v>
      </c>
      <c r="O18" s="882"/>
      <c r="P18" s="892" t="str">
        <f>IF('計画書①（事業所概要・目標）'!M25="","",'計画書①（事業所概要・目標）'!M25)</f>
        <v/>
      </c>
      <c r="Q18" s="893"/>
    </row>
    <row r="19" spans="1:22" s="22" customFormat="1" ht="19.5" customHeight="1">
      <c r="A19" s="876"/>
      <c r="B19" s="877"/>
      <c r="C19" s="877"/>
      <c r="D19" s="878"/>
      <c r="E19" s="887"/>
      <c r="F19" s="686"/>
      <c r="G19" s="868"/>
      <c r="H19" s="905"/>
      <c r="I19" s="883" t="str">
        <f>IF('計画書①（事業所概要・目標）'!F26="","",'計画書①（事業所概要・目標）'!F26)</f>
        <v>削減率</v>
      </c>
      <c r="J19" s="882"/>
      <c r="K19" s="870" t="str">
        <f>IF('計画書①（事業所概要・目標）'!H26="","",'計画書①（事業所概要・目標）'!H26)</f>
        <v/>
      </c>
      <c r="L19" s="891"/>
      <c r="M19" s="157" t="str">
        <f>IF('計画書①（事業所概要・目標）'!J26="","",'計画書①（事業所概要・目標）'!J26)</f>
        <v>%</v>
      </c>
      <c r="N19" s="883" t="str">
        <f>IF('計画書①（事業所概要・目標）'!K26="","",'計画書①（事業所概要・目標）'!K26)</f>
        <v>削減率</v>
      </c>
      <c r="O19" s="882"/>
      <c r="P19" s="162" t="str">
        <f>IF('計画書①（事業所概要・目標）'!M26="","",'計画書①（事業所概要・目標）'!M26)</f>
        <v/>
      </c>
      <c r="Q19" s="233" t="s">
        <v>5401</v>
      </c>
    </row>
    <row r="20" spans="1:22" s="22" customFormat="1" ht="38.1" customHeight="1">
      <c r="A20" s="876"/>
      <c r="B20" s="877"/>
      <c r="C20" s="877"/>
      <c r="D20" s="878"/>
      <c r="E20" s="888"/>
      <c r="F20" s="889"/>
      <c r="G20" s="869"/>
      <c r="H20" s="906"/>
      <c r="I20" s="851" t="str">
        <f>IF('計画書①（事業所概要・目標）'!F27="","",'計画書①（事業所概要・目標）'!F27)</f>
        <v>非化石電気</v>
      </c>
      <c r="J20" s="872"/>
      <c r="K20" s="870" t="str">
        <f>IF('計画書①（事業所概要・目標）'!H27="","",'計画書①（事業所概要・目標）'!H27)</f>
        <v/>
      </c>
      <c r="L20" s="871"/>
      <c r="M20" s="157" t="str">
        <f>IF('計画書①（事業所概要・目標）'!J27="","",'計画書①（事業所概要・目標）'!J27)</f>
        <v>%</v>
      </c>
      <c r="N20" s="851" t="str">
        <f>IF('計画書①（事業所概要・目標）'!K27="","",'計画書①（事業所概要・目標）'!K27)</f>
        <v>その他非化石
エネルギー等</v>
      </c>
      <c r="O20" s="872"/>
      <c r="P20" s="162" t="str">
        <f>IF('計画書①（事業所概要・目標）'!M27="","",'計画書①（事業所概要・目標）'!M27)</f>
        <v/>
      </c>
      <c r="Q20" s="234" t="s">
        <v>5401</v>
      </c>
      <c r="V20" s="159"/>
    </row>
    <row r="21" spans="1:22" s="22" customFormat="1" ht="68.400000000000006" customHeight="1">
      <c r="A21" s="879"/>
      <c r="B21" s="880"/>
      <c r="C21" s="880"/>
      <c r="D21" s="881"/>
      <c r="E21" s="910" t="s">
        <v>5399</v>
      </c>
      <c r="F21" s="911"/>
      <c r="G21" s="864" t="str">
        <f>IF('計画書①（事業所概要・目標）'!C28="","",'計画書①（事業所概要・目標）'!C28)</f>
        <v/>
      </c>
      <c r="H21" s="850"/>
      <c r="I21" s="850"/>
      <c r="J21" s="850"/>
      <c r="K21" s="850"/>
      <c r="L21" s="850"/>
      <c r="M21" s="850"/>
      <c r="N21" s="850"/>
      <c r="O21" s="850"/>
      <c r="P21" s="850"/>
      <c r="Q21" s="850"/>
    </row>
    <row r="22" spans="1:22" s="22" customFormat="1" ht="17.25" customHeight="1">
      <c r="A22" s="153"/>
      <c r="B22" s="153"/>
      <c r="C22" s="153"/>
      <c r="D22" s="153"/>
    </row>
    <row r="23" spans="1:22" s="22" customFormat="1" ht="30" customHeight="1">
      <c r="A23" s="155" t="s">
        <v>3116</v>
      </c>
    </row>
    <row r="24" spans="1:22" s="22" customFormat="1" ht="36" customHeight="1">
      <c r="A24" s="859" t="s">
        <v>4985</v>
      </c>
      <c r="B24" s="860"/>
      <c r="C24" s="860"/>
      <c r="D24" s="861"/>
      <c r="E24" s="854" t="s">
        <v>3118</v>
      </c>
      <c r="F24" s="855"/>
      <c r="G24" s="855"/>
      <c r="H24" s="884" t="str">
        <f>IF('計画書② (取組）'!J9="","",'計画書② (取組）'!J9*100)</f>
        <v/>
      </c>
      <c r="I24" s="884"/>
      <c r="J24" s="163" t="s">
        <v>164</v>
      </c>
      <c r="K24" s="854" t="s">
        <v>3119</v>
      </c>
      <c r="L24" s="855"/>
      <c r="M24" s="855"/>
      <c r="N24" s="884" t="str">
        <f>IF('計画書② (取組）'!J10="","",'計画書② (取組）'!J10*100)</f>
        <v/>
      </c>
      <c r="O24" s="884"/>
      <c r="P24" s="863" t="s">
        <v>164</v>
      </c>
      <c r="Q24" s="864"/>
    </row>
    <row r="25" spans="1:22" s="22" customFormat="1" ht="22.5" customHeight="1">
      <c r="A25" s="851" t="s">
        <v>4986</v>
      </c>
      <c r="B25" s="852"/>
      <c r="C25" s="852"/>
      <c r="D25" s="853"/>
      <c r="E25" s="890" t="s">
        <v>3117</v>
      </c>
      <c r="F25" s="890"/>
      <c r="G25" s="890"/>
      <c r="H25" s="890"/>
      <c r="I25" s="890"/>
      <c r="J25" s="890"/>
      <c r="K25" s="890"/>
      <c r="L25" s="890"/>
      <c r="M25" s="890"/>
      <c r="N25" s="890"/>
      <c r="O25" s="890"/>
      <c r="P25" s="890" t="s">
        <v>3120</v>
      </c>
      <c r="Q25" s="914"/>
    </row>
    <row r="26" spans="1:22" s="22" customFormat="1" ht="22.5" customHeight="1">
      <c r="A26" s="851"/>
      <c r="B26" s="852"/>
      <c r="C26" s="852"/>
      <c r="D26" s="853"/>
      <c r="E26" s="850" t="str">
        <f>IF('計画書② (取組）'!C39="","",'計画書② (取組）'!C39)</f>
        <v/>
      </c>
      <c r="F26" s="850"/>
      <c r="G26" s="850"/>
      <c r="H26" s="850"/>
      <c r="I26" s="850"/>
      <c r="J26" s="850"/>
      <c r="K26" s="850"/>
      <c r="L26" s="850"/>
      <c r="M26" s="850"/>
      <c r="N26" s="850"/>
      <c r="O26" s="850"/>
      <c r="P26" s="838" t="str">
        <f>IF('計画書（公表用）'!E26="","",IF('計画書② (取組）'!E39="実施済",'計画書② (取組）'!E39,'計画書② (取組）'!F39))</f>
        <v/>
      </c>
      <c r="Q26" s="838"/>
    </row>
    <row r="27" spans="1:22" s="22" customFormat="1" ht="22.5" customHeight="1">
      <c r="A27" s="851"/>
      <c r="B27" s="852"/>
      <c r="C27" s="852"/>
      <c r="D27" s="853"/>
      <c r="E27" s="850" t="str">
        <f>IF('計画書② (取組）'!C40="","",'計画書② (取組）'!C40)</f>
        <v/>
      </c>
      <c r="F27" s="850"/>
      <c r="G27" s="850"/>
      <c r="H27" s="850"/>
      <c r="I27" s="850"/>
      <c r="J27" s="850"/>
      <c r="K27" s="850"/>
      <c r="L27" s="850"/>
      <c r="M27" s="850"/>
      <c r="N27" s="850"/>
      <c r="O27" s="850"/>
      <c r="P27" s="838" t="str">
        <f>IF('計画書（公表用）'!E27="","",IF('計画書② (取組）'!E40="実施済",'計画書② (取組）'!E40,'計画書② (取組）'!F40))</f>
        <v/>
      </c>
      <c r="Q27" s="838"/>
    </row>
    <row r="28" spans="1:22" s="22" customFormat="1" ht="22.5" customHeight="1">
      <c r="A28" s="851"/>
      <c r="B28" s="852"/>
      <c r="C28" s="852"/>
      <c r="D28" s="853"/>
      <c r="E28" s="850" t="str">
        <f>IF('計画書② (取組）'!C41="","",'計画書② (取組）'!C41)</f>
        <v/>
      </c>
      <c r="F28" s="850"/>
      <c r="G28" s="850"/>
      <c r="H28" s="850"/>
      <c r="I28" s="850"/>
      <c r="J28" s="850"/>
      <c r="K28" s="850"/>
      <c r="L28" s="850"/>
      <c r="M28" s="850"/>
      <c r="N28" s="850"/>
      <c r="O28" s="850"/>
      <c r="P28" s="838" t="str">
        <f>IF('計画書（公表用）'!E28="","",IF('計画書② (取組）'!E41="実施済",'計画書② (取組）'!E41,'計画書② (取組）'!F41))</f>
        <v/>
      </c>
      <c r="Q28" s="838"/>
    </row>
    <row r="29" spans="1:22" s="22" customFormat="1" ht="22.5" customHeight="1">
      <c r="A29" s="851"/>
      <c r="B29" s="852"/>
      <c r="C29" s="852"/>
      <c r="D29" s="853"/>
      <c r="E29" s="850" t="str">
        <f>IF('計画書② (取組）'!C42="","",'計画書② (取組）'!C42)</f>
        <v/>
      </c>
      <c r="F29" s="850"/>
      <c r="G29" s="850"/>
      <c r="H29" s="850"/>
      <c r="I29" s="850"/>
      <c r="J29" s="850"/>
      <c r="K29" s="850"/>
      <c r="L29" s="850"/>
      <c r="M29" s="850"/>
      <c r="N29" s="850"/>
      <c r="O29" s="850"/>
      <c r="P29" s="838" t="str">
        <f>IF('計画書（公表用）'!E29="","",IF('計画書② (取組）'!E42="実施済",'計画書② (取組）'!E42,'計画書② (取組）'!F42))</f>
        <v/>
      </c>
      <c r="Q29" s="838"/>
    </row>
    <row r="30" spans="1:22" s="22" customFormat="1" ht="22.5" customHeight="1">
      <c r="A30" s="851"/>
      <c r="B30" s="852"/>
      <c r="C30" s="852"/>
      <c r="D30" s="853"/>
      <c r="E30" s="850" t="str">
        <f>IF('計画書② (取組）'!C43="","",'計画書② (取組）'!C43)</f>
        <v/>
      </c>
      <c r="F30" s="850"/>
      <c r="G30" s="850"/>
      <c r="H30" s="850"/>
      <c r="I30" s="850"/>
      <c r="J30" s="850"/>
      <c r="K30" s="850"/>
      <c r="L30" s="850"/>
      <c r="M30" s="850"/>
      <c r="N30" s="850"/>
      <c r="O30" s="850"/>
      <c r="P30" s="838" t="str">
        <f>IF('計画書（公表用）'!E30="","",IF('計画書② (取組）'!E43="実施済",'計画書② (取組）'!E43,'計画書② (取組）'!F43))</f>
        <v/>
      </c>
      <c r="Q30" s="838"/>
    </row>
    <row r="31" spans="1:22" s="22" customFormat="1" ht="22.5" customHeight="1">
      <c r="A31" s="851"/>
      <c r="B31" s="852"/>
      <c r="C31" s="852"/>
      <c r="D31" s="853"/>
      <c r="E31" s="850" t="str">
        <f>IF('計画書② (取組）'!C44="","",'計画書② (取組）'!C44)</f>
        <v/>
      </c>
      <c r="F31" s="850"/>
      <c r="G31" s="850"/>
      <c r="H31" s="850"/>
      <c r="I31" s="850"/>
      <c r="J31" s="850"/>
      <c r="K31" s="850"/>
      <c r="L31" s="850"/>
      <c r="M31" s="850"/>
      <c r="N31" s="850"/>
      <c r="O31" s="850"/>
      <c r="P31" s="838" t="str">
        <f>IF('計画書（公表用）'!E31="","",IF('計画書② (取組）'!E44="実施済",'計画書② (取組）'!E44,'計画書② (取組）'!F44))</f>
        <v/>
      </c>
      <c r="Q31" s="838"/>
    </row>
    <row r="32" spans="1:22" s="22" customFormat="1" ht="22.5" customHeight="1">
      <c r="A32" s="851"/>
      <c r="B32" s="852"/>
      <c r="C32" s="852"/>
      <c r="D32" s="853"/>
      <c r="E32" s="850" t="str">
        <f>IF('計画書② (取組）'!C45="","",'計画書② (取組）'!C45)</f>
        <v/>
      </c>
      <c r="F32" s="850"/>
      <c r="G32" s="850"/>
      <c r="H32" s="850"/>
      <c r="I32" s="850"/>
      <c r="J32" s="850"/>
      <c r="K32" s="850"/>
      <c r="L32" s="850"/>
      <c r="M32" s="850"/>
      <c r="N32" s="850"/>
      <c r="O32" s="850"/>
      <c r="P32" s="838" t="str">
        <f>IF('計画書（公表用）'!E32="","",IF('計画書② (取組）'!E45="実施済",'計画書② (取組）'!E45,'計画書② (取組）'!F45))</f>
        <v/>
      </c>
      <c r="Q32" s="838"/>
    </row>
    <row r="33" spans="1:17" s="22" customFormat="1" ht="22.5" customHeight="1">
      <c r="A33" s="851"/>
      <c r="B33" s="852"/>
      <c r="C33" s="852"/>
      <c r="D33" s="853"/>
      <c r="E33" s="850" t="str">
        <f>IF('計画書② (取組）'!C46="","",'計画書② (取組）'!C46)</f>
        <v/>
      </c>
      <c r="F33" s="850"/>
      <c r="G33" s="850"/>
      <c r="H33" s="850"/>
      <c r="I33" s="850"/>
      <c r="J33" s="850"/>
      <c r="K33" s="850"/>
      <c r="L33" s="850"/>
      <c r="M33" s="850"/>
      <c r="N33" s="850"/>
      <c r="O33" s="850"/>
      <c r="P33" s="838" t="str">
        <f>IF('計画書（公表用）'!E33="","",IF('計画書② (取組）'!E46="実施済",'計画書② (取組）'!E46,'計画書② (取組）'!F46))</f>
        <v/>
      </c>
      <c r="Q33" s="838"/>
    </row>
    <row r="34" spans="1:17" s="22" customFormat="1" ht="22.5" customHeight="1">
      <c r="A34" s="851"/>
      <c r="B34" s="852"/>
      <c r="C34" s="852"/>
      <c r="D34" s="853"/>
      <c r="E34" s="850" t="str">
        <f>IF('計画書② (取組）'!C47="","",'計画書② (取組）'!C47)</f>
        <v/>
      </c>
      <c r="F34" s="850"/>
      <c r="G34" s="850"/>
      <c r="H34" s="850"/>
      <c r="I34" s="850"/>
      <c r="J34" s="850"/>
      <c r="K34" s="850"/>
      <c r="L34" s="850"/>
      <c r="M34" s="850"/>
      <c r="N34" s="850"/>
      <c r="O34" s="850"/>
      <c r="P34" s="838" t="str">
        <f>IF('計画書（公表用）'!E34="","",IF('計画書② (取組）'!E47="実施済",'計画書② (取組）'!E47,'計画書② (取組）'!F47))</f>
        <v/>
      </c>
      <c r="Q34" s="838"/>
    </row>
    <row r="35" spans="1:17" s="22" customFormat="1" ht="22.5" customHeight="1">
      <c r="A35" s="851"/>
      <c r="B35" s="852"/>
      <c r="C35" s="852"/>
      <c r="D35" s="853"/>
      <c r="E35" s="913" t="str">
        <f>IF('計画書② (取組）'!C48="","",'計画書② (取組）'!C48)</f>
        <v/>
      </c>
      <c r="F35" s="913"/>
      <c r="G35" s="913"/>
      <c r="H35" s="913"/>
      <c r="I35" s="913"/>
      <c r="J35" s="913"/>
      <c r="K35" s="913"/>
      <c r="L35" s="913"/>
      <c r="M35" s="913"/>
      <c r="N35" s="913"/>
      <c r="O35" s="913"/>
      <c r="P35" s="912" t="str">
        <f>IF('計画書（公表用）'!E35="","",IF('計画書② (取組）'!E48="実施済",'計画書② (取組）'!E48,'計画書② (取組）'!F48))</f>
        <v/>
      </c>
      <c r="Q35" s="912"/>
    </row>
    <row r="36" spans="1:17" s="22" customFormat="1" ht="61.35" customHeight="1">
      <c r="A36" s="851" t="s">
        <v>4126</v>
      </c>
      <c r="B36" s="852"/>
      <c r="C36" s="852"/>
      <c r="D36" s="853"/>
      <c r="E36" s="907" t="s">
        <v>3117</v>
      </c>
      <c r="F36" s="907"/>
      <c r="G36" s="907"/>
      <c r="H36" s="907"/>
      <c r="I36" s="856" t="s">
        <v>4988</v>
      </c>
      <c r="J36" s="857"/>
      <c r="K36" s="857"/>
      <c r="L36" s="857"/>
      <c r="M36" s="857"/>
      <c r="N36" s="857"/>
      <c r="O36" s="858"/>
      <c r="P36" s="907" t="s">
        <v>3120</v>
      </c>
      <c r="Q36" s="907"/>
    </row>
    <row r="37" spans="1:17" s="22" customFormat="1" ht="61.35" customHeight="1">
      <c r="A37" s="851"/>
      <c r="B37" s="852"/>
      <c r="C37" s="852"/>
      <c r="D37" s="853"/>
      <c r="E37" s="850" t="str">
        <f>IF('計画書② (取組）'!C63="","",'計画書② (取組）'!C63)</f>
        <v/>
      </c>
      <c r="F37" s="850"/>
      <c r="G37" s="850"/>
      <c r="H37" s="850"/>
      <c r="I37" s="850" t="str">
        <f>IF('計画書② (取組）'!D63="","",'計画書② (取組）'!D63)</f>
        <v/>
      </c>
      <c r="J37" s="850"/>
      <c r="K37" s="850"/>
      <c r="L37" s="850"/>
      <c r="M37" s="850"/>
      <c r="N37" s="850"/>
      <c r="O37" s="850"/>
      <c r="P37" s="838" t="str">
        <f>IF(I37="","",IF('計画書② (取組）'!E63="実施済",'計画書② (取組）'!E63,'計画書② (取組）'!F63))</f>
        <v/>
      </c>
      <c r="Q37" s="838"/>
    </row>
    <row r="38" spans="1:17" s="22" customFormat="1" ht="61.35" customHeight="1">
      <c r="A38" s="851"/>
      <c r="B38" s="852"/>
      <c r="C38" s="852"/>
      <c r="D38" s="853"/>
      <c r="E38" s="850" t="str">
        <f>IF('計画書② (取組）'!C64="","",'計画書② (取組）'!C64)</f>
        <v/>
      </c>
      <c r="F38" s="850"/>
      <c r="G38" s="850"/>
      <c r="H38" s="850"/>
      <c r="I38" s="850" t="str">
        <f>IF('計画書② (取組）'!D64="","",'計画書② (取組）'!D64)</f>
        <v/>
      </c>
      <c r="J38" s="850"/>
      <c r="K38" s="850"/>
      <c r="L38" s="850"/>
      <c r="M38" s="850"/>
      <c r="N38" s="850"/>
      <c r="O38" s="850"/>
      <c r="P38" s="838" t="str">
        <f>IF(I38="","",IF('計画書② (取組）'!E64="実施済",'計画書② (取組）'!E64,'計画書② (取組）'!F64))</f>
        <v/>
      </c>
      <c r="Q38" s="838"/>
    </row>
    <row r="39" spans="1:17" s="22" customFormat="1" ht="61.35" customHeight="1">
      <c r="A39" s="851"/>
      <c r="B39" s="852"/>
      <c r="C39" s="852"/>
      <c r="D39" s="853"/>
      <c r="E39" s="850" t="str">
        <f>IF('計画書② (取組）'!C65="","",'計画書② (取組）'!C65)</f>
        <v/>
      </c>
      <c r="F39" s="850"/>
      <c r="G39" s="850"/>
      <c r="H39" s="850"/>
      <c r="I39" s="850" t="str">
        <f>IF('計画書② (取組）'!D65="","",'計画書② (取組）'!D65)</f>
        <v/>
      </c>
      <c r="J39" s="850"/>
      <c r="K39" s="850"/>
      <c r="L39" s="850"/>
      <c r="M39" s="850"/>
      <c r="N39" s="850"/>
      <c r="O39" s="850"/>
      <c r="P39" s="838" t="str">
        <f>IF(I39="","",IF('計画書② (取組）'!E65="実施済",'計画書② (取組）'!E65,'計画書② (取組）'!F65))</f>
        <v/>
      </c>
      <c r="Q39" s="838"/>
    </row>
    <row r="40" spans="1:17" s="22" customFormat="1" ht="61.35" customHeight="1">
      <c r="A40" s="851"/>
      <c r="B40" s="852"/>
      <c r="C40" s="852"/>
      <c r="D40" s="853"/>
      <c r="E40" s="850" t="str">
        <f>IF('計画書② (取組）'!C66="","",'計画書② (取組）'!C66)</f>
        <v/>
      </c>
      <c r="F40" s="850"/>
      <c r="G40" s="850"/>
      <c r="H40" s="850"/>
      <c r="I40" s="850" t="str">
        <f>IF('計画書② (取組）'!D66="","",'計画書② (取組）'!D66)</f>
        <v/>
      </c>
      <c r="J40" s="850"/>
      <c r="K40" s="850"/>
      <c r="L40" s="850"/>
      <c r="M40" s="850"/>
      <c r="N40" s="850"/>
      <c r="O40" s="850"/>
      <c r="P40" s="838" t="str">
        <f>IF(I40="","",IF('計画書② (取組）'!E66="実施済",'計画書② (取組）'!E66,'計画書② (取組）'!F66))</f>
        <v/>
      </c>
      <c r="Q40" s="838"/>
    </row>
    <row r="41" spans="1:17" s="22" customFormat="1" ht="61.35" customHeight="1">
      <c r="A41" s="851"/>
      <c r="B41" s="852"/>
      <c r="C41" s="852"/>
      <c r="D41" s="853"/>
      <c r="E41" s="850" t="str">
        <f>IF('計画書② (取組）'!C67="","",'計画書② (取組）'!C67)</f>
        <v/>
      </c>
      <c r="F41" s="850"/>
      <c r="G41" s="850"/>
      <c r="H41" s="850"/>
      <c r="I41" s="850" t="str">
        <f>IF('計画書② (取組）'!D67="","",'計画書② (取組）'!D67)</f>
        <v/>
      </c>
      <c r="J41" s="850"/>
      <c r="K41" s="850"/>
      <c r="L41" s="850"/>
      <c r="M41" s="850"/>
      <c r="N41" s="850"/>
      <c r="O41" s="850"/>
      <c r="P41" s="838" t="str">
        <f>IF(I41="","",IF('計画書② (取組）'!E67="実施済",'計画書② (取組）'!E67,'計画書② (取組）'!F67))</f>
        <v/>
      </c>
      <c r="Q41" s="838"/>
    </row>
    <row r="42" spans="1:17" s="22" customFormat="1" ht="61.35" customHeight="1">
      <c r="A42" s="851"/>
      <c r="B42" s="852"/>
      <c r="C42" s="852"/>
      <c r="D42" s="853"/>
      <c r="E42" s="850" t="str">
        <f>IF('計画書② (取組）'!C68="","",'計画書② (取組）'!C68)</f>
        <v/>
      </c>
      <c r="F42" s="850"/>
      <c r="G42" s="850"/>
      <c r="H42" s="850"/>
      <c r="I42" s="850" t="str">
        <f>IF('計画書② (取組）'!D68="","",'計画書② (取組）'!D68)</f>
        <v/>
      </c>
      <c r="J42" s="850"/>
      <c r="K42" s="850"/>
      <c r="L42" s="850"/>
      <c r="M42" s="850"/>
      <c r="N42" s="850"/>
      <c r="O42" s="850"/>
      <c r="P42" s="838" t="str">
        <f>IF(I42="","",IF('計画書② (取組）'!E68="実施済",'計画書② (取組）'!E68,'計画書② (取組）'!F68))</f>
        <v/>
      </c>
      <c r="Q42" s="838"/>
    </row>
    <row r="43" spans="1:17" s="22" customFormat="1" ht="61.35" customHeight="1">
      <c r="A43" s="851"/>
      <c r="B43" s="852"/>
      <c r="C43" s="852"/>
      <c r="D43" s="853"/>
      <c r="E43" s="850" t="str">
        <f>IF('計画書② (取組）'!C69="","",'計画書② (取組）'!C69)</f>
        <v/>
      </c>
      <c r="F43" s="850"/>
      <c r="G43" s="850"/>
      <c r="H43" s="850"/>
      <c r="I43" s="850" t="str">
        <f>IF('計画書② (取組）'!D69="","",'計画書② (取組）'!D69)</f>
        <v/>
      </c>
      <c r="J43" s="850"/>
      <c r="K43" s="850"/>
      <c r="L43" s="850"/>
      <c r="M43" s="850"/>
      <c r="N43" s="850"/>
      <c r="O43" s="850"/>
      <c r="P43" s="838" t="str">
        <f>IF(I43="","",IF('計画書② (取組）'!E69="実施済",'計画書② (取組）'!E69,'計画書② (取組）'!F69))</f>
        <v/>
      </c>
      <c r="Q43" s="838"/>
    </row>
    <row r="44" spans="1:17" s="22" customFormat="1" ht="61.35" customHeight="1">
      <c r="A44" s="851"/>
      <c r="B44" s="852"/>
      <c r="C44" s="852"/>
      <c r="D44" s="853"/>
      <c r="E44" s="850" t="str">
        <f>IF('計画書② (取組）'!C70="","",'計画書② (取組）'!C70)</f>
        <v/>
      </c>
      <c r="F44" s="850"/>
      <c r="G44" s="850"/>
      <c r="H44" s="850"/>
      <c r="I44" s="850" t="str">
        <f>IF('計画書② (取組）'!D70="","",'計画書② (取組）'!D70)</f>
        <v/>
      </c>
      <c r="J44" s="850"/>
      <c r="K44" s="850"/>
      <c r="L44" s="850"/>
      <c r="M44" s="850"/>
      <c r="N44" s="850"/>
      <c r="O44" s="850"/>
      <c r="P44" s="838" t="str">
        <f>IF(I44="","",IF('計画書② (取組）'!E70="実施済",'計画書② (取組）'!E70,'計画書② (取組）'!F70))</f>
        <v/>
      </c>
      <c r="Q44" s="838"/>
    </row>
    <row r="45" spans="1:17" s="22" customFormat="1" ht="61.35" customHeight="1">
      <c r="A45" s="851"/>
      <c r="B45" s="852"/>
      <c r="C45" s="852"/>
      <c r="D45" s="853"/>
      <c r="E45" s="850" t="str">
        <f>IF('計画書② (取組）'!C71="","",'計画書② (取組）'!C71)</f>
        <v/>
      </c>
      <c r="F45" s="850"/>
      <c r="G45" s="850"/>
      <c r="H45" s="850"/>
      <c r="I45" s="850" t="str">
        <f>IF('計画書② (取組）'!D71="","",'計画書② (取組）'!D71)</f>
        <v/>
      </c>
      <c r="J45" s="850"/>
      <c r="K45" s="850"/>
      <c r="L45" s="850"/>
      <c r="M45" s="850"/>
      <c r="N45" s="850"/>
      <c r="O45" s="850"/>
      <c r="P45" s="838" t="str">
        <f>IF(I45="","",IF('計画書② (取組）'!E71="実施済",'計画書② (取組）'!E71,'計画書② (取組）'!F71))</f>
        <v/>
      </c>
      <c r="Q45" s="838"/>
    </row>
    <row r="46" spans="1:17" s="22" customFormat="1" ht="61.35" customHeight="1">
      <c r="A46" s="851"/>
      <c r="B46" s="852"/>
      <c r="C46" s="852"/>
      <c r="D46" s="853"/>
      <c r="E46" s="850" t="str">
        <f>IF('計画書② (取組）'!C72="","",'計画書② (取組）'!C72)</f>
        <v/>
      </c>
      <c r="F46" s="850"/>
      <c r="G46" s="850"/>
      <c r="H46" s="850"/>
      <c r="I46" s="850" t="str">
        <f>IF('計画書② (取組）'!D72="","",'計画書② (取組）'!D72)</f>
        <v/>
      </c>
      <c r="J46" s="850"/>
      <c r="K46" s="850"/>
      <c r="L46" s="850"/>
      <c r="M46" s="850"/>
      <c r="N46" s="850"/>
      <c r="O46" s="850"/>
      <c r="P46" s="838" t="str">
        <f>IF(I46="","",IF('計画書② (取組）'!E72="実施済",'計画書② (取組）'!E72,'計画書② (取組）'!F72))</f>
        <v/>
      </c>
      <c r="Q46" s="838"/>
    </row>
    <row r="47" spans="1:17" ht="15" customHeight="1"/>
  </sheetData>
  <sheetProtection algorithmName="SHA-512" hashValue="Pb1E4heR1nHc8zRVQQwBvEGt40zIscJCaBOV1n+5khDQLfrcki8OzfJUM+pmevUCP+qk5tUq7MBE7sR2vI1SQg==" saltValue="4ubC2qjT73FnWTIIC0Cr6A==" spinCount="100000" sheet="1" objects="1" scenarios="1" selectLockedCells="1"/>
  <mergeCells count="100">
    <mergeCell ref="P25:Q25"/>
    <mergeCell ref="P26:Q26"/>
    <mergeCell ref="P27:Q27"/>
    <mergeCell ref="P31:Q31"/>
    <mergeCell ref="E32:O32"/>
    <mergeCell ref="P32:Q32"/>
    <mergeCell ref="P28:Q28"/>
    <mergeCell ref="P29:Q29"/>
    <mergeCell ref="P30:Q30"/>
    <mergeCell ref="P35:Q35"/>
    <mergeCell ref="E35:O35"/>
    <mergeCell ref="I44:O44"/>
    <mergeCell ref="P44:Q44"/>
    <mergeCell ref="I40:O40"/>
    <mergeCell ref="E40:H40"/>
    <mergeCell ref="P24:Q24"/>
    <mergeCell ref="E17:F17"/>
    <mergeCell ref="I19:J19"/>
    <mergeCell ref="A24:D24"/>
    <mergeCell ref="N18:O18"/>
    <mergeCell ref="K17:L17"/>
    <mergeCell ref="E21:F21"/>
    <mergeCell ref="H24:I24"/>
    <mergeCell ref="P46:Q46"/>
    <mergeCell ref="P33:Q33"/>
    <mergeCell ref="E41:H41"/>
    <mergeCell ref="P41:Q41"/>
    <mergeCell ref="I41:O41"/>
    <mergeCell ref="P40:Q40"/>
    <mergeCell ref="P36:Q36"/>
    <mergeCell ref="I39:O39"/>
    <mergeCell ref="E39:H39"/>
    <mergeCell ref="E37:H37"/>
    <mergeCell ref="P37:Q37"/>
    <mergeCell ref="E38:H38"/>
    <mergeCell ref="P38:Q38"/>
    <mergeCell ref="P39:Q39"/>
    <mergeCell ref="E34:O34"/>
    <mergeCell ref="E36:H36"/>
    <mergeCell ref="B3:P3"/>
    <mergeCell ref="E9:Q9"/>
    <mergeCell ref="E14:Q14"/>
    <mergeCell ref="K19:L19"/>
    <mergeCell ref="P17:Q17"/>
    <mergeCell ref="N17:O17"/>
    <mergeCell ref="P18:Q18"/>
    <mergeCell ref="A8:D8"/>
    <mergeCell ref="A6:D6"/>
    <mergeCell ref="A7:D7"/>
    <mergeCell ref="E6:Q6"/>
    <mergeCell ref="A10:D13"/>
    <mergeCell ref="F10:Q10"/>
    <mergeCell ref="K18:L18"/>
    <mergeCell ref="F11:Q11"/>
    <mergeCell ref="H18:H20"/>
    <mergeCell ref="E7:Q7"/>
    <mergeCell ref="I17:J17"/>
    <mergeCell ref="N19:O19"/>
    <mergeCell ref="E8:Q8"/>
    <mergeCell ref="P34:Q34"/>
    <mergeCell ref="N20:O20"/>
    <mergeCell ref="N24:O24"/>
    <mergeCell ref="E28:O28"/>
    <mergeCell ref="E29:O29"/>
    <mergeCell ref="E30:O30"/>
    <mergeCell ref="E26:O26"/>
    <mergeCell ref="E18:F20"/>
    <mergeCell ref="E27:O27"/>
    <mergeCell ref="E25:O25"/>
    <mergeCell ref="I18:J18"/>
    <mergeCell ref="G21:Q21"/>
    <mergeCell ref="A9:D9"/>
    <mergeCell ref="F13:Q13"/>
    <mergeCell ref="A14:D14"/>
    <mergeCell ref="G18:G20"/>
    <mergeCell ref="K20:L20"/>
    <mergeCell ref="I20:J20"/>
    <mergeCell ref="F12:Q12"/>
    <mergeCell ref="A17:D21"/>
    <mergeCell ref="A36:D46"/>
    <mergeCell ref="E44:H44"/>
    <mergeCell ref="K24:M24"/>
    <mergeCell ref="I38:O38"/>
    <mergeCell ref="E33:O33"/>
    <mergeCell ref="E24:G24"/>
    <mergeCell ref="I36:O36"/>
    <mergeCell ref="I37:O37"/>
    <mergeCell ref="E31:O31"/>
    <mergeCell ref="E46:H46"/>
    <mergeCell ref="I46:O46"/>
    <mergeCell ref="A25:D35"/>
    <mergeCell ref="P45:Q45"/>
    <mergeCell ref="E42:H42"/>
    <mergeCell ref="I42:O42"/>
    <mergeCell ref="P42:Q42"/>
    <mergeCell ref="E43:H43"/>
    <mergeCell ref="I43:O43"/>
    <mergeCell ref="P43:Q43"/>
    <mergeCell ref="E45:H45"/>
    <mergeCell ref="I45:O45"/>
  </mergeCells>
  <phoneticPr fontId="1"/>
  <pageMargins left="0.70866141732283472" right="0.55118110236220474" top="0.74803149606299213" bottom="0.74803149606299213" header="0.31496062992125984" footer="0.31496062992125984"/>
  <pageSetup paperSize="9" scale="86" fitToHeight="2" orientation="portrait" r:id="rId1"/>
  <headerFooter>
    <oddHeader>&amp;L様式第１号別紙１</oddHeader>
    <oddFooter>&amp;R&amp;8（事業所等用）</oddFooter>
  </headerFooter>
  <rowBreaks count="1" manualBreakCount="1">
    <brk id="35"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00B050"/>
  </sheetPr>
  <dimension ref="A3:AI40"/>
  <sheetViews>
    <sheetView showGridLines="0" view="pageBreakPreview" zoomScaleNormal="100" zoomScaleSheetLayoutView="100" workbookViewId="0">
      <selection activeCell="C29" sqref="C29:P29"/>
    </sheetView>
  </sheetViews>
  <sheetFormatPr defaultColWidth="9" defaultRowHeight="21.6"/>
  <cols>
    <col min="1" max="9" width="5.6640625" style="8" customWidth="1"/>
    <col min="10" max="10" width="6.33203125" style="8" bestFit="1" customWidth="1"/>
    <col min="11" max="14" width="5.6640625" style="8" customWidth="1"/>
    <col min="15" max="15" width="7.33203125" style="8" bestFit="1" customWidth="1"/>
    <col min="16" max="16" width="5.6640625" style="8" customWidth="1"/>
    <col min="17" max="17" width="5.6640625" style="601" customWidth="1"/>
    <col min="18" max="20" width="5.6640625" style="8" customWidth="1"/>
    <col min="21" max="26" width="7" style="8" customWidth="1"/>
    <col min="27" max="38" width="5.6640625" style="8" customWidth="1"/>
    <col min="39" max="16384" width="9" style="8"/>
  </cols>
  <sheetData>
    <row r="3" spans="1:17" ht="25.5" customHeight="1">
      <c r="C3" s="672" t="s">
        <v>5002</v>
      </c>
      <c r="D3" s="672"/>
      <c r="E3" s="672"/>
      <c r="F3" s="672"/>
      <c r="G3" s="672"/>
      <c r="H3" s="672"/>
      <c r="I3" s="672"/>
      <c r="J3" s="672"/>
      <c r="K3" s="672"/>
      <c r="L3" s="672"/>
      <c r="M3" s="591" t="str">
        <f>" 第 "&amp;はじめに!F29&amp;" 年度分"</f>
        <v xml:space="preserve"> 第  年度分</v>
      </c>
      <c r="O3" s="591"/>
      <c r="P3" s="591"/>
    </row>
    <row r="5" spans="1:17" s="22" customFormat="1" ht="17.25" customHeight="1">
      <c r="A5" s="155" t="s">
        <v>81</v>
      </c>
      <c r="Q5" s="107"/>
    </row>
    <row r="6" spans="1:17" s="22" customFormat="1" ht="27" customHeight="1">
      <c r="A6" s="673" t="s">
        <v>5</v>
      </c>
      <c r="B6" s="673"/>
      <c r="C6" s="673"/>
      <c r="D6" s="673"/>
      <c r="E6" s="915" t="str">
        <f>IF(はじめに!E6="","",はじめに!E6)</f>
        <v/>
      </c>
      <c r="F6" s="916"/>
      <c r="G6" s="916"/>
      <c r="H6" s="916"/>
      <c r="I6" s="916"/>
      <c r="J6" s="916"/>
      <c r="K6" s="916"/>
      <c r="L6" s="916"/>
      <c r="M6" s="916"/>
      <c r="N6" s="916"/>
      <c r="O6" s="916"/>
      <c r="P6" s="917"/>
      <c r="Q6" s="107"/>
    </row>
    <row r="7" spans="1:17" s="22" customFormat="1" ht="27" customHeight="1">
      <c r="A7" s="673" t="s">
        <v>6</v>
      </c>
      <c r="B7" s="673"/>
      <c r="C7" s="673"/>
      <c r="D7" s="673"/>
      <c r="E7" s="915" t="str">
        <f>IF(はじめに!E14="","",はじめに!E14)</f>
        <v/>
      </c>
      <c r="F7" s="916"/>
      <c r="G7" s="916"/>
      <c r="H7" s="916"/>
      <c r="I7" s="916"/>
      <c r="J7" s="916"/>
      <c r="K7" s="916"/>
      <c r="L7" s="916"/>
      <c r="M7" s="916"/>
      <c r="N7" s="916"/>
      <c r="O7" s="916"/>
      <c r="P7" s="917"/>
      <c r="Q7" s="107"/>
    </row>
    <row r="8" spans="1:17" s="22" customFormat="1" ht="27" customHeight="1">
      <c r="A8" s="673" t="s">
        <v>7</v>
      </c>
      <c r="B8" s="673"/>
      <c r="C8" s="673"/>
      <c r="D8" s="673"/>
      <c r="E8" s="915" t="str">
        <f>IF(はじめに!E16="","",はじめに!E16)</f>
        <v/>
      </c>
      <c r="F8" s="916"/>
      <c r="G8" s="916"/>
      <c r="H8" s="916"/>
      <c r="I8" s="916"/>
      <c r="J8" s="916"/>
      <c r="K8" s="916"/>
      <c r="L8" s="916"/>
      <c r="M8" s="916"/>
      <c r="N8" s="916"/>
      <c r="O8" s="916"/>
      <c r="P8" s="917"/>
      <c r="Q8" s="107"/>
    </row>
    <row r="9" spans="1:17" s="22" customFormat="1" ht="27" customHeight="1">
      <c r="A9" s="673" t="s">
        <v>169</v>
      </c>
      <c r="B9" s="673"/>
      <c r="C9" s="673"/>
      <c r="D9" s="673"/>
      <c r="E9" s="915" t="str">
        <f>IF(はじめに!E18="","",はじめに!E18)</f>
        <v/>
      </c>
      <c r="F9" s="916"/>
      <c r="G9" s="916"/>
      <c r="H9" s="916"/>
      <c r="I9" s="916"/>
      <c r="J9" s="916"/>
      <c r="K9" s="916"/>
      <c r="L9" s="916"/>
      <c r="M9" s="916"/>
      <c r="N9" s="916"/>
      <c r="O9" s="916"/>
      <c r="P9" s="917"/>
      <c r="Q9" s="107"/>
    </row>
    <row r="10" spans="1:17" s="22" customFormat="1" ht="27" customHeight="1">
      <c r="A10" s="683" t="s">
        <v>82</v>
      </c>
      <c r="B10" s="684"/>
      <c r="C10" s="684"/>
      <c r="D10" s="685"/>
      <c r="E10" s="675" t="s">
        <v>83</v>
      </c>
      <c r="F10" s="676"/>
      <c r="G10" s="680" t="str">
        <f>IF(はじめに!E19="","",はじめに!E19)</f>
        <v/>
      </c>
      <c r="H10" s="681"/>
      <c r="I10" s="681"/>
      <c r="J10" s="258" t="s">
        <v>3104</v>
      </c>
      <c r="K10" s="675" t="s">
        <v>84</v>
      </c>
      <c r="L10" s="676"/>
      <c r="M10" s="680" t="str">
        <f>IF(はじめに!E20="","",はじめに!E20)</f>
        <v/>
      </c>
      <c r="N10" s="681"/>
      <c r="O10" s="681"/>
      <c r="P10" s="258" t="s">
        <v>3105</v>
      </c>
      <c r="Q10" s="107"/>
    </row>
    <row r="11" spans="1:17" s="22" customFormat="1" ht="13.5" customHeight="1">
      <c r="Q11" s="107"/>
    </row>
    <row r="12" spans="1:17" s="22" customFormat="1" ht="17.25" customHeight="1">
      <c r="A12" s="155" t="s">
        <v>3113</v>
      </c>
      <c r="B12" s="155"/>
      <c r="C12" s="155"/>
      <c r="D12" s="155"/>
      <c r="E12" s="155"/>
      <c r="F12" s="155"/>
      <c r="G12" s="155"/>
      <c r="H12" s="603"/>
      <c r="I12" s="155"/>
      <c r="J12" s="155"/>
      <c r="K12" s="155"/>
      <c r="L12" s="155"/>
      <c r="M12" s="155"/>
      <c r="N12" s="155"/>
      <c r="O12" s="155"/>
      <c r="P12" s="155"/>
      <c r="Q12" s="107"/>
    </row>
    <row r="13" spans="1:17" s="22" customFormat="1" ht="119.25" customHeight="1">
      <c r="A13" s="918" t="str">
        <f>IF('計画書①（事業所概要・目標）'!A13="","",'計画書①（事業所概要・目標）'!A13)</f>
        <v/>
      </c>
      <c r="B13" s="918"/>
      <c r="C13" s="918"/>
      <c r="D13" s="918"/>
      <c r="E13" s="918"/>
      <c r="F13" s="918"/>
      <c r="G13" s="918"/>
      <c r="H13" s="918"/>
      <c r="I13" s="918"/>
      <c r="J13" s="918"/>
      <c r="K13" s="918"/>
      <c r="L13" s="918"/>
      <c r="M13" s="918"/>
      <c r="N13" s="918"/>
      <c r="O13" s="918"/>
      <c r="P13" s="918"/>
      <c r="Q13" s="107"/>
    </row>
    <row r="14" spans="1:17" s="22" customFormat="1" ht="16.2">
      <c r="Q14" s="107"/>
    </row>
    <row r="15" spans="1:17" s="22" customFormat="1" ht="17.25" customHeight="1">
      <c r="A15" s="155" t="s">
        <v>3114</v>
      </c>
      <c r="B15" s="109"/>
      <c r="C15" s="109"/>
      <c r="D15" s="109"/>
      <c r="E15" s="604"/>
      <c r="F15" s="604"/>
      <c r="G15" s="605"/>
      <c r="H15" s="605"/>
      <c r="I15" s="605"/>
      <c r="J15" s="605"/>
      <c r="K15" s="606"/>
      <c r="L15" s="109"/>
      <c r="M15" s="605"/>
      <c r="N15" s="109"/>
      <c r="O15" s="109"/>
      <c r="P15" s="109"/>
      <c r="Q15" s="107"/>
    </row>
    <row r="16" spans="1:17" s="22" customFormat="1" ht="276.75" customHeight="1">
      <c r="A16" s="919" t="str">
        <f>IF('計画書①（事業所概要・目標）'!A16="","",'計画書①（事業所概要・目標）'!A16)</f>
        <v/>
      </c>
      <c r="B16" s="919"/>
      <c r="C16" s="919"/>
      <c r="D16" s="919"/>
      <c r="E16" s="919"/>
      <c r="F16" s="919"/>
      <c r="G16" s="919"/>
      <c r="H16" s="919"/>
      <c r="I16" s="919"/>
      <c r="J16" s="919"/>
      <c r="K16" s="919"/>
      <c r="L16" s="919"/>
      <c r="M16" s="919"/>
      <c r="N16" s="919"/>
      <c r="O16" s="919"/>
      <c r="P16" s="919"/>
      <c r="Q16" s="107"/>
    </row>
    <row r="17" spans="1:35" s="22" customFormat="1" ht="16.2">
      <c r="Q17" s="107"/>
    </row>
    <row r="18" spans="1:35" s="22" customFormat="1" ht="16.2">
      <c r="Q18" s="107"/>
    </row>
    <row r="19" spans="1:35" s="22" customFormat="1" ht="16.2">
      <c r="Q19" s="107"/>
    </row>
    <row r="20" spans="1:35" s="22" customFormat="1" ht="16.2">
      <c r="Q20" s="107"/>
    </row>
    <row r="21" spans="1:35" s="22" customFormat="1" ht="16.2">
      <c r="A21" s="22" t="s">
        <v>5200</v>
      </c>
      <c r="Q21" s="107"/>
      <c r="AG21" s="123">
        <v>4</v>
      </c>
      <c r="AH21" s="123"/>
      <c r="AI21" s="123">
        <v>50</v>
      </c>
    </row>
    <row r="22" spans="1:35" s="22" customFormat="1" ht="32.25" customHeight="1">
      <c r="A22" s="920" t="s">
        <v>89</v>
      </c>
      <c r="B22" s="921"/>
      <c r="C22" s="922" t="str">
        <f>IF(はじめに!E4="","",はじめに!E4)</f>
        <v/>
      </c>
      <c r="D22" s="923"/>
      <c r="E22" s="602" t="s">
        <v>94</v>
      </c>
      <c r="F22" s="924" t="s">
        <v>90</v>
      </c>
      <c r="G22" s="924"/>
      <c r="H22" s="677" t="str">
        <f>IF('計画書①（事業所概要・目標）'!H24="","",'計画書①（事業所概要・目標）'!H24)</f>
        <v/>
      </c>
      <c r="I22" s="678"/>
      <c r="J22" s="607" t="s">
        <v>5201</v>
      </c>
      <c r="K22" s="924" t="s">
        <v>91</v>
      </c>
      <c r="L22" s="924"/>
      <c r="M22" s="650" t="str">
        <f>IF('計画書①（事業所概要・目標）'!M24="","",'計画書①（事業所概要・目標）'!M24)</f>
        <v/>
      </c>
      <c r="N22" s="651"/>
      <c r="O22" s="608" t="s">
        <v>5202</v>
      </c>
      <c r="P22" s="609" t="str">
        <f>IF('計画書①（事業所概要・目標）'!$P$24="","",'計画書①（事業所概要・目標）'!$P$24)</f>
        <v/>
      </c>
      <c r="Q22" s="107"/>
      <c r="AG22" s="123">
        <v>3</v>
      </c>
      <c r="AH22" s="123">
        <v>4</v>
      </c>
      <c r="AI22" s="123">
        <v>40</v>
      </c>
    </row>
    <row r="23" spans="1:35" s="22" customFormat="1" ht="32.25" customHeight="1">
      <c r="A23" s="931" t="s">
        <v>92</v>
      </c>
      <c r="B23" s="932"/>
      <c r="C23" s="925">
        <f>IF(はじめに!H3="","",はじめに!H3)</f>
        <v>2025</v>
      </c>
      <c r="D23" s="926"/>
      <c r="E23" s="929" t="s">
        <v>94</v>
      </c>
      <c r="F23" s="924" t="s">
        <v>95</v>
      </c>
      <c r="G23" s="924"/>
      <c r="H23" s="677" t="str">
        <f>IF('計画書①（事業所概要・目標）'!H25="","",'計画書①（事業所概要・目標）'!H25)</f>
        <v/>
      </c>
      <c r="I23" s="678"/>
      <c r="J23" s="607" t="s">
        <v>5201</v>
      </c>
      <c r="K23" s="924" t="s">
        <v>93</v>
      </c>
      <c r="L23" s="924"/>
      <c r="M23" s="650" t="str">
        <f>IF('計画書①（事業所概要・目標）'!M25="","",'計画書①（事業所概要・目標）'!M25)</f>
        <v/>
      </c>
      <c r="N23" s="651"/>
      <c r="O23" s="608" t="s">
        <v>5202</v>
      </c>
      <c r="P23" s="609" t="str">
        <f>IF('計画書①（事業所概要・目標）'!$P$24="","",'計画書①（事業所概要・目標）'!$P$24)</f>
        <v/>
      </c>
      <c r="Q23" s="107"/>
      <c r="U23" s="110" t="s">
        <v>4102</v>
      </c>
      <c r="V23" s="110" t="s">
        <v>4169</v>
      </c>
      <c r="W23" s="110" t="s">
        <v>4170</v>
      </c>
      <c r="X23" s="110" t="s">
        <v>4171</v>
      </c>
      <c r="Y23" s="110" t="s">
        <v>4172</v>
      </c>
      <c r="Z23" s="110" t="s">
        <v>4168</v>
      </c>
      <c r="AG23" s="123">
        <v>2</v>
      </c>
      <c r="AH23" s="123">
        <v>3</v>
      </c>
      <c r="AI23" s="123">
        <v>30</v>
      </c>
    </row>
    <row r="24" spans="1:35" s="22" customFormat="1" ht="32.25" customHeight="1">
      <c r="A24" s="933"/>
      <c r="B24" s="934"/>
      <c r="C24" s="927"/>
      <c r="D24" s="928"/>
      <c r="E24" s="930"/>
      <c r="F24" s="924" t="s">
        <v>4173</v>
      </c>
      <c r="G24" s="924"/>
      <c r="H24" s="937" t="str">
        <f>IF('計画書①（事業所概要・目標）'!H26="","",'計画書①（事業所概要・目標）'!H26)</f>
        <v/>
      </c>
      <c r="I24" s="938"/>
      <c r="J24" s="610" t="s">
        <v>96</v>
      </c>
      <c r="K24" s="924" t="s">
        <v>4173</v>
      </c>
      <c r="L24" s="924"/>
      <c r="M24" s="657" t="str">
        <f>IF('計画書①（事業所概要・目標）'!M26="","",'計画書①（事業所概要・目標）'!M26)</f>
        <v/>
      </c>
      <c r="N24" s="658"/>
      <c r="O24" s="608" t="s">
        <v>96</v>
      </c>
      <c r="P24" s="611"/>
      <c r="Q24" s="107"/>
      <c r="U24" s="110" t="s">
        <v>4174</v>
      </c>
      <c r="V24" s="612" t="str">
        <f>IF(H27="","",H27)</f>
        <v/>
      </c>
      <c r="W24" s="612" t="str">
        <f>IF(H31="","",H31)</f>
        <v/>
      </c>
      <c r="X24" s="612" t="str">
        <f>IF(H35="","",H35)</f>
        <v/>
      </c>
      <c r="Y24" s="612" t="str">
        <f>IFERROR(AVERAGE(V24:X24),"")</f>
        <v/>
      </c>
      <c r="Z24" s="613" t="str">
        <f>IF(Y24="","",IF(Y24&gt;=$AG$21,$AI$21,IF(AND(Y24&gt;=$AG$22,Y24&lt;$AH$22),$AI$22,IF(AND(Y24&gt;=$AG$23,Y24&lt;$AH$23),$AI$23,IF(AND(Y24&gt;=$AG$24,Y24&lt;$AH$24),$AI$24,IF(AND(Y24&gt;=$AG$25,Y24&lt;$AH$25),$AI$25,$AI$26))))))</f>
        <v/>
      </c>
      <c r="AG24" s="123">
        <v>1</v>
      </c>
      <c r="AH24" s="123">
        <v>2</v>
      </c>
      <c r="AI24" s="123">
        <v>20</v>
      </c>
    </row>
    <row r="25" spans="1:35" s="22" customFormat="1" ht="51.6" customHeight="1">
      <c r="A25" s="935"/>
      <c r="B25" s="936"/>
      <c r="C25" s="650" t="s">
        <v>4996</v>
      </c>
      <c r="D25" s="682"/>
      <c r="E25" s="661"/>
      <c r="F25" s="660" t="s">
        <v>4997</v>
      </c>
      <c r="G25" s="661"/>
      <c r="H25" s="657" t="str">
        <f>IF('計画書①（事業所概要・目標）'!H27="","",'計画書①（事業所概要・目標）'!H27)</f>
        <v/>
      </c>
      <c r="I25" s="658"/>
      <c r="J25" s="614" t="s">
        <v>96</v>
      </c>
      <c r="K25" s="660" t="s">
        <v>4998</v>
      </c>
      <c r="L25" s="661"/>
      <c r="M25" s="657" t="str">
        <f>IF('計画書①（事業所概要・目標）'!M27="","",'計画書①（事業所概要・目標）'!M27)</f>
        <v/>
      </c>
      <c r="N25" s="658"/>
      <c r="O25" s="614" t="s">
        <v>96</v>
      </c>
      <c r="P25" s="257"/>
      <c r="Q25" s="107"/>
      <c r="U25" s="110" t="s">
        <v>4178</v>
      </c>
      <c r="V25" s="612" t="str">
        <f>IF(M27="","",M27)</f>
        <v/>
      </c>
      <c r="W25" s="612" t="str">
        <f>IF(M31="","",M31)</f>
        <v/>
      </c>
      <c r="X25" s="612" t="str">
        <f>IF(M35="","",M35)</f>
        <v/>
      </c>
      <c r="Y25" s="612" t="str">
        <f>IFERROR(AVERAGE(V25:X25),"")</f>
        <v/>
      </c>
      <c r="Z25" s="613" t="str">
        <f>IF(Y25="","",IF(Y25&gt;=$AG$21,$AI$21,IF(AND(Y25&gt;=$AG$22,Y25&lt;$AH$22),$AI$22,IF(AND(Y25&gt;=$AG$23,Y25&lt;$AH$23),$AI$23,IF(AND(Y25&gt;=$AG$24,Y25&lt;$AH$24),$AI$24,IF(AND(Y25&gt;=$AG$25,Y25&lt;$AH$25),$AI$25,$AI$26))))))</f>
        <v/>
      </c>
      <c r="AG25" s="123">
        <v>0</v>
      </c>
      <c r="AH25" s="123">
        <v>1</v>
      </c>
      <c r="AI25" s="123">
        <v>10</v>
      </c>
    </row>
    <row r="26" spans="1:35" s="22" customFormat="1" ht="39.6" customHeight="1">
      <c r="A26" s="931" t="s">
        <v>4175</v>
      </c>
      <c r="B26" s="932"/>
      <c r="C26" s="925" t="str">
        <f>IF(はじめに!E3="","",はじめに!E3)</f>
        <v/>
      </c>
      <c r="D26" s="926"/>
      <c r="E26" s="929" t="s">
        <v>94</v>
      </c>
      <c r="F26" s="615" t="s">
        <v>4176</v>
      </c>
      <c r="G26" s="615"/>
      <c r="H26" s="943" t="str">
        <f>IF('事業所排出量内訳（第1年度)'!R4=0,"",'事業所排出量内訳（第1年度)'!V28)</f>
        <v/>
      </c>
      <c r="I26" s="944"/>
      <c r="J26" s="616" t="s">
        <v>5201</v>
      </c>
      <c r="K26" s="615" t="s">
        <v>4177</v>
      </c>
      <c r="L26" s="615"/>
      <c r="M26" s="939" t="str">
        <f>IF('事業所排出量内訳（第1年度)'!R4=0,"",'事業所排出量内訳（第1年度)'!V31)</f>
        <v/>
      </c>
      <c r="N26" s="940"/>
      <c r="O26" s="614" t="s">
        <v>5202</v>
      </c>
      <c r="P26" s="609" t="str">
        <f>IF('計画書①（事業所概要・目標）'!$P$24="","",'計画書①（事業所概要・目標）'!$P$24)</f>
        <v/>
      </c>
      <c r="Q26" s="107"/>
      <c r="AG26" s="123"/>
      <c r="AH26" s="123">
        <v>0</v>
      </c>
      <c r="AI26" s="123">
        <v>0</v>
      </c>
    </row>
    <row r="27" spans="1:35" s="22" customFormat="1" ht="39.6" customHeight="1">
      <c r="A27" s="933"/>
      <c r="B27" s="934"/>
      <c r="C27" s="927"/>
      <c r="D27" s="928"/>
      <c r="E27" s="930"/>
      <c r="F27" s="615" t="s">
        <v>4099</v>
      </c>
      <c r="G27" s="615"/>
      <c r="H27" s="941" t="str">
        <f>IFERROR(IF(H26="","",INT(($H$22-H26)/$H$22*10000)/100),"")</f>
        <v/>
      </c>
      <c r="I27" s="942"/>
      <c r="J27" s="616" t="s">
        <v>96</v>
      </c>
      <c r="K27" s="615" t="s">
        <v>4099</v>
      </c>
      <c r="L27" s="615"/>
      <c r="M27" s="941" t="str">
        <f>IFERROR(IF(M26="","",INT(($M$22-M26)/$M$22*10000)/100),"")</f>
        <v/>
      </c>
      <c r="N27" s="942"/>
      <c r="O27" s="614" t="s">
        <v>96</v>
      </c>
      <c r="P27" s="611"/>
      <c r="Q27" s="107"/>
    </row>
    <row r="28" spans="1:35" s="22" customFormat="1" ht="51.6" customHeight="1">
      <c r="A28" s="935"/>
      <c r="B28" s="936"/>
      <c r="C28" s="650" t="s">
        <v>5003</v>
      </c>
      <c r="D28" s="682"/>
      <c r="E28" s="661"/>
      <c r="F28" s="660" t="s">
        <v>4997</v>
      </c>
      <c r="G28" s="661"/>
      <c r="H28" s="657" t="str">
        <f>IF(AND('事業所排出量内訳（第1年度)'!R4=0,
                COUNTBLANK('事業所排出量内訳（第1年度)'!I35:J35)
               +COUNTBLANK('事業所排出量内訳（第1年度)'!I56:J56)
               +COUNTBLANK('事業所排出量内訳（第1年度)'!I68:J68)
               +COUNTBLANK('事業所排出量内訳（第1年度)'!I72:J76)
               +COUNTBLANK('事業所排出量内訳（第1年度)'!W103)=17),"",'事業所排出量内訳（第1年度)'!V20*100)</f>
        <v/>
      </c>
      <c r="I28" s="658"/>
      <c r="J28" s="614" t="s">
        <v>96</v>
      </c>
      <c r="K28" s="660" t="s">
        <v>4998</v>
      </c>
      <c r="L28" s="661"/>
      <c r="M28" s="657" t="str">
        <f>IF(AND('事業所排出量内訳（第1年度)'!R4=0,
                COUNTBLANK('事業所排出量内訳（第1年度)'!I35:J35)
               +COUNTBLANK('事業所排出量内訳（第1年度)'!I56:J56)
               +COUNTBLANK('事業所排出量内訳（第1年度)'!I68:J68)
               +COUNTBLANK('事業所排出量内訳（第1年度)'!I72:J76)
               +COUNTBLANK('事業所排出量内訳（第1年度)'!W103)=17),"",'事業所排出量内訳（第1年度)'!X20*100)</f>
        <v/>
      </c>
      <c r="N28" s="658"/>
      <c r="O28" s="614" t="s">
        <v>96</v>
      </c>
      <c r="P28" s="257"/>
      <c r="Q28" s="107"/>
    </row>
    <row r="29" spans="1:35" s="22" customFormat="1" ht="72" customHeight="1">
      <c r="A29" s="646" t="s">
        <v>4179</v>
      </c>
      <c r="B29" s="646"/>
      <c r="C29" s="945"/>
      <c r="D29" s="945"/>
      <c r="E29" s="945"/>
      <c r="F29" s="945"/>
      <c r="G29" s="945"/>
      <c r="H29" s="945"/>
      <c r="I29" s="945"/>
      <c r="J29" s="945"/>
      <c r="K29" s="945"/>
      <c r="L29" s="945"/>
      <c r="M29" s="945"/>
      <c r="N29" s="945"/>
      <c r="O29" s="945"/>
      <c r="P29" s="945"/>
      <c r="Q29" s="107"/>
    </row>
    <row r="30" spans="1:35" s="22" customFormat="1" ht="32.4" customHeight="1">
      <c r="A30" s="931" t="s">
        <v>4180</v>
      </c>
      <c r="B30" s="932"/>
      <c r="C30" s="925" t="str">
        <f>IF(はじめに!E3="","",はじめに!H3-1)</f>
        <v/>
      </c>
      <c r="D30" s="926"/>
      <c r="E30" s="929" t="s">
        <v>94</v>
      </c>
      <c r="F30" s="615" t="s">
        <v>4176</v>
      </c>
      <c r="G30" s="615"/>
      <c r="H30" s="946" t="str">
        <f>IF('事業所排出量内訳（第2年度)'!R4=0,"",'事業所排出量内訳（第2年度)'!V28)</f>
        <v/>
      </c>
      <c r="I30" s="947"/>
      <c r="J30" s="616" t="s">
        <v>5201</v>
      </c>
      <c r="K30" s="615" t="s">
        <v>4177</v>
      </c>
      <c r="L30" s="615"/>
      <c r="M30" s="922" t="str">
        <f>IF('事業所排出量内訳（第2年度)'!R4=0,"",'事業所排出量内訳（第2年度)'!V31)</f>
        <v/>
      </c>
      <c r="N30" s="923"/>
      <c r="O30" s="614" t="s">
        <v>5202</v>
      </c>
      <c r="P30" s="609" t="str">
        <f>IF('計画書①（事業所概要・目標）'!$P$24="","",'計画書①（事業所概要・目標）'!$P$24)</f>
        <v/>
      </c>
      <c r="Q30" s="107"/>
    </row>
    <row r="31" spans="1:35" s="22" customFormat="1" ht="32.4" customHeight="1">
      <c r="A31" s="933"/>
      <c r="B31" s="934"/>
      <c r="C31" s="927"/>
      <c r="D31" s="928"/>
      <c r="E31" s="930"/>
      <c r="F31" s="615" t="s">
        <v>4099</v>
      </c>
      <c r="G31" s="615"/>
      <c r="H31" s="948" t="str">
        <f>IFERROR(IF(H30="","",INT(($H$22-H30)/$H$22*10000)/100),"")</f>
        <v/>
      </c>
      <c r="I31" s="949"/>
      <c r="J31" s="616" t="s">
        <v>96</v>
      </c>
      <c r="K31" s="615" t="s">
        <v>4099</v>
      </c>
      <c r="L31" s="615"/>
      <c r="M31" s="948" t="str">
        <f>IFERROR(IF(M30="","",INT(($M$22-M30)/$M$22*10000)/100),"")</f>
        <v/>
      </c>
      <c r="N31" s="949"/>
      <c r="O31" s="614" t="s">
        <v>96</v>
      </c>
      <c r="P31" s="258"/>
      <c r="Q31" s="107"/>
    </row>
    <row r="32" spans="1:35" s="22" customFormat="1" ht="51.6" customHeight="1">
      <c r="A32" s="935"/>
      <c r="B32" s="936"/>
      <c r="C32" s="650" t="s">
        <v>5003</v>
      </c>
      <c r="D32" s="682"/>
      <c r="E32" s="661"/>
      <c r="F32" s="660" t="s">
        <v>4997</v>
      </c>
      <c r="G32" s="661"/>
      <c r="H32" s="657" t="str">
        <f>IF(AND('事業所排出量内訳（第2年度)'!R4=0,
                COUNTBLANK('事業所排出量内訳（第2年度)'!I35:J35)
               +COUNTBLANK('事業所排出量内訳（第2年度)'!I56:J56)
               +COUNTBLANK('事業所排出量内訳（第2年度)'!I68:J68)
               +COUNTBLANK('事業所排出量内訳（第2年度)'!I72:J76)
               +COUNTBLANK('事業所排出量内訳（第2年度)'!W103)=17),"",'事業所排出量内訳（第2年度)'!V20*100)</f>
        <v/>
      </c>
      <c r="I32" s="658"/>
      <c r="J32" s="614" t="s">
        <v>96</v>
      </c>
      <c r="K32" s="660" t="s">
        <v>4998</v>
      </c>
      <c r="L32" s="661"/>
      <c r="M32" s="657" t="str">
        <f>IF(AND('事業所排出量内訳（第2年度)'!R4=0,
                COUNTBLANK('事業所排出量内訳（第2年度)'!I35:J35)
               +COUNTBLANK('事業所排出量内訳（第2年度)'!I56:J56)
               +COUNTBLANK('事業所排出量内訳（第2年度)'!I68:J68)
               +COUNTBLANK('事業所排出量内訳（第2年度)'!I72:J76)
               +COUNTBLANK('事業所排出量内訳（第2年度)'!W103)=17),"",'事業所排出量内訳（第2年度)'!X20*100)</f>
        <v/>
      </c>
      <c r="N32" s="658"/>
      <c r="O32" s="614" t="s">
        <v>96</v>
      </c>
      <c r="P32" s="257"/>
      <c r="Q32" s="107"/>
    </row>
    <row r="33" spans="1:17" s="22" customFormat="1" ht="95.4" customHeight="1">
      <c r="A33" s="646" t="s">
        <v>4179</v>
      </c>
      <c r="B33" s="646"/>
      <c r="C33" s="945"/>
      <c r="D33" s="945"/>
      <c r="E33" s="945"/>
      <c r="F33" s="945"/>
      <c r="G33" s="945"/>
      <c r="H33" s="945"/>
      <c r="I33" s="945"/>
      <c r="J33" s="945"/>
      <c r="K33" s="945"/>
      <c r="L33" s="945"/>
      <c r="M33" s="945"/>
      <c r="N33" s="945"/>
      <c r="O33" s="945"/>
      <c r="P33" s="945"/>
      <c r="Q33" s="107"/>
    </row>
    <row r="34" spans="1:17" s="22" customFormat="1" ht="36.6" customHeight="1">
      <c r="A34" s="931" t="s">
        <v>4181</v>
      </c>
      <c r="B34" s="932"/>
      <c r="C34" s="925" t="str">
        <f>IF(はじめに!E3="","",はじめに!H3)</f>
        <v/>
      </c>
      <c r="D34" s="926"/>
      <c r="E34" s="929" t="s">
        <v>94</v>
      </c>
      <c r="F34" s="615" t="s">
        <v>4176</v>
      </c>
      <c r="G34" s="615"/>
      <c r="H34" s="946" t="str">
        <f>IF('事業所排出量内訳（第3年度)'!R4=0,"",'事業所排出量内訳（第3年度)'!V28)</f>
        <v/>
      </c>
      <c r="I34" s="947"/>
      <c r="J34" s="616" t="s">
        <v>5201</v>
      </c>
      <c r="K34" s="615" t="s">
        <v>4177</v>
      </c>
      <c r="L34" s="615"/>
      <c r="M34" s="922" t="str">
        <f>IF('事業所排出量内訳（第3年度)'!R4=0,"",'事業所排出量内訳（第3年度)'!V31)</f>
        <v/>
      </c>
      <c r="N34" s="923"/>
      <c r="O34" s="614" t="s">
        <v>5202</v>
      </c>
      <c r="P34" s="609" t="str">
        <f>IF('計画書①（事業所概要・目標）'!$P$24="","",'計画書①（事業所概要・目標）'!$P$24)</f>
        <v/>
      </c>
      <c r="Q34" s="107"/>
    </row>
    <row r="35" spans="1:17" s="22" customFormat="1" ht="36.6" customHeight="1">
      <c r="A35" s="933"/>
      <c r="B35" s="934"/>
      <c r="C35" s="927"/>
      <c r="D35" s="928"/>
      <c r="E35" s="930"/>
      <c r="F35" s="615" t="s">
        <v>4099</v>
      </c>
      <c r="G35" s="615"/>
      <c r="H35" s="948" t="str">
        <f>IFERROR(IF(H34="","",INT(($H$22-H34)/$H$22*10000)/100),"")</f>
        <v/>
      </c>
      <c r="I35" s="949"/>
      <c r="J35" s="616" t="s">
        <v>96</v>
      </c>
      <c r="K35" s="615" t="s">
        <v>4099</v>
      </c>
      <c r="L35" s="615"/>
      <c r="M35" s="948" t="str">
        <f>IFERROR(IF(M34="","",INT(($M$22-M34)/$M$22*10000)/100),"")</f>
        <v/>
      </c>
      <c r="N35" s="949"/>
      <c r="O35" s="614" t="s">
        <v>96</v>
      </c>
      <c r="P35" s="258"/>
      <c r="Q35" s="107"/>
    </row>
    <row r="36" spans="1:17" s="22" customFormat="1" ht="51.6" customHeight="1">
      <c r="A36" s="935"/>
      <c r="B36" s="936"/>
      <c r="C36" s="650" t="s">
        <v>5003</v>
      </c>
      <c r="D36" s="682"/>
      <c r="E36" s="661"/>
      <c r="F36" s="660" t="s">
        <v>4997</v>
      </c>
      <c r="G36" s="661"/>
      <c r="H36" s="657" t="str">
        <f>IF(AND('事業所排出量内訳（第3年度)'!R4=0,
                COUNTBLANK('事業所排出量内訳（第3年度)'!I35:J35)
               +COUNTBLANK('事業所排出量内訳（第3年度)'!I56:J56)
               +COUNTBLANK('事業所排出量内訳（第3年度)'!I68:J68)
               +COUNTBLANK('事業所排出量内訳（第3年度)'!I72:J76)
               +COUNTBLANK('事業所排出量内訳（第3年度)'!W103)=17),"",'事業所排出量内訳（第3年度)'!V20*100)</f>
        <v/>
      </c>
      <c r="I36" s="658"/>
      <c r="J36" s="614" t="s">
        <v>96</v>
      </c>
      <c r="K36" s="660" t="s">
        <v>4998</v>
      </c>
      <c r="L36" s="661"/>
      <c r="M36" s="657" t="str">
        <f>IF(AND('事業所排出量内訳（第3年度)'!R4=0,
                COUNTBLANK('事業所排出量内訳（第3年度)'!I35:J35)
               +COUNTBLANK('事業所排出量内訳（第3年度)'!I56:J56)
               +COUNTBLANK('事業所排出量内訳（第3年度)'!I68:J68)
               +COUNTBLANK('事業所排出量内訳（第3年度)'!I72:J76)
               +COUNTBLANK('事業所排出量内訳（第3年度)'!W103)=17),"",'事業所排出量内訳（第3年度)'!X20*100)</f>
        <v/>
      </c>
      <c r="N36" s="658"/>
      <c r="O36" s="614" t="s">
        <v>96</v>
      </c>
      <c r="P36" s="257"/>
      <c r="Q36" s="107"/>
    </row>
    <row r="37" spans="1:17" s="22" customFormat="1" ht="93" customHeight="1">
      <c r="A37" s="646" t="s">
        <v>4179</v>
      </c>
      <c r="B37" s="646"/>
      <c r="C37" s="679"/>
      <c r="D37" s="679"/>
      <c r="E37" s="679"/>
      <c r="F37" s="679"/>
      <c r="G37" s="679"/>
      <c r="H37" s="679"/>
      <c r="I37" s="679"/>
      <c r="J37" s="679"/>
      <c r="K37" s="679"/>
      <c r="L37" s="679"/>
      <c r="M37" s="679"/>
      <c r="N37" s="679"/>
      <c r="O37" s="679"/>
      <c r="P37" s="679"/>
      <c r="Q37" s="107"/>
    </row>
    <row r="38" spans="1:17" s="22" customFormat="1" ht="4.3499999999999996" customHeight="1">
      <c r="Q38" s="107"/>
    </row>
    <row r="39" spans="1:17" ht="4.3499999999999996" customHeight="1"/>
    <row r="40" spans="1:17" ht="4.3499999999999996" customHeight="1"/>
  </sheetData>
  <sheetProtection algorithmName="SHA-512" hashValue="SEmWMk1BsaqN39qSIzszG2Ktb+UHFjqASwEjQYyBB/Yx2jJJpLczKehIjOBu31bIhs8xDjPJlUCCYMj+y8oX3Q==" saltValue="AjaRvJFdw21J94u6ACRFAw==" spinCount="100000" sheet="1" scenarios="1" selectLockedCells="1"/>
  <mergeCells count="80">
    <mergeCell ref="H36:I36"/>
    <mergeCell ref="K36:L36"/>
    <mergeCell ref="M36:N36"/>
    <mergeCell ref="A33:B33"/>
    <mergeCell ref="C33:P33"/>
    <mergeCell ref="A34:B36"/>
    <mergeCell ref="C34:D35"/>
    <mergeCell ref="E34:E35"/>
    <mergeCell ref="C36:E36"/>
    <mergeCell ref="F36:G36"/>
    <mergeCell ref="M34:N34"/>
    <mergeCell ref="H35:I35"/>
    <mergeCell ref="M35:N35"/>
    <mergeCell ref="H34:I34"/>
    <mergeCell ref="A30:B32"/>
    <mergeCell ref="C30:D31"/>
    <mergeCell ref="E30:E31"/>
    <mergeCell ref="C32:E32"/>
    <mergeCell ref="F32:G32"/>
    <mergeCell ref="H32:I32"/>
    <mergeCell ref="K32:L32"/>
    <mergeCell ref="M32:N32"/>
    <mergeCell ref="K25:L25"/>
    <mergeCell ref="M25:N25"/>
    <mergeCell ref="M30:N30"/>
    <mergeCell ref="H30:I30"/>
    <mergeCell ref="H31:I31"/>
    <mergeCell ref="M31:N31"/>
    <mergeCell ref="A37:B37"/>
    <mergeCell ref="C37:P37"/>
    <mergeCell ref="M26:N26"/>
    <mergeCell ref="H27:I27"/>
    <mergeCell ref="M27:N27"/>
    <mergeCell ref="C26:D27"/>
    <mergeCell ref="E26:E27"/>
    <mergeCell ref="H26:I26"/>
    <mergeCell ref="A26:B28"/>
    <mergeCell ref="C28:E28"/>
    <mergeCell ref="A29:B29"/>
    <mergeCell ref="C29:P29"/>
    <mergeCell ref="F28:G28"/>
    <mergeCell ref="H28:I28"/>
    <mergeCell ref="K28:L28"/>
    <mergeCell ref="M28:N28"/>
    <mergeCell ref="K23:L23"/>
    <mergeCell ref="M23:N23"/>
    <mergeCell ref="F24:G24"/>
    <mergeCell ref="H24:I24"/>
    <mergeCell ref="K24:L24"/>
    <mergeCell ref="M24:N24"/>
    <mergeCell ref="C23:D24"/>
    <mergeCell ref="E23:E24"/>
    <mergeCell ref="F23:G23"/>
    <mergeCell ref="H23:I23"/>
    <mergeCell ref="A23:B25"/>
    <mergeCell ref="C25:E25"/>
    <mergeCell ref="F25:G25"/>
    <mergeCell ref="H25:I25"/>
    <mergeCell ref="M22:N22"/>
    <mergeCell ref="A13:P13"/>
    <mergeCell ref="A16:P16"/>
    <mergeCell ref="A9:D9"/>
    <mergeCell ref="E9:P9"/>
    <mergeCell ref="A10:D10"/>
    <mergeCell ref="E10:F10"/>
    <mergeCell ref="G10:I10"/>
    <mergeCell ref="K10:L10"/>
    <mergeCell ref="A22:B22"/>
    <mergeCell ref="C22:D22"/>
    <mergeCell ref="F22:G22"/>
    <mergeCell ref="H22:I22"/>
    <mergeCell ref="K22:L22"/>
    <mergeCell ref="M10:O10"/>
    <mergeCell ref="A8:D8"/>
    <mergeCell ref="E8:P8"/>
    <mergeCell ref="C3:L3"/>
    <mergeCell ref="A6:D6"/>
    <mergeCell ref="E6:P6"/>
    <mergeCell ref="A7:D7"/>
    <mergeCell ref="E7:P7"/>
  </mergeCells>
  <phoneticPr fontId="1"/>
  <conditionalFormatting sqref="C29">
    <cfRule type="expression" dxfId="266" priority="8" stopIfTrue="1">
      <formula>$C$29&lt;&gt;""</formula>
    </cfRule>
  </conditionalFormatting>
  <conditionalFormatting sqref="C33">
    <cfRule type="expression" dxfId="265" priority="7" stopIfTrue="1">
      <formula>$C$33&lt;&gt;""</formula>
    </cfRule>
  </conditionalFormatting>
  <conditionalFormatting sqref="C37">
    <cfRule type="expression" dxfId="264" priority="13" stopIfTrue="1">
      <formula>$C$37&lt;&gt;""</formula>
    </cfRule>
  </conditionalFormatting>
  <conditionalFormatting sqref="H25">
    <cfRule type="expression" dxfId="263" priority="9" stopIfTrue="1">
      <formula>$H25&lt;&gt;""</formula>
    </cfRule>
  </conditionalFormatting>
  <conditionalFormatting sqref="H28">
    <cfRule type="expression" dxfId="262" priority="5" stopIfTrue="1">
      <formula>$H28&lt;&gt;""</formula>
    </cfRule>
  </conditionalFormatting>
  <conditionalFormatting sqref="H32">
    <cfRule type="expression" dxfId="261" priority="3" stopIfTrue="1">
      <formula>$H32&lt;&gt;""</formula>
    </cfRule>
  </conditionalFormatting>
  <conditionalFormatting sqref="H36">
    <cfRule type="expression" dxfId="260" priority="1" stopIfTrue="1">
      <formula>$H36&lt;&gt;""</formula>
    </cfRule>
  </conditionalFormatting>
  <conditionalFormatting sqref="M25">
    <cfRule type="expression" dxfId="259" priority="10" stopIfTrue="1">
      <formula>$M25&lt;&gt;""</formula>
    </cfRule>
  </conditionalFormatting>
  <conditionalFormatting sqref="M28">
    <cfRule type="expression" dxfId="258" priority="6" stopIfTrue="1">
      <formula>$M28&lt;&gt;""</formula>
    </cfRule>
  </conditionalFormatting>
  <conditionalFormatting sqref="M32">
    <cfRule type="expression" dxfId="257" priority="4" stopIfTrue="1">
      <formula>$M32&lt;&gt;""</formula>
    </cfRule>
  </conditionalFormatting>
  <conditionalFormatting sqref="M36">
    <cfRule type="expression" dxfId="256" priority="2" stopIfTrue="1">
      <formula>$M36&lt;&gt;""</formula>
    </cfRule>
  </conditionalFormatting>
  <dataValidations count="2">
    <dataValidation imeMode="hiragana" allowBlank="1" showInputMessage="1" showErrorMessage="1" sqref="C37:P37 C29:P29 C33:P33" xr:uid="{00000000-0002-0000-0C00-000000000000}"/>
    <dataValidation imeMode="halfAlpha" allowBlank="1" showInputMessage="1" showErrorMessage="1" sqref="M25 H25 M28 H28 M32 H32 M36 H36" xr:uid="{FBDB4BB5-83C4-4FE5-97B9-55DA2E94D531}"/>
  </dataValidations>
  <pageMargins left="0.70866141732283472" right="0.55118110236220474" top="0.74803149606299213" bottom="0.74803149606299213" header="0.31496062992125984" footer="0.31496062992125984"/>
  <pageSetup paperSize="9" scale="94" fitToHeight="2" orientation="portrait" r:id="rId1"/>
  <headerFooter>
    <oddHeader>&amp;L様式第２号</oddHeader>
    <oddFooter>&amp;R&amp;8（事業所等用）</oddFooter>
  </headerFooter>
  <rowBreaks count="1" manualBreakCount="1">
    <brk id="19"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6" tint="0.79998168889431442"/>
  </sheetPr>
  <dimension ref="A3:L130"/>
  <sheetViews>
    <sheetView topLeftCell="A3" zoomScaleNormal="100" zoomScaleSheetLayoutView="100" workbookViewId="0">
      <selection activeCell="F6" sqref="F6"/>
    </sheetView>
  </sheetViews>
  <sheetFormatPr defaultColWidth="8.88671875" defaultRowHeight="16.2"/>
  <cols>
    <col min="1" max="1" width="3.88671875" style="22" customWidth="1"/>
    <col min="2" max="2" width="1.33203125" style="22" hidden="1" customWidth="1"/>
    <col min="3" max="3" width="14.6640625" style="22" customWidth="1"/>
    <col min="4" max="4" width="43.44140625" style="22" customWidth="1"/>
    <col min="5" max="6" width="8.6640625" style="22" customWidth="1"/>
    <col min="7" max="8" width="8.109375" style="22" hidden="1" customWidth="1"/>
    <col min="9" max="9" width="8.33203125" style="22" customWidth="1"/>
    <col min="10" max="16384" width="8.88671875" style="22"/>
  </cols>
  <sheetData>
    <row r="3" spans="1:8">
      <c r="A3" s="109" t="s">
        <v>4182</v>
      </c>
      <c r="B3" s="109"/>
    </row>
    <row r="4" spans="1:8" ht="13.35" customHeight="1">
      <c r="A4" s="951" t="s">
        <v>97</v>
      </c>
      <c r="B4" s="952" t="s">
        <v>100</v>
      </c>
      <c r="C4" s="953" t="s">
        <v>98</v>
      </c>
      <c r="D4" s="953" t="s">
        <v>99</v>
      </c>
      <c r="E4" s="687" t="s">
        <v>4166</v>
      </c>
      <c r="F4" s="688"/>
      <c r="G4" s="136"/>
      <c r="H4" s="137"/>
    </row>
    <row r="5" spans="1:8" ht="33" customHeight="1">
      <c r="A5" s="951"/>
      <c r="B5" s="952"/>
      <c r="C5" s="953"/>
      <c r="D5" s="953"/>
      <c r="E5" s="138" t="s">
        <v>4161</v>
      </c>
      <c r="F5" s="138" t="s">
        <v>4154</v>
      </c>
      <c r="G5" s="138" t="s">
        <v>4159</v>
      </c>
      <c r="H5" s="138" t="s">
        <v>4160</v>
      </c>
    </row>
    <row r="6" spans="1:8" ht="65.25" customHeight="1">
      <c r="A6" s="120">
        <v>1</v>
      </c>
      <c r="B6" s="121" t="s">
        <v>101</v>
      </c>
      <c r="C6" s="121" t="s">
        <v>4041</v>
      </c>
      <c r="D6" s="121" t="s">
        <v>4336</v>
      </c>
      <c r="E6" s="139" t="str">
        <f>IF('計画書② (取組）'!E5="","",'計画書② (取組）'!E5)</f>
        <v/>
      </c>
      <c r="F6" s="122"/>
      <c r="G6" s="122"/>
      <c r="H6" s="122"/>
    </row>
    <row r="7" spans="1:8" ht="65.25" customHeight="1">
      <c r="A7" s="120">
        <v>2</v>
      </c>
      <c r="B7" s="121" t="s">
        <v>101</v>
      </c>
      <c r="C7" s="121" t="s">
        <v>4042</v>
      </c>
      <c r="D7" s="121" t="s">
        <v>4337</v>
      </c>
      <c r="E7" s="139" t="str">
        <f>IF('計画書② (取組）'!E6="","",'計画書② (取組）'!E6)</f>
        <v/>
      </c>
      <c r="F7" s="122"/>
      <c r="G7" s="122"/>
      <c r="H7" s="122"/>
    </row>
    <row r="8" spans="1:8" ht="65.25" customHeight="1">
      <c r="A8" s="120">
        <v>3</v>
      </c>
      <c r="B8" s="121" t="s">
        <v>101</v>
      </c>
      <c r="C8" s="121" t="s">
        <v>4043</v>
      </c>
      <c r="D8" s="121" t="s">
        <v>4338</v>
      </c>
      <c r="E8" s="139" t="str">
        <f>IF('計画書② (取組）'!E7="","",'計画書② (取組）'!E7)</f>
        <v/>
      </c>
      <c r="F8" s="122"/>
      <c r="G8" s="122"/>
      <c r="H8" s="122"/>
    </row>
    <row r="9" spans="1:8" ht="65.25" customHeight="1">
      <c r="A9" s="120">
        <v>4</v>
      </c>
      <c r="B9" s="121" t="s">
        <v>101</v>
      </c>
      <c r="C9" s="121" t="s">
        <v>4044</v>
      </c>
      <c r="D9" s="121" t="s">
        <v>4339</v>
      </c>
      <c r="E9" s="139" t="str">
        <f>IF('計画書② (取組）'!E8="","",'計画書② (取組）'!E8)</f>
        <v/>
      </c>
      <c r="F9" s="122"/>
      <c r="G9" s="122"/>
      <c r="H9" s="122"/>
    </row>
    <row r="10" spans="1:8" ht="65.25" customHeight="1">
      <c r="A10" s="120">
        <v>5</v>
      </c>
      <c r="B10" s="121" t="s">
        <v>101</v>
      </c>
      <c r="C10" s="121" t="s">
        <v>4045</v>
      </c>
      <c r="D10" s="121" t="s">
        <v>4340</v>
      </c>
      <c r="E10" s="139" t="str">
        <f>IF('計画書② (取組）'!E9="","",'計画書② (取組）'!E9)</f>
        <v/>
      </c>
      <c r="F10" s="122"/>
      <c r="G10" s="140"/>
      <c r="H10" s="122"/>
    </row>
    <row r="11" spans="1:8" ht="65.25" customHeight="1">
      <c r="A11" s="120">
        <v>6</v>
      </c>
      <c r="B11" s="121" t="s">
        <v>102</v>
      </c>
      <c r="C11" s="121" t="s">
        <v>4046</v>
      </c>
      <c r="D11" s="121" t="s">
        <v>4341</v>
      </c>
      <c r="E11" s="139" t="str">
        <f>IF('計画書② (取組）'!E10="","",'計画書② (取組）'!E10)</f>
        <v/>
      </c>
      <c r="F11" s="122"/>
      <c r="G11" s="122"/>
      <c r="H11" s="122"/>
    </row>
    <row r="12" spans="1:8" ht="65.25" customHeight="1">
      <c r="A12" s="120">
        <v>7</v>
      </c>
      <c r="B12" s="121" t="s">
        <v>102</v>
      </c>
      <c r="C12" s="121" t="s">
        <v>4047</v>
      </c>
      <c r="D12" s="121" t="s">
        <v>4342</v>
      </c>
      <c r="E12" s="139" t="str">
        <f>IF('計画書② (取組）'!E11="","",'計画書② (取組）'!E11)</f>
        <v/>
      </c>
      <c r="F12" s="122"/>
      <c r="G12" s="122"/>
      <c r="H12" s="122"/>
    </row>
    <row r="13" spans="1:8" ht="65.25" customHeight="1">
      <c r="A13" s="120">
        <v>8</v>
      </c>
      <c r="B13" s="121" t="s">
        <v>102</v>
      </c>
      <c r="C13" s="121" t="s">
        <v>4048</v>
      </c>
      <c r="D13" s="121" t="s">
        <v>4343</v>
      </c>
      <c r="E13" s="139" t="str">
        <f>IF('計画書② (取組）'!E12="","",'計画書② (取組）'!E12)</f>
        <v/>
      </c>
      <c r="F13" s="122"/>
      <c r="G13" s="122"/>
      <c r="H13" s="122"/>
    </row>
    <row r="14" spans="1:8" ht="65.25" customHeight="1">
      <c r="A14" s="120">
        <v>9</v>
      </c>
      <c r="B14" s="121" t="s">
        <v>102</v>
      </c>
      <c r="C14" s="121" t="s">
        <v>4049</v>
      </c>
      <c r="D14" s="121" t="s">
        <v>4344</v>
      </c>
      <c r="E14" s="139" t="str">
        <f>IF('計画書② (取組）'!E13="","",'計画書② (取組）'!E13)</f>
        <v/>
      </c>
      <c r="F14" s="122"/>
      <c r="G14" s="122"/>
      <c r="H14" s="122"/>
    </row>
    <row r="15" spans="1:8" ht="65.25" customHeight="1">
      <c r="A15" s="120">
        <v>10</v>
      </c>
      <c r="B15" s="121" t="s">
        <v>102</v>
      </c>
      <c r="C15" s="121" t="s">
        <v>4050</v>
      </c>
      <c r="D15" s="121" t="s">
        <v>4345</v>
      </c>
      <c r="E15" s="139" t="str">
        <f>IF('計画書② (取組）'!E14="","",'計画書② (取組）'!E14)</f>
        <v/>
      </c>
      <c r="F15" s="122"/>
      <c r="G15" s="122"/>
      <c r="H15" s="122"/>
    </row>
    <row r="16" spans="1:8" ht="65.25" customHeight="1">
      <c r="A16" s="120">
        <v>11</v>
      </c>
      <c r="B16" s="121" t="s">
        <v>102</v>
      </c>
      <c r="C16" s="121" t="s">
        <v>4051</v>
      </c>
      <c r="D16" s="121" t="s">
        <v>4346</v>
      </c>
      <c r="E16" s="139" t="str">
        <f>IF('計画書② (取組）'!E15="","",'計画書② (取組）'!E15)</f>
        <v/>
      </c>
      <c r="F16" s="122"/>
      <c r="G16" s="122"/>
      <c r="H16" s="122"/>
    </row>
    <row r="17" spans="1:8" ht="65.25" customHeight="1">
      <c r="A17" s="120">
        <v>12</v>
      </c>
      <c r="B17" s="121" t="s">
        <v>103</v>
      </c>
      <c r="C17" s="121" t="s">
        <v>4052</v>
      </c>
      <c r="D17" s="121" t="s">
        <v>4347</v>
      </c>
      <c r="E17" s="139" t="str">
        <f>IF('計画書② (取組）'!E16="","",'計画書② (取組）'!E16)</f>
        <v/>
      </c>
      <c r="F17" s="122"/>
      <c r="G17" s="122"/>
      <c r="H17" s="122"/>
    </row>
    <row r="18" spans="1:8" ht="65.25" customHeight="1">
      <c r="A18" s="120">
        <v>13</v>
      </c>
      <c r="B18" s="121" t="s">
        <v>103</v>
      </c>
      <c r="C18" s="121" t="s">
        <v>4053</v>
      </c>
      <c r="D18" s="121" t="s">
        <v>4348</v>
      </c>
      <c r="E18" s="139" t="str">
        <f>IF('計画書② (取組）'!E17="","",'計画書② (取組）'!E17)</f>
        <v/>
      </c>
      <c r="F18" s="122"/>
      <c r="G18" s="122"/>
      <c r="H18" s="122"/>
    </row>
    <row r="19" spans="1:8" ht="65.25" customHeight="1">
      <c r="A19" s="120">
        <v>14</v>
      </c>
      <c r="B19" s="121" t="s">
        <v>103</v>
      </c>
      <c r="C19" s="121" t="s">
        <v>5004</v>
      </c>
      <c r="D19" s="121" t="s">
        <v>5005</v>
      </c>
      <c r="E19" s="139" t="str">
        <f>IF('計画書② (取組）'!E18="","",'計画書② (取組）'!E18)</f>
        <v/>
      </c>
      <c r="F19" s="122"/>
      <c r="G19" s="122"/>
      <c r="H19" s="122"/>
    </row>
    <row r="20" spans="1:8" ht="65.25" customHeight="1">
      <c r="A20" s="120">
        <v>15</v>
      </c>
      <c r="B20" s="121" t="s">
        <v>103</v>
      </c>
      <c r="C20" s="121" t="s">
        <v>4054</v>
      </c>
      <c r="D20" s="121" t="s">
        <v>4349</v>
      </c>
      <c r="E20" s="139" t="str">
        <f>IF('計画書② (取組）'!E19="","",'計画書② (取組）'!E19)</f>
        <v/>
      </c>
      <c r="F20" s="122"/>
      <c r="G20" s="122"/>
      <c r="H20" s="122"/>
    </row>
    <row r="21" spans="1:8" ht="65.25" customHeight="1">
      <c r="A21" s="120">
        <v>16</v>
      </c>
      <c r="B21" s="121" t="s">
        <v>104</v>
      </c>
      <c r="C21" s="121" t="s">
        <v>4055</v>
      </c>
      <c r="D21" s="121" t="s">
        <v>4390</v>
      </c>
      <c r="E21" s="139" t="str">
        <f>IF('計画書② (取組）'!E20="","",'計画書② (取組）'!E20)</f>
        <v/>
      </c>
      <c r="F21" s="122"/>
      <c r="G21" s="122"/>
      <c r="H21" s="122"/>
    </row>
    <row r="22" spans="1:8" ht="65.25" customHeight="1">
      <c r="A22" s="120">
        <v>17</v>
      </c>
      <c r="B22" s="121" t="s">
        <v>104</v>
      </c>
      <c r="C22" s="121" t="s">
        <v>4056</v>
      </c>
      <c r="D22" s="121" t="s">
        <v>4350</v>
      </c>
      <c r="E22" s="139" t="str">
        <f>IF('計画書② (取組）'!E21="","",'計画書② (取組）'!E21)</f>
        <v/>
      </c>
      <c r="F22" s="122"/>
      <c r="G22" s="122"/>
      <c r="H22" s="122"/>
    </row>
    <row r="23" spans="1:8" ht="65.25" customHeight="1">
      <c r="A23" s="120">
        <v>18</v>
      </c>
      <c r="B23" s="121" t="s">
        <v>104</v>
      </c>
      <c r="C23" s="121" t="s">
        <v>4057</v>
      </c>
      <c r="D23" s="121" t="s">
        <v>5006</v>
      </c>
      <c r="E23" s="139" t="str">
        <f>IF('計画書② (取組）'!E22="","",'計画書② (取組）'!E22)</f>
        <v/>
      </c>
      <c r="F23" s="122"/>
      <c r="G23" s="122"/>
      <c r="H23" s="122"/>
    </row>
    <row r="24" spans="1:8" ht="65.25" customHeight="1">
      <c r="A24" s="120">
        <v>19</v>
      </c>
      <c r="B24" s="121" t="s">
        <v>105</v>
      </c>
      <c r="C24" s="121" t="s">
        <v>4058</v>
      </c>
      <c r="D24" s="121" t="s">
        <v>4351</v>
      </c>
      <c r="E24" s="139" t="str">
        <f>IF('計画書② (取組）'!E23="","",'計画書② (取組）'!E23)</f>
        <v/>
      </c>
      <c r="F24" s="122"/>
      <c r="G24" s="122"/>
      <c r="H24" s="122"/>
    </row>
    <row r="25" spans="1:8" ht="65.25" customHeight="1">
      <c r="A25" s="110">
        <v>20</v>
      </c>
      <c r="B25" s="130" t="s">
        <v>106</v>
      </c>
      <c r="C25" s="130" t="s">
        <v>4059</v>
      </c>
      <c r="D25" s="130" t="s">
        <v>4352</v>
      </c>
      <c r="E25" s="139" t="str">
        <f>IF('計画書② (取組）'!E24="","",'計画書② (取組）'!E24)</f>
        <v/>
      </c>
      <c r="F25" s="122"/>
      <c r="G25" s="122"/>
      <c r="H25" s="122"/>
    </row>
    <row r="26" spans="1:8" ht="65.25" customHeight="1">
      <c r="A26" s="110">
        <v>21</v>
      </c>
      <c r="B26" s="130" t="s">
        <v>106</v>
      </c>
      <c r="C26" s="130" t="s">
        <v>4060</v>
      </c>
      <c r="D26" s="130" t="s">
        <v>4353</v>
      </c>
      <c r="E26" s="139" t="str">
        <f>IF('計画書② (取組）'!E25="","",'計画書② (取組）'!E25)</f>
        <v/>
      </c>
      <c r="F26" s="122"/>
      <c r="G26" s="122"/>
      <c r="H26" s="122"/>
    </row>
    <row r="27" spans="1:8" ht="65.25" customHeight="1">
      <c r="A27" s="110">
        <v>22</v>
      </c>
      <c r="B27" s="130" t="s">
        <v>106</v>
      </c>
      <c r="C27" s="130" t="s">
        <v>4061</v>
      </c>
      <c r="D27" s="130" t="s">
        <v>4354</v>
      </c>
      <c r="E27" s="139" t="str">
        <f>IF('計画書② (取組）'!E26="","",'計画書② (取組）'!E26)</f>
        <v/>
      </c>
      <c r="F27" s="122"/>
      <c r="G27" s="122"/>
      <c r="H27" s="122"/>
    </row>
    <row r="28" spans="1:8" ht="65.25" customHeight="1">
      <c r="A28" s="110">
        <v>23</v>
      </c>
      <c r="B28" s="130" t="s">
        <v>107</v>
      </c>
      <c r="C28" s="130" t="s">
        <v>4062</v>
      </c>
      <c r="D28" s="130" t="s">
        <v>5007</v>
      </c>
      <c r="E28" s="139" t="str">
        <f>IF('計画書② (取組）'!E27="","",'計画書② (取組）'!E27)</f>
        <v/>
      </c>
      <c r="F28" s="122"/>
      <c r="G28" s="122"/>
      <c r="H28" s="122"/>
    </row>
    <row r="29" spans="1:8" ht="65.25" customHeight="1">
      <c r="A29" s="110">
        <v>24</v>
      </c>
      <c r="B29" s="130" t="s">
        <v>107</v>
      </c>
      <c r="C29" s="130" t="s">
        <v>5180</v>
      </c>
      <c r="D29" s="130" t="s">
        <v>5008</v>
      </c>
      <c r="E29" s="139" t="str">
        <f>IF('計画書② (取組）'!E28="","",'計画書② (取組）'!E28)</f>
        <v/>
      </c>
      <c r="F29" s="122"/>
      <c r="G29" s="122"/>
      <c r="H29" s="122"/>
    </row>
    <row r="30" spans="1:8" ht="65.25" customHeight="1">
      <c r="A30" s="110">
        <v>25</v>
      </c>
      <c r="B30" s="130" t="s">
        <v>108</v>
      </c>
      <c r="C30" s="130" t="s">
        <v>4063</v>
      </c>
      <c r="D30" s="130" t="s">
        <v>4355</v>
      </c>
      <c r="E30" s="139" t="str">
        <f>IF('計画書② (取組）'!E29="","",'計画書② (取組）'!E29)</f>
        <v/>
      </c>
      <c r="F30" s="122"/>
      <c r="G30" s="122"/>
      <c r="H30" s="122"/>
    </row>
    <row r="31" spans="1:8" ht="65.25" customHeight="1">
      <c r="A31" s="110">
        <v>26</v>
      </c>
      <c r="B31" s="130" t="s">
        <v>109</v>
      </c>
      <c r="C31" s="130" t="s">
        <v>4064</v>
      </c>
      <c r="D31" s="130" t="s">
        <v>4356</v>
      </c>
      <c r="E31" s="139" t="str">
        <f>IF('計画書② (取組）'!E30="","",'計画書② (取組）'!E30)</f>
        <v/>
      </c>
      <c r="F31" s="122"/>
      <c r="G31" s="122"/>
      <c r="H31" s="122"/>
    </row>
    <row r="32" spans="1:8" ht="65.25" customHeight="1">
      <c r="A32" s="110">
        <v>27</v>
      </c>
      <c r="B32" s="130" t="s">
        <v>110</v>
      </c>
      <c r="C32" s="130" t="s">
        <v>4065</v>
      </c>
      <c r="D32" s="130" t="s">
        <v>4357</v>
      </c>
      <c r="E32" s="139" t="str">
        <f>IF('計画書② (取組）'!E31="","",'計画書② (取組）'!E31)</f>
        <v/>
      </c>
      <c r="F32" s="122"/>
      <c r="G32" s="122"/>
      <c r="H32" s="122"/>
    </row>
    <row r="33" spans="1:8" ht="65.25" customHeight="1">
      <c r="A33" s="110">
        <v>28</v>
      </c>
      <c r="B33" s="130" t="s">
        <v>111</v>
      </c>
      <c r="C33" s="130" t="s">
        <v>4066</v>
      </c>
      <c r="D33" s="130" t="s">
        <v>4358</v>
      </c>
      <c r="E33" s="139" t="str">
        <f>IF('計画書② (取組）'!E32="","",'計画書② (取組）'!E32)</f>
        <v/>
      </c>
      <c r="F33" s="122"/>
      <c r="G33" s="122"/>
      <c r="H33" s="122"/>
    </row>
    <row r="34" spans="1:8" ht="65.25" customHeight="1">
      <c r="A34" s="110">
        <v>29</v>
      </c>
      <c r="B34" s="130" t="s">
        <v>3112</v>
      </c>
      <c r="C34" s="130" t="s">
        <v>4067</v>
      </c>
      <c r="D34" s="130" t="s">
        <v>4359</v>
      </c>
      <c r="E34" s="139" t="str">
        <f>IF('計画書② (取組）'!E33="","",'計画書② (取組）'!E33)</f>
        <v/>
      </c>
      <c r="F34" s="122"/>
      <c r="G34" s="122"/>
      <c r="H34" s="122"/>
    </row>
    <row r="35" spans="1:8" ht="65.25" customHeight="1">
      <c r="A35" s="110">
        <v>30</v>
      </c>
      <c r="B35" s="130" t="s">
        <v>3112</v>
      </c>
      <c r="C35" s="130" t="s">
        <v>4068</v>
      </c>
      <c r="D35" s="130" t="s">
        <v>4360</v>
      </c>
      <c r="E35" s="139" t="str">
        <f>IF('計画書② (取組）'!E34="","",'計画書② (取組）'!E34)</f>
        <v/>
      </c>
      <c r="F35" s="122"/>
      <c r="G35" s="122"/>
      <c r="H35" s="122"/>
    </row>
    <row r="37" spans="1:8">
      <c r="A37" s="22" t="s">
        <v>4183</v>
      </c>
    </row>
    <row r="38" spans="1:8" ht="90" customHeight="1">
      <c r="A38" s="838" t="s">
        <v>4154</v>
      </c>
      <c r="B38" s="838"/>
      <c r="C38" s="838"/>
      <c r="D38" s="950"/>
      <c r="E38" s="950"/>
      <c r="F38" s="950"/>
    </row>
    <row r="39" spans="1:8" hidden="1">
      <c r="A39" s="838" t="s">
        <v>4159</v>
      </c>
      <c r="B39" s="838"/>
      <c r="C39" s="838"/>
      <c r="D39" s="950"/>
      <c r="E39" s="950"/>
      <c r="F39" s="950"/>
    </row>
    <row r="40" spans="1:8" hidden="1">
      <c r="A40" s="838" t="s">
        <v>4160</v>
      </c>
      <c r="B40" s="838"/>
      <c r="C40" s="838"/>
      <c r="D40" s="955"/>
      <c r="E40" s="955"/>
      <c r="F40" s="955"/>
    </row>
    <row r="42" spans="1:8">
      <c r="A42" s="109" t="s">
        <v>4184</v>
      </c>
      <c r="B42" s="109"/>
    </row>
    <row r="43" spans="1:8" ht="13.35" customHeight="1">
      <c r="A43" s="951" t="s">
        <v>97</v>
      </c>
      <c r="B43" s="952" t="s">
        <v>100</v>
      </c>
      <c r="C43" s="953" t="s">
        <v>98</v>
      </c>
      <c r="D43" s="953" t="s">
        <v>99</v>
      </c>
      <c r="E43" s="687" t="s">
        <v>4166</v>
      </c>
      <c r="F43" s="688"/>
      <c r="G43" s="136"/>
      <c r="H43" s="137"/>
    </row>
    <row r="44" spans="1:8" ht="33" customHeight="1">
      <c r="A44" s="951"/>
      <c r="B44" s="952"/>
      <c r="C44" s="953"/>
      <c r="D44" s="953"/>
      <c r="E44" s="138" t="s">
        <v>4161</v>
      </c>
      <c r="F44" s="138" t="s">
        <v>4154</v>
      </c>
      <c r="G44" s="138" t="s">
        <v>4159</v>
      </c>
      <c r="H44" s="138" t="s">
        <v>4160</v>
      </c>
    </row>
    <row r="45" spans="1:8" ht="70.349999999999994" customHeight="1">
      <c r="A45" s="142">
        <v>1</v>
      </c>
      <c r="B45" s="143"/>
      <c r="C45" s="144" t="str">
        <f>対策リスト!AV2&amp;""</f>
        <v/>
      </c>
      <c r="D45" s="121" t="str">
        <f>IFERROR(VLOOKUP(C45,選択対策,2,0),"")</f>
        <v/>
      </c>
      <c r="E45" s="139" t="str">
        <f>IF(C45="","",IFERROR(IF(VLOOKUP(C45,'計画書② (取組）'!$C$39:$F$59,3,0)="","未入力",VLOOKUP(C45,'計画書② (取組）'!$C$39:$F$59,3,0)),"-------"))</f>
        <v/>
      </c>
      <c r="F45" s="122"/>
      <c r="G45" s="122"/>
      <c r="H45" s="122"/>
    </row>
    <row r="46" spans="1:8" ht="70.349999999999994" customHeight="1">
      <c r="A46" s="142">
        <v>2</v>
      </c>
      <c r="B46" s="143"/>
      <c r="C46" s="144" t="str">
        <f>対策リスト!AV3&amp;""</f>
        <v/>
      </c>
      <c r="D46" s="121" t="str">
        <f t="shared" ref="D46:D59" si="0">IFERROR(VLOOKUP(C46,選択対策,2,0),"")</f>
        <v/>
      </c>
      <c r="E46" s="139" t="str">
        <f>IF(C46="","",IFERROR(IF(VLOOKUP(C46,'計画書② (取組）'!$C$39:$F$59,3,0)="","未入力",VLOOKUP(C46,'計画書② (取組）'!$C$39:$F$59,3,0)),"-------"))</f>
        <v/>
      </c>
      <c r="F46" s="122"/>
      <c r="G46" s="122"/>
      <c r="H46" s="122"/>
    </row>
    <row r="47" spans="1:8" ht="70.349999999999994" customHeight="1">
      <c r="A47" s="142">
        <v>3</v>
      </c>
      <c r="B47" s="143"/>
      <c r="C47" s="144" t="str">
        <f>対策リスト!AV4&amp;""</f>
        <v/>
      </c>
      <c r="D47" s="121" t="str">
        <f t="shared" si="0"/>
        <v/>
      </c>
      <c r="E47" s="139" t="str">
        <f>IF(C47="","",IFERROR(IF(VLOOKUP(C47,'計画書② (取組）'!$C$39:$F$59,3,0)="","未入力",VLOOKUP(C47,'計画書② (取組）'!$C$39:$F$59,3,0)),"-------"))</f>
        <v/>
      </c>
      <c r="F47" s="122"/>
      <c r="G47" s="122"/>
      <c r="H47" s="122"/>
    </row>
    <row r="48" spans="1:8" ht="70.349999999999994" customHeight="1">
      <c r="A48" s="142">
        <v>4</v>
      </c>
      <c r="B48" s="143"/>
      <c r="C48" s="144" t="str">
        <f>対策リスト!AV5&amp;""</f>
        <v/>
      </c>
      <c r="D48" s="121" t="str">
        <f t="shared" si="0"/>
        <v/>
      </c>
      <c r="E48" s="139" t="str">
        <f>IF(C48="","",IFERROR(IF(VLOOKUP(C48,'計画書② (取組）'!$C$39:$F$59,3,0)="","未入力",VLOOKUP(C48,'計画書② (取組）'!$C$39:$F$59,3,0)),"-------"))</f>
        <v/>
      </c>
      <c r="F48" s="122"/>
      <c r="G48" s="122"/>
      <c r="H48" s="122"/>
    </row>
    <row r="49" spans="1:8" ht="70.349999999999994" customHeight="1">
      <c r="A49" s="142">
        <v>5</v>
      </c>
      <c r="B49" s="143"/>
      <c r="C49" s="144" t="str">
        <f>対策リスト!AV6&amp;""</f>
        <v/>
      </c>
      <c r="D49" s="121" t="str">
        <f t="shared" si="0"/>
        <v/>
      </c>
      <c r="E49" s="139" t="str">
        <f>IF(C49="","",IFERROR(IF(VLOOKUP(C49,'計画書② (取組）'!$C$39:$F$59,3,0)="","未入力",VLOOKUP(C49,'計画書② (取組）'!$C$39:$F$59,3,0)),"-------"))</f>
        <v/>
      </c>
      <c r="F49" s="122"/>
      <c r="G49" s="122"/>
      <c r="H49" s="122"/>
    </row>
    <row r="50" spans="1:8" ht="70.349999999999994" customHeight="1">
      <c r="A50" s="142">
        <v>6</v>
      </c>
      <c r="B50" s="143"/>
      <c r="C50" s="144" t="str">
        <f>対策リスト!AV7&amp;""</f>
        <v/>
      </c>
      <c r="D50" s="121" t="str">
        <f t="shared" si="0"/>
        <v/>
      </c>
      <c r="E50" s="139" t="str">
        <f>IF(C50="","",IFERROR(IF(VLOOKUP(C50,'計画書② (取組）'!$C$39:$F$59,3,0)="","未入力",VLOOKUP(C50,'計画書② (取組）'!$C$39:$F$59,3,0)),"-------"))</f>
        <v/>
      </c>
      <c r="F50" s="122"/>
      <c r="G50" s="122"/>
      <c r="H50" s="122"/>
    </row>
    <row r="51" spans="1:8" ht="70.349999999999994" customHeight="1">
      <c r="A51" s="142">
        <v>7</v>
      </c>
      <c r="B51" s="143"/>
      <c r="C51" s="144" t="str">
        <f>対策リスト!AV8&amp;""</f>
        <v/>
      </c>
      <c r="D51" s="121" t="str">
        <f t="shared" si="0"/>
        <v/>
      </c>
      <c r="E51" s="139" t="str">
        <f>IF(C51="","",IFERROR(IF(VLOOKUP(C51,'計画書② (取組）'!$C$39:$F$59,3,0)="","未入力",VLOOKUP(C51,'計画書② (取組）'!$C$39:$F$59,3,0)),"-------"))</f>
        <v/>
      </c>
      <c r="F51" s="122"/>
      <c r="G51" s="122"/>
      <c r="H51" s="122"/>
    </row>
    <row r="52" spans="1:8" ht="70.349999999999994" customHeight="1">
      <c r="A52" s="142">
        <v>8</v>
      </c>
      <c r="B52" s="143"/>
      <c r="C52" s="144" t="str">
        <f>対策リスト!AV9&amp;""</f>
        <v/>
      </c>
      <c r="D52" s="121" t="str">
        <f t="shared" si="0"/>
        <v/>
      </c>
      <c r="E52" s="139" t="str">
        <f>IF(C52="","",IFERROR(IF(VLOOKUP(C52,'計画書② (取組）'!$C$39:$F$59,3,0)="","未入力",VLOOKUP(C52,'計画書② (取組）'!$C$39:$F$59,3,0)),"-------"))</f>
        <v/>
      </c>
      <c r="F52" s="122"/>
      <c r="G52" s="122"/>
      <c r="H52" s="122"/>
    </row>
    <row r="53" spans="1:8" ht="70.349999999999994" customHeight="1">
      <c r="A53" s="142">
        <v>9</v>
      </c>
      <c r="B53" s="143"/>
      <c r="C53" s="144" t="str">
        <f>対策リスト!AV10&amp;""</f>
        <v/>
      </c>
      <c r="D53" s="121" t="str">
        <f t="shared" si="0"/>
        <v/>
      </c>
      <c r="E53" s="139" t="str">
        <f>IF(C53="","",IFERROR(IF(VLOOKUP(C53,'計画書② (取組）'!$C$39:$F$59,3,0)="","未入力",VLOOKUP(C53,'計画書② (取組）'!$C$39:$F$59,3,0)),"-------"))</f>
        <v/>
      </c>
      <c r="F53" s="122"/>
      <c r="G53" s="122"/>
      <c r="H53" s="122"/>
    </row>
    <row r="54" spans="1:8" ht="70.349999999999994" customHeight="1">
      <c r="A54" s="142">
        <v>10</v>
      </c>
      <c r="B54" s="143"/>
      <c r="C54" s="144" t="str">
        <f>対策リスト!AV11&amp;""</f>
        <v/>
      </c>
      <c r="D54" s="121" t="str">
        <f t="shared" si="0"/>
        <v/>
      </c>
      <c r="E54" s="139" t="str">
        <f>IF(C54="","",IFERROR(IF(VLOOKUP(C54,'計画書② (取組）'!$C$39:$F$59,3,0)="","未入力",VLOOKUP(C54,'計画書② (取組）'!$C$39:$F$59,3,0)),"-------"))</f>
        <v/>
      </c>
      <c r="F54" s="122"/>
      <c r="G54" s="122"/>
      <c r="H54" s="122"/>
    </row>
    <row r="55" spans="1:8" ht="70.349999999999994" customHeight="1">
      <c r="A55" s="142">
        <v>11</v>
      </c>
      <c r="B55" s="143"/>
      <c r="C55" s="144" t="str">
        <f>対策リスト!AV12&amp;""</f>
        <v/>
      </c>
      <c r="D55" s="121" t="str">
        <f t="shared" si="0"/>
        <v/>
      </c>
      <c r="E55" s="139" t="str">
        <f>IF(C55="","",IFERROR(IF(VLOOKUP(C55,'計画書② (取組）'!$C$39:$F$59,3,0)="","未入力",VLOOKUP(C55,'計画書② (取組）'!$C$39:$F$59,3,0)),"-------"))</f>
        <v/>
      </c>
      <c r="F55" s="122"/>
      <c r="G55" s="122"/>
      <c r="H55" s="122"/>
    </row>
    <row r="56" spans="1:8" ht="70.349999999999994" customHeight="1">
      <c r="A56" s="142">
        <v>12</v>
      </c>
      <c r="B56" s="143"/>
      <c r="C56" s="144" t="str">
        <f>対策リスト!AV13&amp;""</f>
        <v/>
      </c>
      <c r="D56" s="121" t="str">
        <f t="shared" si="0"/>
        <v/>
      </c>
      <c r="E56" s="139" t="str">
        <f>IF(C56="","",IFERROR(IF(VLOOKUP(C56,'計画書② (取組）'!$C$39:$F$59,3,0)="","未入力",VLOOKUP(C56,'計画書② (取組）'!$C$39:$F$59,3,0)),"-------"))</f>
        <v/>
      </c>
      <c r="F56" s="122"/>
      <c r="G56" s="122"/>
      <c r="H56" s="122"/>
    </row>
    <row r="57" spans="1:8" ht="70.349999999999994" customHeight="1">
      <c r="A57" s="142">
        <v>13</v>
      </c>
      <c r="B57" s="143"/>
      <c r="C57" s="144" t="str">
        <f>対策リスト!AV14&amp;""</f>
        <v/>
      </c>
      <c r="D57" s="121" t="str">
        <f t="shared" si="0"/>
        <v/>
      </c>
      <c r="E57" s="139" t="str">
        <f>IF(C57="","",IFERROR(IF(VLOOKUP(C57,'計画書② (取組）'!$C$39:$F$59,3,0)="","未入力",VLOOKUP(C57,'計画書② (取組）'!$C$39:$F$59,3,0)),"-------"))</f>
        <v/>
      </c>
      <c r="F57" s="122"/>
      <c r="G57" s="122"/>
      <c r="H57" s="122"/>
    </row>
    <row r="58" spans="1:8" ht="70.349999999999994" customHeight="1">
      <c r="A58" s="142">
        <v>14</v>
      </c>
      <c r="B58" s="143"/>
      <c r="C58" s="144" t="str">
        <f>対策リスト!AV15&amp;""</f>
        <v/>
      </c>
      <c r="D58" s="121" t="str">
        <f t="shared" si="0"/>
        <v/>
      </c>
      <c r="E58" s="139" t="str">
        <f>IF(C58="","",IFERROR(IF(VLOOKUP(C58,'計画書② (取組）'!$C$39:$F$59,3,0)="","未入力",VLOOKUP(C58,'計画書② (取組）'!$C$39:$F$59,3,0)),"-------"))</f>
        <v/>
      </c>
      <c r="F58" s="122"/>
      <c r="G58" s="122"/>
      <c r="H58" s="122"/>
    </row>
    <row r="59" spans="1:8" ht="70.349999999999994" customHeight="1">
      <c r="A59" s="142">
        <v>15</v>
      </c>
      <c r="B59" s="143"/>
      <c r="C59" s="144" t="str">
        <f>対策リスト!AV16&amp;""</f>
        <v/>
      </c>
      <c r="D59" s="121" t="str">
        <f t="shared" si="0"/>
        <v/>
      </c>
      <c r="E59" s="139" t="str">
        <f>IF(C59="","",IFERROR(IF(VLOOKUP(C59,'計画書② (取組）'!$C$39:$F$59,3,0)="","未入力",VLOOKUP(C59,'計画書② (取組）'!$C$39:$F$59,3,0)),"-------"))</f>
        <v/>
      </c>
      <c r="F59" s="122"/>
      <c r="G59" s="122"/>
      <c r="H59" s="122"/>
    </row>
    <row r="60" spans="1:8" ht="70.349999999999994" customHeight="1">
      <c r="A60" s="142">
        <v>16</v>
      </c>
      <c r="B60" s="143"/>
      <c r="C60" s="144" t="str">
        <f>対策リスト!AV17&amp;""</f>
        <v/>
      </c>
      <c r="D60" s="121" t="str">
        <f>IFERROR(VLOOKUP(C60,選択対策,2,0),"")</f>
        <v/>
      </c>
      <c r="E60" s="139" t="str">
        <f>IF(C60="","",IFERROR(IF(VLOOKUP(C60,'計画書② (取組）'!$C$39:$F$59,3,0)="","未入力",VLOOKUP(C60,'計画書② (取組）'!$C$39:$F$59,3,0)),"-------"))</f>
        <v/>
      </c>
      <c r="F60" s="122"/>
      <c r="G60" s="122"/>
      <c r="H60" s="122"/>
    </row>
    <row r="61" spans="1:8" ht="70.349999999999994" customHeight="1">
      <c r="A61" s="142">
        <v>17</v>
      </c>
      <c r="B61" s="143"/>
      <c r="C61" s="144" t="str">
        <f>対策リスト!AV18&amp;""</f>
        <v/>
      </c>
      <c r="D61" s="121" t="str">
        <f>IFERROR(VLOOKUP(C61,選択対策,2,0),"")</f>
        <v/>
      </c>
      <c r="E61" s="139" t="str">
        <f>IF(C61="","",IFERROR(IF(VLOOKUP(C61,'計画書② (取組）'!$C$39:$F$59,3,0)="","未入力",VLOOKUP(C61,'計画書② (取組）'!$C$39:$F$59,3,0)),"-------"))</f>
        <v/>
      </c>
      <c r="F61" s="122"/>
      <c r="G61" s="122"/>
      <c r="H61" s="122"/>
    </row>
    <row r="62" spans="1:8" ht="70.349999999999994" customHeight="1">
      <c r="A62" s="142">
        <v>18</v>
      </c>
      <c r="B62" s="143"/>
      <c r="C62" s="144" t="str">
        <f>対策リスト!AV19&amp;""</f>
        <v/>
      </c>
      <c r="D62" s="121" t="str">
        <f>IFERROR(VLOOKUP(C62,選択対策,2,0),"")</f>
        <v/>
      </c>
      <c r="E62" s="139" t="str">
        <f>IF(C62="","",IFERROR(IF(VLOOKUP(C62,'計画書② (取組）'!$C$39:$F$59,3,0)="","未入力",VLOOKUP(C62,'計画書② (取組）'!$C$39:$F$59,3,0)),"-------"))</f>
        <v/>
      </c>
      <c r="F62" s="122"/>
      <c r="G62" s="122"/>
      <c r="H62" s="122"/>
    </row>
    <row r="63" spans="1:8" ht="70.349999999999994" customHeight="1">
      <c r="A63" s="142">
        <v>19</v>
      </c>
      <c r="B63" s="143"/>
      <c r="C63" s="144" t="str">
        <f>対策リスト!AV20&amp;""</f>
        <v/>
      </c>
      <c r="D63" s="121" t="str">
        <f>IFERROR(VLOOKUP(C63,選択対策,2,0),"")</f>
        <v/>
      </c>
      <c r="E63" s="139" t="str">
        <f>IF(C63="","",IFERROR(IF(VLOOKUP(C63,'計画書② (取組）'!$C$39:$F$59,3,0)="","未入力",VLOOKUP(C63,'計画書② (取組）'!$C$39:$F$59,3,0)),"-------"))</f>
        <v/>
      </c>
      <c r="F63" s="122"/>
      <c r="G63" s="122"/>
      <c r="H63" s="122"/>
    </row>
    <row r="64" spans="1:8" ht="70.349999999999994" customHeight="1">
      <c r="A64" s="142">
        <v>20</v>
      </c>
      <c r="B64" s="143"/>
      <c r="C64" s="144" t="str">
        <f>対策リスト!AV21&amp;""</f>
        <v/>
      </c>
      <c r="D64" s="121" t="str">
        <f>IFERROR(VLOOKUP(C64,選択対策,2,0),"")</f>
        <v/>
      </c>
      <c r="E64" s="139" t="str">
        <f>IF(C64="","",IFERROR(IF(VLOOKUP(C64,'計画書② (取組）'!$C$39:$F$59,3,0)="","未入力",VLOOKUP(C64,'計画書② (取組）'!$C$39:$F$59,3,0)),"-------"))</f>
        <v/>
      </c>
      <c r="F64" s="122"/>
      <c r="G64" s="122"/>
      <c r="H64" s="122"/>
    </row>
    <row r="67" spans="1:8">
      <c r="A67" s="109" t="s">
        <v>4185</v>
      </c>
      <c r="B67" s="109"/>
    </row>
    <row r="68" spans="1:8" ht="13.35" customHeight="1">
      <c r="A68" s="951" t="s">
        <v>97</v>
      </c>
      <c r="B68" s="954" t="s">
        <v>98</v>
      </c>
      <c r="C68" s="954"/>
      <c r="D68" s="954" t="s">
        <v>4988</v>
      </c>
      <c r="E68" s="687" t="s">
        <v>4166</v>
      </c>
      <c r="F68" s="688"/>
      <c r="G68" s="136"/>
      <c r="H68" s="137"/>
    </row>
    <row r="69" spans="1:8" ht="33" customHeight="1">
      <c r="A69" s="951"/>
      <c r="B69" s="954"/>
      <c r="C69" s="954"/>
      <c r="D69" s="954"/>
      <c r="E69" s="138" t="s">
        <v>4161</v>
      </c>
      <c r="F69" s="138" t="s">
        <v>4154</v>
      </c>
      <c r="G69" s="138" t="s">
        <v>4159</v>
      </c>
      <c r="H69" s="138" t="s">
        <v>4160</v>
      </c>
    </row>
    <row r="70" spans="1:8" ht="90" customHeight="1">
      <c r="A70" s="142">
        <v>1</v>
      </c>
      <c r="B70" s="145"/>
      <c r="C70" s="144" t="str">
        <f>対策リスト!BV2&amp;""</f>
        <v/>
      </c>
      <c r="D70" s="144" t="str">
        <f>対策リスト!BY2&amp;""</f>
        <v/>
      </c>
      <c r="E70" s="139" t="str">
        <f>IF(C70="","",IF(対策リスト!CD2="","-------",対策リスト!CD2))</f>
        <v/>
      </c>
      <c r="F70" s="122"/>
      <c r="G70" s="122"/>
      <c r="H70" s="122"/>
    </row>
    <row r="71" spans="1:8" ht="90" customHeight="1">
      <c r="A71" s="142">
        <v>2</v>
      </c>
      <c r="B71" s="145"/>
      <c r="C71" s="144" t="str">
        <f>対策リスト!BV3&amp;""</f>
        <v/>
      </c>
      <c r="D71" s="144" t="str">
        <f>対策リスト!BY3&amp;""</f>
        <v/>
      </c>
      <c r="E71" s="139" t="str">
        <f>IF(C71="","",IF(対策リスト!CD3="","-------",対策リスト!CD3))</f>
        <v/>
      </c>
      <c r="F71" s="122"/>
      <c r="G71" s="122"/>
      <c r="H71" s="122"/>
    </row>
    <row r="72" spans="1:8" ht="90" customHeight="1">
      <c r="A72" s="142">
        <v>3</v>
      </c>
      <c r="B72" s="145"/>
      <c r="C72" s="144" t="str">
        <f>対策リスト!BV4&amp;""</f>
        <v/>
      </c>
      <c r="D72" s="144" t="str">
        <f>対策リスト!BY4&amp;""</f>
        <v/>
      </c>
      <c r="E72" s="139" t="str">
        <f>IF(C72="","",IF(対策リスト!CD4="","-------",対策リスト!CD4))</f>
        <v/>
      </c>
      <c r="F72" s="122"/>
      <c r="G72" s="122"/>
      <c r="H72" s="122"/>
    </row>
    <row r="73" spans="1:8" ht="90" customHeight="1">
      <c r="A73" s="142">
        <v>4</v>
      </c>
      <c r="B73" s="145"/>
      <c r="C73" s="144" t="str">
        <f>対策リスト!BV5&amp;""</f>
        <v/>
      </c>
      <c r="D73" s="144" t="str">
        <f>対策リスト!BY5&amp;""</f>
        <v/>
      </c>
      <c r="E73" s="139" t="str">
        <f>IF(C73="","",IF(対策リスト!CD5="","-------",対策リスト!CD5))</f>
        <v/>
      </c>
      <c r="F73" s="122"/>
      <c r="G73" s="122"/>
      <c r="H73" s="122"/>
    </row>
    <row r="74" spans="1:8" ht="90" customHeight="1">
      <c r="A74" s="142">
        <v>5</v>
      </c>
      <c r="B74" s="145"/>
      <c r="C74" s="144" t="str">
        <f>対策リスト!BV6&amp;""</f>
        <v/>
      </c>
      <c r="D74" s="144" t="str">
        <f>対策リスト!BY6&amp;""</f>
        <v/>
      </c>
      <c r="E74" s="139" t="str">
        <f>IF(C74="","",IF(対策リスト!CD6="","-------",対策リスト!CD6))</f>
        <v/>
      </c>
      <c r="F74" s="122"/>
      <c r="G74" s="122"/>
      <c r="H74" s="122"/>
    </row>
    <row r="75" spans="1:8" ht="90" customHeight="1">
      <c r="A75" s="142">
        <v>6</v>
      </c>
      <c r="B75" s="145"/>
      <c r="C75" s="144" t="str">
        <f>対策リスト!BV7&amp;""</f>
        <v/>
      </c>
      <c r="D75" s="144" t="str">
        <f>対策リスト!BY7&amp;""</f>
        <v/>
      </c>
      <c r="E75" s="139" t="str">
        <f>IF(C75="","",IF(対策リスト!CD7="","-------",対策リスト!CD7))</f>
        <v/>
      </c>
      <c r="F75" s="122"/>
      <c r="G75" s="122"/>
      <c r="H75" s="122"/>
    </row>
    <row r="76" spans="1:8" ht="90" customHeight="1">
      <c r="A76" s="142">
        <v>7</v>
      </c>
      <c r="B76" s="145"/>
      <c r="C76" s="144" t="str">
        <f>対策リスト!BV8&amp;""</f>
        <v/>
      </c>
      <c r="D76" s="144" t="str">
        <f>対策リスト!BY8&amp;""</f>
        <v/>
      </c>
      <c r="E76" s="139" t="str">
        <f>IF(C76="","",IF(対策リスト!CD8="","-------",対策リスト!CD8))</f>
        <v/>
      </c>
      <c r="F76" s="122"/>
      <c r="G76" s="122"/>
      <c r="H76" s="122"/>
    </row>
    <row r="77" spans="1:8" ht="90" customHeight="1">
      <c r="A77" s="142">
        <v>8</v>
      </c>
      <c r="B77" s="145"/>
      <c r="C77" s="144" t="str">
        <f>対策リスト!BV9&amp;""</f>
        <v/>
      </c>
      <c r="D77" s="144" t="str">
        <f>対策リスト!BY9&amp;""</f>
        <v/>
      </c>
      <c r="E77" s="139" t="str">
        <f>IF(C77="","",IF(対策リスト!CD9="","-------",対策リスト!CD9))</f>
        <v/>
      </c>
      <c r="F77" s="122"/>
      <c r="G77" s="122"/>
      <c r="H77" s="122"/>
    </row>
    <row r="78" spans="1:8" ht="90" customHeight="1">
      <c r="A78" s="142">
        <v>9</v>
      </c>
      <c r="B78" s="145"/>
      <c r="C78" s="144" t="str">
        <f>対策リスト!BV10&amp;""</f>
        <v/>
      </c>
      <c r="D78" s="144" t="str">
        <f>対策リスト!BY10&amp;""</f>
        <v/>
      </c>
      <c r="E78" s="139" t="str">
        <f>IF(C78="","",IF(対策リスト!CD10="","-------",対策リスト!CD10))</f>
        <v/>
      </c>
      <c r="F78" s="122"/>
      <c r="G78" s="122"/>
      <c r="H78" s="122"/>
    </row>
    <row r="79" spans="1:8" ht="90" customHeight="1">
      <c r="A79" s="142">
        <v>10</v>
      </c>
      <c r="B79" s="145"/>
      <c r="C79" s="144" t="str">
        <f>対策リスト!BV11&amp;""</f>
        <v/>
      </c>
      <c r="D79" s="144" t="str">
        <f>対策リスト!BY11&amp;""</f>
        <v/>
      </c>
      <c r="E79" s="139" t="str">
        <f>IF(C79="","",IF(対策リスト!CD11="","-------",対策リスト!CD11))</f>
        <v/>
      </c>
      <c r="F79" s="122"/>
      <c r="G79" s="122"/>
      <c r="H79" s="122"/>
    </row>
    <row r="90" spans="1:3">
      <c r="C90" s="22" t="s">
        <v>4400</v>
      </c>
    </row>
    <row r="91" spans="1:3">
      <c r="A91" s="22">
        <v>1</v>
      </c>
      <c r="C91" s="146"/>
    </row>
    <row r="92" spans="1:3">
      <c r="A92" s="22">
        <v>2</v>
      </c>
      <c r="C92" s="146"/>
    </row>
    <row r="93" spans="1:3">
      <c r="A93" s="22">
        <v>3</v>
      </c>
      <c r="C93" s="146"/>
    </row>
    <row r="94" spans="1:3">
      <c r="A94" s="22">
        <v>4</v>
      </c>
      <c r="C94" s="146"/>
    </row>
    <row r="95" spans="1:3">
      <c r="A95" s="22">
        <v>5</v>
      </c>
      <c r="C95" s="146"/>
    </row>
    <row r="96" spans="1:3">
      <c r="A96" s="22">
        <v>6</v>
      </c>
      <c r="C96" s="146"/>
    </row>
    <row r="97" spans="1:12">
      <c r="A97" s="22">
        <v>7</v>
      </c>
      <c r="C97" s="146"/>
    </row>
    <row r="98" spans="1:12">
      <c r="A98" s="22">
        <v>8</v>
      </c>
      <c r="C98" s="146"/>
    </row>
    <row r="99" spans="1:12">
      <c r="A99" s="22">
        <v>9</v>
      </c>
      <c r="C99" s="146"/>
    </row>
    <row r="100" spans="1:12">
      <c r="A100" s="22">
        <v>10</v>
      </c>
      <c r="C100" s="146"/>
    </row>
    <row r="101" spans="1:12">
      <c r="A101" s="22">
        <v>11</v>
      </c>
      <c r="C101" s="146"/>
    </row>
    <row r="102" spans="1:12">
      <c r="A102" s="22">
        <v>12</v>
      </c>
      <c r="C102" s="146"/>
    </row>
    <row r="103" spans="1:12">
      <c r="A103" s="22">
        <v>13</v>
      </c>
      <c r="C103" s="146"/>
    </row>
    <row r="104" spans="1:12">
      <c r="A104" s="22">
        <v>14</v>
      </c>
      <c r="C104" s="146"/>
    </row>
    <row r="105" spans="1:12">
      <c r="A105" s="22">
        <v>15</v>
      </c>
      <c r="C105" s="146"/>
    </row>
    <row r="106" spans="1:12">
      <c r="A106" s="22">
        <v>16</v>
      </c>
      <c r="C106" s="146"/>
    </row>
    <row r="107" spans="1:12">
      <c r="A107" s="22">
        <v>17</v>
      </c>
      <c r="C107" s="146"/>
    </row>
    <row r="108" spans="1:12">
      <c r="A108" s="22">
        <v>18</v>
      </c>
      <c r="C108" s="146"/>
    </row>
    <row r="109" spans="1:12">
      <c r="A109" s="22">
        <v>19</v>
      </c>
      <c r="C109" s="146"/>
    </row>
    <row r="110" spans="1:12">
      <c r="A110" s="22">
        <v>20</v>
      </c>
      <c r="C110" s="146"/>
    </row>
    <row r="112" spans="1:12">
      <c r="L112" s="22" t="s">
        <v>4975</v>
      </c>
    </row>
    <row r="119" spans="1:4">
      <c r="C119" s="22" t="s">
        <v>4401</v>
      </c>
    </row>
    <row r="120" spans="1:4">
      <c r="D120" s="119" t="s">
        <v>4990</v>
      </c>
    </row>
    <row r="121" spans="1:4" ht="80.099999999999994" customHeight="1">
      <c r="A121" s="147">
        <v>1</v>
      </c>
      <c r="B121" s="123"/>
      <c r="C121" s="148"/>
      <c r="D121" s="141"/>
    </row>
    <row r="122" spans="1:4" ht="80.099999999999994" customHeight="1">
      <c r="A122" s="147">
        <v>2</v>
      </c>
      <c r="B122" s="123"/>
      <c r="C122" s="148"/>
      <c r="D122" s="141"/>
    </row>
    <row r="123" spans="1:4" ht="80.099999999999994" customHeight="1">
      <c r="A123" s="147">
        <v>3</v>
      </c>
      <c r="B123" s="123"/>
      <c r="C123" s="148"/>
      <c r="D123" s="141"/>
    </row>
    <row r="124" spans="1:4" ht="80.099999999999994" customHeight="1">
      <c r="A124" s="147">
        <v>4</v>
      </c>
      <c r="B124" s="123"/>
      <c r="C124" s="148"/>
      <c r="D124" s="141"/>
    </row>
    <row r="125" spans="1:4" ht="80.099999999999994" customHeight="1">
      <c r="A125" s="147">
        <v>5</v>
      </c>
      <c r="B125" s="123"/>
      <c r="C125" s="148"/>
      <c r="D125" s="141"/>
    </row>
    <row r="126" spans="1:4" ht="80.099999999999994" customHeight="1">
      <c r="A126" s="147">
        <v>6</v>
      </c>
      <c r="B126" s="123"/>
      <c r="C126" s="148"/>
      <c r="D126" s="141"/>
    </row>
    <row r="127" spans="1:4" ht="80.099999999999994" customHeight="1">
      <c r="A127" s="147">
        <v>7</v>
      </c>
      <c r="B127" s="123"/>
      <c r="C127" s="148"/>
      <c r="D127" s="141"/>
    </row>
    <row r="128" spans="1:4" ht="80.099999999999994" customHeight="1">
      <c r="A128" s="147">
        <v>8</v>
      </c>
      <c r="B128" s="123"/>
      <c r="C128" s="148"/>
      <c r="D128" s="141"/>
    </row>
    <row r="129" spans="1:4" ht="80.099999999999994" customHeight="1">
      <c r="A129" s="147">
        <v>9</v>
      </c>
      <c r="B129" s="123"/>
      <c r="C129" s="148"/>
      <c r="D129" s="141"/>
    </row>
    <row r="130" spans="1:4" ht="80.099999999999994" customHeight="1">
      <c r="A130" s="147">
        <v>10</v>
      </c>
      <c r="B130" s="123"/>
      <c r="C130" s="148"/>
      <c r="D130" s="141"/>
    </row>
  </sheetData>
  <sheetProtection algorithmName="SHA-512" hashValue="rUq/bFgD2yU4mqZGWBCJaIQqY57eXDhX+Rf+t1igyVB0oJsI3eCeZHiDIbVYM4FfBuYnb3G0ovoQT099/WXh/A==" saltValue="9T0qNq/bkjl5/x2ZO7SuHg==" spinCount="100000" sheet="1" objects="1" scenarios="1" selectLockedCells="1"/>
  <mergeCells count="20">
    <mergeCell ref="A68:A69"/>
    <mergeCell ref="B68:C69"/>
    <mergeCell ref="D68:D69"/>
    <mergeCell ref="E68:F68"/>
    <mergeCell ref="A39:C39"/>
    <mergeCell ref="D39:F39"/>
    <mergeCell ref="A40:C40"/>
    <mergeCell ref="D40:F40"/>
    <mergeCell ref="A43:A44"/>
    <mergeCell ref="B43:B44"/>
    <mergeCell ref="C43:C44"/>
    <mergeCell ref="D43:D44"/>
    <mergeCell ref="E43:F43"/>
    <mergeCell ref="A38:C38"/>
    <mergeCell ref="D38:F38"/>
    <mergeCell ref="A4:A5"/>
    <mergeCell ref="B4:B5"/>
    <mergeCell ref="C4:C5"/>
    <mergeCell ref="D4:D5"/>
    <mergeCell ref="E4:F4"/>
  </mergeCells>
  <phoneticPr fontId="1"/>
  <conditionalFormatting sqref="D38">
    <cfRule type="expression" dxfId="255" priority="9" stopIfTrue="1">
      <formula>$D$38&lt;&gt;""</formula>
    </cfRule>
  </conditionalFormatting>
  <conditionalFormatting sqref="D39">
    <cfRule type="expression" dxfId="254" priority="8" stopIfTrue="1">
      <formula>$D$39&lt;&gt;""</formula>
    </cfRule>
  </conditionalFormatting>
  <conditionalFormatting sqref="D40">
    <cfRule type="expression" dxfId="253" priority="7" stopIfTrue="1">
      <formula>$D$40&lt;&gt;""</formula>
    </cfRule>
  </conditionalFormatting>
  <conditionalFormatting sqref="D121:D130">
    <cfRule type="expression" dxfId="252" priority="1">
      <formula>D121&lt;&gt;""</formula>
    </cfRule>
  </conditionalFormatting>
  <conditionalFormatting sqref="D39:F39">
    <cfRule type="expression" dxfId="251" priority="5">
      <formula>$J$2&lt;&gt;2</formula>
    </cfRule>
  </conditionalFormatting>
  <conditionalFormatting sqref="D40:F40">
    <cfRule type="expression" dxfId="250" priority="4">
      <formula>$J$2&lt;&gt;3</formula>
    </cfRule>
  </conditionalFormatting>
  <conditionalFormatting sqref="F6:F35">
    <cfRule type="expression" dxfId="249" priority="371" stopIfTrue="1">
      <formula>F6&lt;&gt;""</formula>
    </cfRule>
  </conditionalFormatting>
  <conditionalFormatting sqref="F45:F64">
    <cfRule type="expression" dxfId="248" priority="69" stopIfTrue="1">
      <formula>F45&lt;&gt;""</formula>
    </cfRule>
  </conditionalFormatting>
  <conditionalFormatting sqref="F70:F79">
    <cfRule type="expression" dxfId="247" priority="2">
      <formula>F70&lt;&gt;""</formula>
    </cfRule>
  </conditionalFormatting>
  <conditionalFormatting sqref="G6">
    <cfRule type="expression" dxfId="246" priority="369" stopIfTrue="1">
      <formula>$G$6&lt;&gt;""</formula>
    </cfRule>
  </conditionalFormatting>
  <conditionalFormatting sqref="G6:G35">
    <cfRule type="expression" dxfId="245" priority="203" stopIfTrue="1">
      <formula>$J$2&lt;&gt;2</formula>
    </cfRule>
  </conditionalFormatting>
  <conditionalFormatting sqref="G7">
    <cfRule type="expression" dxfId="244" priority="363" stopIfTrue="1">
      <formula>$G$7&lt;&gt;""</formula>
    </cfRule>
  </conditionalFormatting>
  <conditionalFormatting sqref="G8">
    <cfRule type="expression" dxfId="243" priority="348" stopIfTrue="1">
      <formula>$G$8&lt;&gt;""</formula>
    </cfRule>
  </conditionalFormatting>
  <conditionalFormatting sqref="G9">
    <cfRule type="expression" dxfId="242" priority="346" stopIfTrue="1">
      <formula>$G$9&lt;&gt;""</formula>
    </cfRule>
  </conditionalFormatting>
  <conditionalFormatting sqref="G10">
    <cfRule type="expression" dxfId="241" priority="344" stopIfTrue="1">
      <formula>$G$10&lt;&gt;""</formula>
    </cfRule>
  </conditionalFormatting>
  <conditionalFormatting sqref="G11">
    <cfRule type="expression" dxfId="240" priority="342" stopIfTrue="1">
      <formula>$G$11&lt;&gt;""</formula>
    </cfRule>
  </conditionalFormatting>
  <conditionalFormatting sqref="G12">
    <cfRule type="expression" dxfId="239" priority="340" stopIfTrue="1">
      <formula>$G$12&lt;&gt;""</formula>
    </cfRule>
  </conditionalFormatting>
  <conditionalFormatting sqref="G13">
    <cfRule type="expression" dxfId="238" priority="318" stopIfTrue="1">
      <formula>$G$13&lt;&gt;""</formula>
    </cfRule>
  </conditionalFormatting>
  <conditionalFormatting sqref="G14">
    <cfRule type="expression" dxfId="237" priority="316" stopIfTrue="1">
      <formula>$G$14&lt;&gt;""</formula>
    </cfRule>
  </conditionalFormatting>
  <conditionalFormatting sqref="G15">
    <cfRule type="expression" dxfId="236" priority="314" stopIfTrue="1">
      <formula>$G$15&lt;&gt;""</formula>
    </cfRule>
  </conditionalFormatting>
  <conditionalFormatting sqref="G16">
    <cfRule type="expression" dxfId="235" priority="312" stopIfTrue="1">
      <formula>$G$16&lt;&gt;""</formula>
    </cfRule>
  </conditionalFormatting>
  <conditionalFormatting sqref="G17">
    <cfRule type="expression" dxfId="234" priority="310" stopIfTrue="1">
      <formula>$G$17&lt;&gt;""</formula>
    </cfRule>
  </conditionalFormatting>
  <conditionalFormatting sqref="G18">
    <cfRule type="expression" dxfId="233" priority="286" stopIfTrue="1">
      <formula>$G$18&lt;&gt;""</formula>
    </cfRule>
  </conditionalFormatting>
  <conditionalFormatting sqref="G19">
    <cfRule type="expression" dxfId="232" priority="284" stopIfTrue="1">
      <formula>$G$19&lt;&gt;""</formula>
    </cfRule>
  </conditionalFormatting>
  <conditionalFormatting sqref="G20">
    <cfRule type="expression" dxfId="231" priority="282" stopIfTrue="1">
      <formula>$G$20&lt;&gt;""</formula>
    </cfRule>
  </conditionalFormatting>
  <conditionalFormatting sqref="G21">
    <cfRule type="expression" dxfId="230" priority="280" stopIfTrue="1">
      <formula>$G$21&lt;&gt;""</formula>
    </cfRule>
  </conditionalFormatting>
  <conditionalFormatting sqref="G22">
    <cfRule type="expression" dxfId="229" priority="278" stopIfTrue="1">
      <formula>$G$22&lt;&gt;""</formula>
    </cfRule>
  </conditionalFormatting>
  <conditionalFormatting sqref="G23">
    <cfRule type="expression" dxfId="228" priority="276" stopIfTrue="1">
      <formula>$G$23&lt;&gt;""</formula>
    </cfRule>
  </conditionalFormatting>
  <conditionalFormatting sqref="G24">
    <cfRule type="expression" dxfId="227" priority="250" stopIfTrue="1">
      <formula>$G$24&lt;&gt;""</formula>
    </cfRule>
  </conditionalFormatting>
  <conditionalFormatting sqref="G25">
    <cfRule type="expression" dxfId="226" priority="248" stopIfTrue="1">
      <formula>$G$25&lt;&gt;""</formula>
    </cfRule>
  </conditionalFormatting>
  <conditionalFormatting sqref="G26">
    <cfRule type="expression" dxfId="225" priority="246" stopIfTrue="1">
      <formula>$G$26&lt;&gt;""</formula>
    </cfRule>
  </conditionalFormatting>
  <conditionalFormatting sqref="G27">
    <cfRule type="expression" dxfId="224" priority="244" stopIfTrue="1">
      <formula>$G$27&lt;&gt;""</formula>
    </cfRule>
  </conditionalFormatting>
  <conditionalFormatting sqref="G28">
    <cfRule type="expression" dxfId="223" priority="242" stopIfTrue="1">
      <formula>$G$28&lt;&gt;""</formula>
    </cfRule>
  </conditionalFormatting>
  <conditionalFormatting sqref="G29">
    <cfRule type="expression" dxfId="222" priority="240" stopIfTrue="1">
      <formula>$G$29&lt;&gt;""</formula>
    </cfRule>
  </conditionalFormatting>
  <conditionalFormatting sqref="G30">
    <cfRule type="expression" dxfId="221" priority="214" stopIfTrue="1">
      <formula>$G$30&lt;&gt;""</formula>
    </cfRule>
  </conditionalFormatting>
  <conditionalFormatting sqref="G31">
    <cfRule type="expression" dxfId="220" priority="212" stopIfTrue="1">
      <formula>$G$31&lt;&gt;""</formula>
    </cfRule>
  </conditionalFormatting>
  <conditionalFormatting sqref="G32">
    <cfRule type="expression" dxfId="219" priority="210" stopIfTrue="1">
      <formula>$G$32&lt;&gt;""</formula>
    </cfRule>
  </conditionalFormatting>
  <conditionalFormatting sqref="G33">
    <cfRule type="expression" dxfId="218" priority="208" stopIfTrue="1">
      <formula>$G$33&lt;&gt;""</formula>
    </cfRule>
  </conditionalFormatting>
  <conditionalFormatting sqref="G34">
    <cfRule type="expression" dxfId="217" priority="206" stopIfTrue="1">
      <formula>$G$34&lt;&gt;""</formula>
    </cfRule>
  </conditionalFormatting>
  <conditionalFormatting sqref="G35">
    <cfRule type="expression" dxfId="216" priority="204" stopIfTrue="1">
      <formula>$G$35&lt;&gt;""</formula>
    </cfRule>
  </conditionalFormatting>
  <conditionalFormatting sqref="G45">
    <cfRule type="expression" dxfId="215" priority="179" stopIfTrue="1">
      <formula>$G$45&lt;&gt;""</formula>
    </cfRule>
  </conditionalFormatting>
  <conditionalFormatting sqref="G45:G64">
    <cfRule type="expression" dxfId="214" priority="78" stopIfTrue="1">
      <formula>$J$2&lt;&gt;2</formula>
    </cfRule>
  </conditionalFormatting>
  <conditionalFormatting sqref="G46">
    <cfRule type="expression" dxfId="213" priority="177" stopIfTrue="1">
      <formula>$G$46&lt;&gt;""</formula>
    </cfRule>
  </conditionalFormatting>
  <conditionalFormatting sqref="G47">
    <cfRule type="expression" dxfId="212" priority="175" stopIfTrue="1">
      <formula>$G$47&lt;&gt;""</formula>
    </cfRule>
  </conditionalFormatting>
  <conditionalFormatting sqref="G48">
    <cfRule type="expression" dxfId="211" priority="173" stopIfTrue="1">
      <formula>$G$48&lt;&gt;""</formula>
    </cfRule>
  </conditionalFormatting>
  <conditionalFormatting sqref="G49">
    <cfRule type="expression" dxfId="210" priority="171" stopIfTrue="1">
      <formula>$G$49&lt;&gt;""</formula>
    </cfRule>
  </conditionalFormatting>
  <conditionalFormatting sqref="G50">
    <cfRule type="expression" dxfId="209" priority="147" stopIfTrue="1">
      <formula>$G$50&lt;&gt;""</formula>
    </cfRule>
  </conditionalFormatting>
  <conditionalFormatting sqref="G51">
    <cfRule type="expression" dxfId="208" priority="145" stopIfTrue="1">
      <formula>$G$51&lt;&gt;""</formula>
    </cfRule>
  </conditionalFormatting>
  <conditionalFormatting sqref="G52">
    <cfRule type="expression" dxfId="207" priority="143" stopIfTrue="1">
      <formula>$G$52&lt;&gt;""</formula>
    </cfRule>
  </conditionalFormatting>
  <conditionalFormatting sqref="G53">
    <cfRule type="expression" dxfId="206" priority="141" stopIfTrue="1">
      <formula>$G$53&lt;&gt;""</formula>
    </cfRule>
  </conditionalFormatting>
  <conditionalFormatting sqref="G54">
    <cfRule type="expression" dxfId="205" priority="139" stopIfTrue="1">
      <formula>$G$54&lt;&gt;""</formula>
    </cfRule>
  </conditionalFormatting>
  <conditionalFormatting sqref="G55">
    <cfRule type="expression" dxfId="204" priority="137" stopIfTrue="1">
      <formula>$G$55&lt;&gt;""</formula>
    </cfRule>
  </conditionalFormatting>
  <conditionalFormatting sqref="G56">
    <cfRule type="expression" dxfId="203" priority="113" stopIfTrue="1">
      <formula>$G$56&lt;&gt;""</formula>
    </cfRule>
  </conditionalFormatting>
  <conditionalFormatting sqref="G57">
    <cfRule type="expression" dxfId="202" priority="111" stopIfTrue="1">
      <formula>$G$57&lt;&gt;""</formula>
    </cfRule>
  </conditionalFormatting>
  <conditionalFormatting sqref="G58">
    <cfRule type="expression" dxfId="201" priority="109" stopIfTrue="1">
      <formula>$G$58&lt;&gt;""</formula>
    </cfRule>
  </conditionalFormatting>
  <conditionalFormatting sqref="G59">
    <cfRule type="expression" dxfId="200" priority="107" stopIfTrue="1">
      <formula>$G$59&lt;&gt;""</formula>
    </cfRule>
  </conditionalFormatting>
  <conditionalFormatting sqref="G60">
    <cfRule type="expression" dxfId="199" priority="105" stopIfTrue="1">
      <formula>$G$60&lt;&gt;""</formula>
    </cfRule>
  </conditionalFormatting>
  <conditionalFormatting sqref="G61">
    <cfRule type="expression" dxfId="198" priority="85" stopIfTrue="1">
      <formula>$G$61&lt;&gt;""</formula>
    </cfRule>
  </conditionalFormatting>
  <conditionalFormatting sqref="G62">
    <cfRule type="expression" dxfId="197" priority="83" stopIfTrue="1">
      <formula>$G$62&lt;&gt;""</formula>
    </cfRule>
  </conditionalFormatting>
  <conditionalFormatting sqref="G63">
    <cfRule type="expression" dxfId="196" priority="81" stopIfTrue="1">
      <formula>$G$63&lt;&gt;""</formula>
    </cfRule>
  </conditionalFormatting>
  <conditionalFormatting sqref="G64">
    <cfRule type="expression" dxfId="195" priority="79" stopIfTrue="1">
      <formula>$G$64&lt;&gt;""</formula>
    </cfRule>
  </conditionalFormatting>
  <conditionalFormatting sqref="G70">
    <cfRule type="expression" dxfId="194" priority="57" stopIfTrue="1">
      <formula>$G$70&lt;&gt;""</formula>
    </cfRule>
  </conditionalFormatting>
  <conditionalFormatting sqref="G70:G79">
    <cfRule type="expression" dxfId="193" priority="12" stopIfTrue="1">
      <formula>$J$2&lt;&gt;2</formula>
    </cfRule>
  </conditionalFormatting>
  <conditionalFormatting sqref="G71">
    <cfRule type="expression" dxfId="192" priority="55" stopIfTrue="1">
      <formula>$G$71&lt;&gt;""</formula>
    </cfRule>
  </conditionalFormatting>
  <conditionalFormatting sqref="G72">
    <cfRule type="expression" dxfId="191" priority="53" stopIfTrue="1">
      <formula>$G$72&lt;&gt;""</formula>
    </cfRule>
  </conditionalFormatting>
  <conditionalFormatting sqref="G73">
    <cfRule type="expression" dxfId="190" priority="51" stopIfTrue="1">
      <formula>$G$73&lt;&gt;""</formula>
    </cfRule>
  </conditionalFormatting>
  <conditionalFormatting sqref="G74">
    <cfRule type="expression" dxfId="189" priority="49" stopIfTrue="1">
      <formula>$G$74&lt;&gt;""</formula>
    </cfRule>
  </conditionalFormatting>
  <conditionalFormatting sqref="G75">
    <cfRule type="expression" dxfId="188" priority="47" stopIfTrue="1">
      <formula>$G$75&lt;&gt;""</formula>
    </cfRule>
  </conditionalFormatting>
  <conditionalFormatting sqref="G76">
    <cfRule type="expression" dxfId="187" priority="27" stopIfTrue="1">
      <formula>$G$76&lt;&gt;""</formula>
    </cfRule>
  </conditionalFormatting>
  <conditionalFormatting sqref="G77">
    <cfRule type="expression" dxfId="186" priority="25" stopIfTrue="1">
      <formula>$G$77&lt;&gt;""</formula>
    </cfRule>
  </conditionalFormatting>
  <conditionalFormatting sqref="G78">
    <cfRule type="expression" dxfId="185" priority="23" stopIfTrue="1">
      <formula>$G$78&lt;&gt;""</formula>
    </cfRule>
  </conditionalFormatting>
  <conditionalFormatting sqref="G79">
    <cfRule type="expression" dxfId="184" priority="13" stopIfTrue="1">
      <formula>$G$79&lt;&gt;""</formula>
    </cfRule>
  </conditionalFormatting>
  <conditionalFormatting sqref="H6">
    <cfRule type="expression" dxfId="183" priority="367" stopIfTrue="1">
      <formula>$H$6&lt;&gt;""</formula>
    </cfRule>
  </conditionalFormatting>
  <conditionalFormatting sqref="H6:H7">
    <cfRule type="expression" dxfId="182" priority="360" stopIfTrue="1">
      <formula>$J$2&lt;&gt;3</formula>
    </cfRule>
  </conditionalFormatting>
  <conditionalFormatting sqref="H7">
    <cfRule type="expression" dxfId="181" priority="359" stopIfTrue="1">
      <formula>$H$7&lt;&gt;""</formula>
    </cfRule>
    <cfRule type="expression" dxfId="180" priority="361" stopIfTrue="1">
      <formula>$H$7&lt;&gt;""</formula>
    </cfRule>
  </conditionalFormatting>
  <conditionalFormatting sqref="H8">
    <cfRule type="expression" dxfId="179" priority="338" stopIfTrue="1">
      <formula>$H$8&lt;&gt;""</formula>
    </cfRule>
  </conditionalFormatting>
  <conditionalFormatting sqref="H8:H35">
    <cfRule type="expression" dxfId="178" priority="191" stopIfTrue="1">
      <formula>$J$2&lt;&gt;3</formula>
    </cfRule>
  </conditionalFormatting>
  <conditionalFormatting sqref="H9">
    <cfRule type="expression" dxfId="177" priority="336" stopIfTrue="1">
      <formula>$H$9&lt;&gt;""</formula>
    </cfRule>
  </conditionalFormatting>
  <conditionalFormatting sqref="H10">
    <cfRule type="expression" dxfId="176" priority="334" stopIfTrue="1">
      <formula>$H$10&lt;&gt;""</formula>
    </cfRule>
  </conditionalFormatting>
  <conditionalFormatting sqref="H11">
    <cfRule type="expression" dxfId="175" priority="332" stopIfTrue="1">
      <formula>$H$11&lt;&gt;""</formula>
    </cfRule>
  </conditionalFormatting>
  <conditionalFormatting sqref="H12">
    <cfRule type="expression" dxfId="174" priority="330" stopIfTrue="1">
      <formula>$H$12&lt;&gt;""</formula>
    </cfRule>
  </conditionalFormatting>
  <conditionalFormatting sqref="H13">
    <cfRule type="expression" dxfId="173" priority="308" stopIfTrue="1">
      <formula>$H$13&lt;&gt;""</formula>
    </cfRule>
  </conditionalFormatting>
  <conditionalFormatting sqref="H14">
    <cfRule type="expression" dxfId="172" priority="306" stopIfTrue="1">
      <formula>$H$14&lt;&gt;""</formula>
    </cfRule>
  </conditionalFormatting>
  <conditionalFormatting sqref="H15">
    <cfRule type="expression" dxfId="171" priority="304" stopIfTrue="1">
      <formula>$H$15&lt;&gt;""</formula>
    </cfRule>
  </conditionalFormatting>
  <conditionalFormatting sqref="H16">
    <cfRule type="expression" dxfId="170" priority="302" stopIfTrue="1">
      <formula>$H$16&lt;&gt;""</formula>
    </cfRule>
  </conditionalFormatting>
  <conditionalFormatting sqref="H17">
    <cfRule type="expression" dxfId="169" priority="300" stopIfTrue="1">
      <formula>$H$17&lt;&gt;""</formula>
    </cfRule>
  </conditionalFormatting>
  <conditionalFormatting sqref="H18">
    <cfRule type="expression" dxfId="168" priority="274" stopIfTrue="1">
      <formula>$H$18&lt;&gt;""</formula>
    </cfRule>
  </conditionalFormatting>
  <conditionalFormatting sqref="H19">
    <cfRule type="expression" dxfId="167" priority="272" stopIfTrue="1">
      <formula>$H$19&lt;&gt;""</formula>
    </cfRule>
  </conditionalFormatting>
  <conditionalFormatting sqref="H20">
    <cfRule type="expression" dxfId="166" priority="270" stopIfTrue="1">
      <formula>$H$20&lt;&gt;""</formula>
    </cfRule>
  </conditionalFormatting>
  <conditionalFormatting sqref="H21">
    <cfRule type="expression" dxfId="165" priority="268" stopIfTrue="1">
      <formula>$H$21&lt;&gt;""</formula>
    </cfRule>
  </conditionalFormatting>
  <conditionalFormatting sqref="H22">
    <cfRule type="expression" dxfId="164" priority="266" stopIfTrue="1">
      <formula>$H$22&lt;&gt;""</formula>
    </cfRule>
  </conditionalFormatting>
  <conditionalFormatting sqref="H23">
    <cfRule type="expression" dxfId="163" priority="264" stopIfTrue="1">
      <formula>$H$23&lt;&gt;""</formula>
    </cfRule>
  </conditionalFormatting>
  <conditionalFormatting sqref="H24">
    <cfRule type="expression" dxfId="162" priority="238" stopIfTrue="1">
      <formula>$H$24&lt;&gt;""</formula>
    </cfRule>
  </conditionalFormatting>
  <conditionalFormatting sqref="H25">
    <cfRule type="expression" dxfId="161" priority="236" stopIfTrue="1">
      <formula>$H$25&lt;&gt;""</formula>
    </cfRule>
  </conditionalFormatting>
  <conditionalFormatting sqref="H26">
    <cfRule type="expression" dxfId="160" priority="234" stopIfTrue="1">
      <formula>$H$26&lt;&gt;""</formula>
    </cfRule>
  </conditionalFormatting>
  <conditionalFormatting sqref="H27">
    <cfRule type="expression" dxfId="159" priority="232" stopIfTrue="1">
      <formula>$H$27&lt;&gt;""</formula>
    </cfRule>
  </conditionalFormatting>
  <conditionalFormatting sqref="H28">
    <cfRule type="expression" dxfId="158" priority="230" stopIfTrue="1">
      <formula>$H$28&lt;&gt;""</formula>
    </cfRule>
  </conditionalFormatting>
  <conditionalFormatting sqref="H29">
    <cfRule type="expression" dxfId="157" priority="228" stopIfTrue="1">
      <formula>$H$29&lt;&gt;""</formula>
    </cfRule>
  </conditionalFormatting>
  <conditionalFormatting sqref="H30">
    <cfRule type="expression" dxfId="156" priority="202" stopIfTrue="1">
      <formula>$H$30&lt;&gt;""</formula>
    </cfRule>
  </conditionalFormatting>
  <conditionalFormatting sqref="H31">
    <cfRule type="expression" dxfId="155" priority="200" stopIfTrue="1">
      <formula>$H$31&lt;&gt;""</formula>
    </cfRule>
  </conditionalFormatting>
  <conditionalFormatting sqref="H32">
    <cfRule type="expression" dxfId="154" priority="198" stopIfTrue="1">
      <formula>$H$32&lt;&gt;""</formula>
    </cfRule>
  </conditionalFormatting>
  <conditionalFormatting sqref="H33">
    <cfRule type="expression" dxfId="153" priority="196" stopIfTrue="1">
      <formula>$H$33&lt;&gt;""</formula>
    </cfRule>
  </conditionalFormatting>
  <conditionalFormatting sqref="H34">
    <cfRule type="expression" dxfId="152" priority="194" stopIfTrue="1">
      <formula>$H$34&lt;&gt;""</formula>
    </cfRule>
  </conditionalFormatting>
  <conditionalFormatting sqref="H35">
    <cfRule type="expression" dxfId="151" priority="192" stopIfTrue="1">
      <formula>$H$35&lt;&gt;""</formula>
    </cfRule>
  </conditionalFormatting>
  <conditionalFormatting sqref="H45">
    <cfRule type="expression" dxfId="150" priority="169" stopIfTrue="1">
      <formula>$H$45&lt;&gt;""</formula>
    </cfRule>
  </conditionalFormatting>
  <conditionalFormatting sqref="H45:H64">
    <cfRule type="expression" dxfId="149" priority="70" stopIfTrue="1">
      <formula>$J$2&lt;&gt;3</formula>
    </cfRule>
  </conditionalFormatting>
  <conditionalFormatting sqref="H46">
    <cfRule type="expression" dxfId="148" priority="167" stopIfTrue="1">
      <formula>$H$46&lt;&gt;""</formula>
    </cfRule>
  </conditionalFormatting>
  <conditionalFormatting sqref="H47">
    <cfRule type="expression" dxfId="147" priority="165" stopIfTrue="1">
      <formula>$H$47&lt;&gt;""</formula>
    </cfRule>
  </conditionalFormatting>
  <conditionalFormatting sqref="H48">
    <cfRule type="expression" dxfId="146" priority="163" stopIfTrue="1">
      <formula>$H$48&lt;&gt;""</formula>
    </cfRule>
  </conditionalFormatting>
  <conditionalFormatting sqref="H49">
    <cfRule type="expression" dxfId="145" priority="161" stopIfTrue="1">
      <formula>$H$49&lt;&gt;""</formula>
    </cfRule>
  </conditionalFormatting>
  <conditionalFormatting sqref="H50">
    <cfRule type="expression" dxfId="144" priority="135" stopIfTrue="1">
      <formula>$H$50&lt;&gt;""</formula>
    </cfRule>
  </conditionalFormatting>
  <conditionalFormatting sqref="H51">
    <cfRule type="expression" dxfId="143" priority="133" stopIfTrue="1">
      <formula>$H$51&lt;&gt;""</formula>
    </cfRule>
  </conditionalFormatting>
  <conditionalFormatting sqref="H52">
    <cfRule type="expression" dxfId="142" priority="131" stopIfTrue="1">
      <formula>$H$52&lt;&gt;""</formula>
    </cfRule>
  </conditionalFormatting>
  <conditionalFormatting sqref="H53">
    <cfRule type="expression" dxfId="141" priority="129" stopIfTrue="1">
      <formula>$H$53&lt;&gt;""</formula>
    </cfRule>
  </conditionalFormatting>
  <conditionalFormatting sqref="H54">
    <cfRule type="expression" dxfId="140" priority="127" stopIfTrue="1">
      <formula>$H$54&lt;&gt;""</formula>
    </cfRule>
  </conditionalFormatting>
  <conditionalFormatting sqref="H55">
    <cfRule type="expression" dxfId="139" priority="125" stopIfTrue="1">
      <formula>$H$55&lt;&gt;""</formula>
    </cfRule>
  </conditionalFormatting>
  <conditionalFormatting sqref="H56">
    <cfRule type="expression" dxfId="138" priority="103" stopIfTrue="1">
      <formula>$H$56&lt;&gt;""</formula>
    </cfRule>
  </conditionalFormatting>
  <conditionalFormatting sqref="H57">
    <cfRule type="expression" dxfId="137" priority="101" stopIfTrue="1">
      <formula>$H$57&lt;&gt;""</formula>
    </cfRule>
  </conditionalFormatting>
  <conditionalFormatting sqref="H58">
    <cfRule type="expression" dxfId="136" priority="99" stopIfTrue="1">
      <formula>$H$58&lt;&gt;""</formula>
    </cfRule>
  </conditionalFormatting>
  <conditionalFormatting sqref="H59">
    <cfRule type="expression" dxfId="135" priority="97" stopIfTrue="1">
      <formula>$H$59&lt;&gt;""</formula>
    </cfRule>
  </conditionalFormatting>
  <conditionalFormatting sqref="H60">
    <cfRule type="expression" dxfId="134" priority="95" stopIfTrue="1">
      <formula>$H$60&lt;&gt;""</formula>
    </cfRule>
  </conditionalFormatting>
  <conditionalFormatting sqref="H61">
    <cfRule type="expression" dxfId="133" priority="77" stopIfTrue="1">
      <formula>$H$61&lt;&gt;""</formula>
    </cfRule>
  </conditionalFormatting>
  <conditionalFormatting sqref="H62">
    <cfRule type="expression" dxfId="132" priority="75" stopIfTrue="1">
      <formula>$H$62&lt;&gt;""</formula>
    </cfRule>
  </conditionalFormatting>
  <conditionalFormatting sqref="H63">
    <cfRule type="expression" dxfId="131" priority="73" stopIfTrue="1">
      <formula>$H$63&lt;&gt;""</formula>
    </cfRule>
  </conditionalFormatting>
  <conditionalFormatting sqref="H64">
    <cfRule type="expression" dxfId="130" priority="71" stopIfTrue="1">
      <formula>$H$64&lt;&gt;""</formula>
    </cfRule>
  </conditionalFormatting>
  <conditionalFormatting sqref="H70">
    <cfRule type="expression" dxfId="129" priority="45" stopIfTrue="1">
      <formula>$H$70&lt;&gt;""</formula>
    </cfRule>
  </conditionalFormatting>
  <conditionalFormatting sqref="H70:H79">
    <cfRule type="expression" dxfId="128" priority="10" stopIfTrue="1">
      <formula>$J$2&lt;&gt;3</formula>
    </cfRule>
  </conditionalFormatting>
  <conditionalFormatting sqref="H71">
    <cfRule type="expression" dxfId="127" priority="43" stopIfTrue="1">
      <formula>$H$71&lt;&gt;""</formula>
    </cfRule>
  </conditionalFormatting>
  <conditionalFormatting sqref="H72">
    <cfRule type="expression" dxfId="126" priority="41" stopIfTrue="1">
      <formula>$H$72&lt;&gt;""</formula>
    </cfRule>
  </conditionalFormatting>
  <conditionalFormatting sqref="H73">
    <cfRule type="expression" dxfId="125" priority="39" stopIfTrue="1">
      <formula>$H$73&lt;&gt;""</formula>
    </cfRule>
  </conditionalFormatting>
  <conditionalFormatting sqref="H74">
    <cfRule type="expression" dxfId="124" priority="37" stopIfTrue="1">
      <formula>$H$74&lt;&gt;""</formula>
    </cfRule>
  </conditionalFormatting>
  <conditionalFormatting sqref="H75">
    <cfRule type="expression" dxfId="123" priority="35" stopIfTrue="1">
      <formula>$H$75&lt;&gt;""</formula>
    </cfRule>
  </conditionalFormatting>
  <conditionalFormatting sqref="H76">
    <cfRule type="expression" dxfId="122" priority="21" stopIfTrue="1">
      <formula>$H$76&lt;&gt;""</formula>
    </cfRule>
  </conditionalFormatting>
  <conditionalFormatting sqref="H77">
    <cfRule type="expression" dxfId="121" priority="19" stopIfTrue="1">
      <formula>$H$77&lt;&gt;""</formula>
    </cfRule>
  </conditionalFormatting>
  <conditionalFormatting sqref="H78">
    <cfRule type="expression" dxfId="120" priority="17" stopIfTrue="1">
      <formula>$H$78&lt;&gt;""</formula>
    </cfRule>
  </conditionalFormatting>
  <conditionalFormatting sqref="H79">
    <cfRule type="expression" dxfId="119" priority="11" stopIfTrue="1">
      <formula>$H$79&lt;&gt;""</formula>
    </cfRule>
  </conditionalFormatting>
  <dataValidations count="5">
    <dataValidation type="list" allowBlank="1" showInputMessage="1" showErrorMessage="1" sqref="F6:H35" xr:uid="{00000000-0002-0000-0E00-000000000000}">
      <formula1>"実施済,未実施,非該当"</formula1>
    </dataValidation>
    <dataValidation type="list" allowBlank="1" showInputMessage="1" showErrorMessage="1" sqref="F45:H64" xr:uid="{00000000-0002-0000-0E00-000001000000}">
      <formula1>"実施済,一部実施済,未実施"</formula1>
    </dataValidation>
    <dataValidation type="list" allowBlank="1" showInputMessage="1" showErrorMessage="1" sqref="F70:H79" xr:uid="{00000000-0002-0000-0E00-000002000000}">
      <formula1>"実施済,未実施"</formula1>
    </dataValidation>
    <dataValidation imeMode="hiragana" allowBlank="1" showInputMessage="1" showErrorMessage="1" sqref="D38:F40 D121:D130" xr:uid="{00000000-0002-0000-0E00-000003000000}"/>
    <dataValidation type="list" allowBlank="1" showInputMessage="1" showErrorMessage="1" sqref="C121:C130" xr:uid="{00000000-0002-0000-0E00-000004000000}">
      <formula1>その他対策</formula1>
    </dataValidation>
  </dataValidations>
  <printOptions horizontalCentered="1"/>
  <pageMargins left="0.70866141732283472" right="0.55118110236220474" top="0.74803149606299213" bottom="0.74803149606299213" header="0.31496062992125984" footer="0.31496062992125984"/>
  <pageSetup paperSize="9" scale="80" fitToHeight="7" orientation="portrait" r:id="rId1"/>
  <headerFooter>
    <oddHeader>&amp;L様式第２号</oddHeader>
    <oddFooter>&amp;R&amp;8（事業所等用）</oddFooter>
  </headerFooter>
  <rowBreaks count="5" manualBreakCount="5">
    <brk id="17" max="9" man="1"/>
    <brk id="29" max="9" man="1"/>
    <brk id="38" max="9" man="1"/>
    <brk id="56" max="9" man="1"/>
    <brk id="65"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5000000}">
          <x14:formula1>
            <xm:f>OFFSET(対策リスト!$AP$2,0,0,25-COUNTBLANK(対策リスト!$AP$2:$AP$26),1)</xm:f>
          </x14:formula1>
          <xm:sqref>C91:C110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theme="6" tint="0.59999389629810485"/>
  </sheetPr>
  <dimension ref="A3:H130"/>
  <sheetViews>
    <sheetView topLeftCell="A3" zoomScaleNormal="100" zoomScaleSheetLayoutView="100" workbookViewId="0">
      <selection activeCell="G6" sqref="G6"/>
    </sheetView>
  </sheetViews>
  <sheetFormatPr defaultColWidth="8.88671875" defaultRowHeight="16.2"/>
  <cols>
    <col min="1" max="1" width="3.88671875" style="22" customWidth="1"/>
    <col min="2" max="2" width="9.109375" style="22" hidden="1" customWidth="1"/>
    <col min="3" max="3" width="14.6640625" style="22" customWidth="1"/>
    <col min="4" max="4" width="43.44140625" style="22" customWidth="1"/>
    <col min="5" max="7" width="8.6640625" style="22" customWidth="1"/>
    <col min="8" max="8" width="8.109375" style="22" hidden="1" customWidth="1"/>
    <col min="9" max="9" width="0" style="22" hidden="1" customWidth="1"/>
    <col min="10" max="16384" width="8.88671875" style="22"/>
  </cols>
  <sheetData>
    <row r="3" spans="1:8">
      <c r="A3" s="109" t="s">
        <v>4182</v>
      </c>
      <c r="B3" s="109"/>
    </row>
    <row r="4" spans="1:8" ht="13.35" customHeight="1">
      <c r="A4" s="951" t="s">
        <v>97</v>
      </c>
      <c r="B4" s="952" t="s">
        <v>100</v>
      </c>
      <c r="C4" s="953" t="s">
        <v>98</v>
      </c>
      <c r="D4" s="953" t="s">
        <v>99</v>
      </c>
      <c r="E4" s="687" t="s">
        <v>4166</v>
      </c>
      <c r="F4" s="957"/>
      <c r="G4" s="688"/>
      <c r="H4" s="137"/>
    </row>
    <row r="5" spans="1:8" ht="33" customHeight="1">
      <c r="A5" s="951"/>
      <c r="B5" s="952"/>
      <c r="C5" s="953"/>
      <c r="D5" s="953"/>
      <c r="E5" s="138" t="s">
        <v>4161</v>
      </c>
      <c r="F5" s="138" t="s">
        <v>4154</v>
      </c>
      <c r="G5" s="138" t="s">
        <v>4159</v>
      </c>
      <c r="H5" s="138" t="s">
        <v>4160</v>
      </c>
    </row>
    <row r="6" spans="1:8" ht="65.25" customHeight="1">
      <c r="A6" s="142">
        <v>1</v>
      </c>
      <c r="B6" s="121" t="s">
        <v>101</v>
      </c>
      <c r="C6" s="121" t="s">
        <v>4041</v>
      </c>
      <c r="D6" s="121" t="s">
        <v>4336</v>
      </c>
      <c r="E6" s="139" t="str">
        <f>IF('計画書② (取組）'!E5="","",'計画書② (取組）'!E5)</f>
        <v/>
      </c>
      <c r="F6" s="167" t="str">
        <f>IF(C6="","",IFERROR(IF(VLOOKUP(C6,'報告書② 第1年度(取組）'!$C$6:$F$35,4,0)="","未入力",VLOOKUP(C6,'報告書② 第1年度(取組）'!$C$6:$F$35,4,0)),"-------"))</f>
        <v>未入力</v>
      </c>
      <c r="G6" s="122"/>
      <c r="H6" s="122"/>
    </row>
    <row r="7" spans="1:8" ht="65.25" customHeight="1">
      <c r="A7" s="142">
        <v>2</v>
      </c>
      <c r="B7" s="121" t="s">
        <v>101</v>
      </c>
      <c r="C7" s="121" t="s">
        <v>4042</v>
      </c>
      <c r="D7" s="121" t="s">
        <v>4337</v>
      </c>
      <c r="E7" s="139" t="str">
        <f>IF('計画書② (取組）'!E6="","",'計画書② (取組）'!E6)</f>
        <v/>
      </c>
      <c r="F7" s="167" t="str">
        <f>IF(C7="","",IFERROR(IF(VLOOKUP(C7,'報告書② 第1年度(取組）'!$C$6:$F$35,4,0)="","未入力",VLOOKUP(C7,'報告書② 第1年度(取組）'!$C$6:$F$35,4,0)),"-------"))</f>
        <v>未入力</v>
      </c>
      <c r="G7" s="122"/>
      <c r="H7" s="122"/>
    </row>
    <row r="8" spans="1:8" ht="65.25" customHeight="1">
      <c r="A8" s="142">
        <v>3</v>
      </c>
      <c r="B8" s="121" t="s">
        <v>101</v>
      </c>
      <c r="C8" s="121" t="s">
        <v>4043</v>
      </c>
      <c r="D8" s="121" t="s">
        <v>4338</v>
      </c>
      <c r="E8" s="139" t="str">
        <f>IF('計画書② (取組）'!E7="","",'計画書② (取組）'!E7)</f>
        <v/>
      </c>
      <c r="F8" s="167" t="str">
        <f>IF(C8="","",IFERROR(IF(VLOOKUP(C8,'報告書② 第1年度(取組）'!$C$6:$F$35,4,0)="","未入力",VLOOKUP(C8,'報告書② 第1年度(取組）'!$C$6:$F$35,4,0)),"-------"))</f>
        <v>未入力</v>
      </c>
      <c r="G8" s="122"/>
      <c r="H8" s="122"/>
    </row>
    <row r="9" spans="1:8" ht="65.25" customHeight="1">
      <c r="A9" s="142">
        <v>4</v>
      </c>
      <c r="B9" s="121" t="s">
        <v>101</v>
      </c>
      <c r="C9" s="121" t="s">
        <v>4044</v>
      </c>
      <c r="D9" s="121" t="s">
        <v>4339</v>
      </c>
      <c r="E9" s="139" t="str">
        <f>IF('計画書② (取組）'!E8="","",'計画書② (取組）'!E8)</f>
        <v/>
      </c>
      <c r="F9" s="167" t="str">
        <f>IF(C9="","",IFERROR(IF(VLOOKUP(C9,'報告書② 第1年度(取組）'!$C$6:$F$35,4,0)="","未入力",VLOOKUP(C9,'報告書② 第1年度(取組）'!$C$6:$F$35,4,0)),"-------"))</f>
        <v>未入力</v>
      </c>
      <c r="G9" s="122"/>
      <c r="H9" s="122"/>
    </row>
    <row r="10" spans="1:8" ht="65.25" customHeight="1">
      <c r="A10" s="142">
        <v>5</v>
      </c>
      <c r="B10" s="121" t="s">
        <v>101</v>
      </c>
      <c r="C10" s="121" t="s">
        <v>4045</v>
      </c>
      <c r="D10" s="121" t="s">
        <v>4340</v>
      </c>
      <c r="E10" s="139" t="str">
        <f>IF('計画書② (取組）'!E9="","",'計画書② (取組）'!E9)</f>
        <v/>
      </c>
      <c r="F10" s="167" t="str">
        <f>IF(C10="","",IFERROR(IF(VLOOKUP(C10,'報告書② 第1年度(取組）'!$C$6:$F$35,4,0)="","未入力",VLOOKUP(C10,'報告書② 第1年度(取組）'!$C$6:$F$35,4,0)),"-------"))</f>
        <v>未入力</v>
      </c>
      <c r="G10" s="140"/>
      <c r="H10" s="122"/>
    </row>
    <row r="11" spans="1:8" ht="65.25" customHeight="1">
      <c r="A11" s="142">
        <v>6</v>
      </c>
      <c r="B11" s="121" t="s">
        <v>102</v>
      </c>
      <c r="C11" s="121" t="s">
        <v>4046</v>
      </c>
      <c r="D11" s="121" t="s">
        <v>4341</v>
      </c>
      <c r="E11" s="139" t="str">
        <f>IF('計画書② (取組）'!E10="","",'計画書② (取組）'!E10)</f>
        <v/>
      </c>
      <c r="F11" s="167" t="str">
        <f>IF(C11="","",IFERROR(IF(VLOOKUP(C11,'報告書② 第1年度(取組）'!$C$6:$F$35,4,0)="","未入力",VLOOKUP(C11,'報告書② 第1年度(取組）'!$C$6:$F$35,4,0)),"-------"))</f>
        <v>未入力</v>
      </c>
      <c r="G11" s="122"/>
      <c r="H11" s="122"/>
    </row>
    <row r="12" spans="1:8" ht="65.25" customHeight="1">
      <c r="A12" s="142">
        <v>7</v>
      </c>
      <c r="B12" s="121" t="s">
        <v>102</v>
      </c>
      <c r="C12" s="121" t="s">
        <v>4047</v>
      </c>
      <c r="D12" s="121" t="s">
        <v>4342</v>
      </c>
      <c r="E12" s="139" t="str">
        <f>IF('計画書② (取組）'!E11="","",'計画書② (取組）'!E11)</f>
        <v/>
      </c>
      <c r="F12" s="167" t="str">
        <f>IF(C12="","",IFERROR(IF(VLOOKUP(C12,'報告書② 第1年度(取組）'!$C$6:$F$35,4,0)="","未入力",VLOOKUP(C12,'報告書② 第1年度(取組）'!$C$6:$F$35,4,0)),"-------"))</f>
        <v>未入力</v>
      </c>
      <c r="G12" s="122"/>
      <c r="H12" s="122"/>
    </row>
    <row r="13" spans="1:8" ht="65.25" customHeight="1">
      <c r="A13" s="142">
        <v>8</v>
      </c>
      <c r="B13" s="121" t="s">
        <v>102</v>
      </c>
      <c r="C13" s="121" t="s">
        <v>4048</v>
      </c>
      <c r="D13" s="121" t="s">
        <v>4343</v>
      </c>
      <c r="E13" s="139" t="str">
        <f>IF('計画書② (取組）'!E12="","",'計画書② (取組）'!E12)</f>
        <v/>
      </c>
      <c r="F13" s="167" t="str">
        <f>IF(C13="","",IFERROR(IF(VLOOKUP(C13,'報告書② 第1年度(取組）'!$C$6:$F$35,4,0)="","未入力",VLOOKUP(C13,'報告書② 第1年度(取組）'!$C$6:$F$35,4,0)),"-------"))</f>
        <v>未入力</v>
      </c>
      <c r="G13" s="122"/>
      <c r="H13" s="122"/>
    </row>
    <row r="14" spans="1:8" ht="65.25" customHeight="1">
      <c r="A14" s="142">
        <v>9</v>
      </c>
      <c r="B14" s="121" t="s">
        <v>102</v>
      </c>
      <c r="C14" s="121" t="s">
        <v>4049</v>
      </c>
      <c r="D14" s="121" t="s">
        <v>4344</v>
      </c>
      <c r="E14" s="139" t="str">
        <f>IF('計画書② (取組）'!E13="","",'計画書② (取組）'!E13)</f>
        <v/>
      </c>
      <c r="F14" s="167" t="str">
        <f>IF(C14="","",IFERROR(IF(VLOOKUP(C14,'報告書② 第1年度(取組）'!$C$6:$F$35,4,0)="","未入力",VLOOKUP(C14,'報告書② 第1年度(取組）'!$C$6:$F$35,4,0)),"-------"))</f>
        <v>未入力</v>
      </c>
      <c r="G14" s="122"/>
      <c r="H14" s="122"/>
    </row>
    <row r="15" spans="1:8" ht="65.25" customHeight="1">
      <c r="A15" s="142">
        <v>10</v>
      </c>
      <c r="B15" s="121" t="s">
        <v>102</v>
      </c>
      <c r="C15" s="121" t="s">
        <v>4050</v>
      </c>
      <c r="D15" s="121" t="s">
        <v>4345</v>
      </c>
      <c r="E15" s="139" t="str">
        <f>IF('計画書② (取組）'!E14="","",'計画書② (取組）'!E14)</f>
        <v/>
      </c>
      <c r="F15" s="167" t="str">
        <f>IF(C15="","",IFERROR(IF(VLOOKUP(C15,'報告書② 第1年度(取組）'!$C$6:$F$35,4,0)="","未入力",VLOOKUP(C15,'報告書② 第1年度(取組）'!$C$6:$F$35,4,0)),"-------"))</f>
        <v>未入力</v>
      </c>
      <c r="G15" s="122"/>
      <c r="H15" s="122"/>
    </row>
    <row r="16" spans="1:8" ht="65.25" customHeight="1">
      <c r="A16" s="142">
        <v>11</v>
      </c>
      <c r="B16" s="121" t="s">
        <v>102</v>
      </c>
      <c r="C16" s="121" t="s">
        <v>4051</v>
      </c>
      <c r="D16" s="121" t="s">
        <v>4346</v>
      </c>
      <c r="E16" s="139" t="str">
        <f>IF('計画書② (取組）'!E15="","",'計画書② (取組）'!E15)</f>
        <v/>
      </c>
      <c r="F16" s="167" t="str">
        <f>IF(C16="","",IFERROR(IF(VLOOKUP(C16,'報告書② 第1年度(取組）'!$C$6:$F$35,4,0)="","未入力",VLOOKUP(C16,'報告書② 第1年度(取組）'!$C$6:$F$35,4,0)),"-------"))</f>
        <v>未入力</v>
      </c>
      <c r="G16" s="122"/>
      <c r="H16" s="122"/>
    </row>
    <row r="17" spans="1:8" ht="65.25" customHeight="1">
      <c r="A17" s="142">
        <v>12</v>
      </c>
      <c r="B17" s="121" t="s">
        <v>103</v>
      </c>
      <c r="C17" s="121" t="s">
        <v>4052</v>
      </c>
      <c r="D17" s="121" t="s">
        <v>4347</v>
      </c>
      <c r="E17" s="139" t="str">
        <f>IF('計画書② (取組）'!E16="","",'計画書② (取組）'!E16)</f>
        <v/>
      </c>
      <c r="F17" s="167" t="str">
        <f>IF(C17="","",IFERROR(IF(VLOOKUP(C17,'報告書② 第1年度(取組）'!$C$6:$F$35,4,0)="","未入力",VLOOKUP(C17,'報告書② 第1年度(取組）'!$C$6:$F$35,4,0)),"-------"))</f>
        <v>未入力</v>
      </c>
      <c r="G17" s="122"/>
      <c r="H17" s="122"/>
    </row>
    <row r="18" spans="1:8" ht="65.25" customHeight="1">
      <c r="A18" s="142">
        <v>13</v>
      </c>
      <c r="B18" s="121" t="s">
        <v>103</v>
      </c>
      <c r="C18" s="121" t="s">
        <v>4053</v>
      </c>
      <c r="D18" s="121" t="s">
        <v>4348</v>
      </c>
      <c r="E18" s="139" t="str">
        <f>IF('計画書② (取組）'!E17="","",'計画書② (取組）'!E17)</f>
        <v/>
      </c>
      <c r="F18" s="167" t="str">
        <f>IF(C18="","",IFERROR(IF(VLOOKUP(C18,'報告書② 第1年度(取組）'!$C$6:$F$35,4,0)="","未入力",VLOOKUP(C18,'報告書② 第1年度(取組）'!$C$6:$F$35,4,0)),"-------"))</f>
        <v>未入力</v>
      </c>
      <c r="G18" s="122"/>
      <c r="H18" s="122"/>
    </row>
    <row r="19" spans="1:8" ht="65.25" customHeight="1">
      <c r="A19" s="142">
        <v>14</v>
      </c>
      <c r="B19" s="121" t="s">
        <v>103</v>
      </c>
      <c r="C19" s="121" t="s">
        <v>5004</v>
      </c>
      <c r="D19" s="121" t="s">
        <v>5005</v>
      </c>
      <c r="E19" s="139" t="str">
        <f>IF('計画書② (取組）'!E18="","",'計画書② (取組）'!E18)</f>
        <v/>
      </c>
      <c r="F19" s="167" t="str">
        <f>IF(C19="","",IFERROR(IF(VLOOKUP(C19,'報告書② 第1年度(取組）'!$C$6:$F$35,4,0)="","未入力",VLOOKUP(C19,'報告書② 第1年度(取組）'!$C$6:$F$35,4,0)),"-------"))</f>
        <v>未入力</v>
      </c>
      <c r="G19" s="122"/>
      <c r="H19" s="122"/>
    </row>
    <row r="20" spans="1:8" ht="65.25" customHeight="1">
      <c r="A20" s="142">
        <v>15</v>
      </c>
      <c r="B20" s="121" t="s">
        <v>103</v>
      </c>
      <c r="C20" s="121" t="s">
        <v>4054</v>
      </c>
      <c r="D20" s="121" t="s">
        <v>4349</v>
      </c>
      <c r="E20" s="139" t="str">
        <f>IF('計画書② (取組）'!E19="","",'計画書② (取組）'!E19)</f>
        <v/>
      </c>
      <c r="F20" s="167" t="str">
        <f>IF(C20="","",IFERROR(IF(VLOOKUP(C20,'報告書② 第1年度(取組）'!$C$6:$F$35,4,0)="","未入力",VLOOKUP(C20,'報告書② 第1年度(取組）'!$C$6:$F$35,4,0)),"-------"))</f>
        <v>未入力</v>
      </c>
      <c r="G20" s="122"/>
      <c r="H20" s="122"/>
    </row>
    <row r="21" spans="1:8" ht="65.25" customHeight="1">
      <c r="A21" s="142">
        <v>16</v>
      </c>
      <c r="B21" s="121" t="s">
        <v>104</v>
      </c>
      <c r="C21" s="121" t="s">
        <v>4055</v>
      </c>
      <c r="D21" s="121" t="s">
        <v>4390</v>
      </c>
      <c r="E21" s="139" t="str">
        <f>IF('計画書② (取組）'!E20="","",'計画書② (取組）'!E20)</f>
        <v/>
      </c>
      <c r="F21" s="167" t="str">
        <f>IF(C21="","",IFERROR(IF(VLOOKUP(C21,'報告書② 第1年度(取組）'!$C$6:$F$35,4,0)="","未入力",VLOOKUP(C21,'報告書② 第1年度(取組）'!$C$6:$F$35,4,0)),"-------"))</f>
        <v>未入力</v>
      </c>
      <c r="G21" s="122"/>
      <c r="H21" s="122"/>
    </row>
    <row r="22" spans="1:8" ht="65.25" customHeight="1">
      <c r="A22" s="142">
        <v>17</v>
      </c>
      <c r="B22" s="121" t="s">
        <v>104</v>
      </c>
      <c r="C22" s="121" t="s">
        <v>4056</v>
      </c>
      <c r="D22" s="121" t="s">
        <v>4350</v>
      </c>
      <c r="E22" s="139" t="str">
        <f>IF('計画書② (取組）'!E21="","",'計画書② (取組）'!E21)</f>
        <v/>
      </c>
      <c r="F22" s="167" t="str">
        <f>IF(C22="","",IFERROR(IF(VLOOKUP(C22,'報告書② 第1年度(取組）'!$C$6:$F$35,4,0)="","未入力",VLOOKUP(C22,'報告書② 第1年度(取組）'!$C$6:$F$35,4,0)),"-------"))</f>
        <v>未入力</v>
      </c>
      <c r="G22" s="122"/>
      <c r="H22" s="122"/>
    </row>
    <row r="23" spans="1:8" ht="65.25" customHeight="1">
      <c r="A23" s="142">
        <v>18</v>
      </c>
      <c r="B23" s="121" t="s">
        <v>104</v>
      </c>
      <c r="C23" s="121" t="s">
        <v>4057</v>
      </c>
      <c r="D23" s="121" t="s">
        <v>5006</v>
      </c>
      <c r="E23" s="139" t="str">
        <f>IF('計画書② (取組）'!E22="","",'計画書② (取組）'!E22)</f>
        <v/>
      </c>
      <c r="F23" s="167" t="str">
        <f>IF(C23="","",IFERROR(IF(VLOOKUP(C23,'報告書② 第1年度(取組）'!$C$6:$F$35,4,0)="","未入力",VLOOKUP(C23,'報告書② 第1年度(取組）'!$C$6:$F$35,4,0)),"-------"))</f>
        <v>未入力</v>
      </c>
      <c r="G23" s="122"/>
      <c r="H23" s="122"/>
    </row>
    <row r="24" spans="1:8" ht="65.25" customHeight="1">
      <c r="A24" s="142">
        <v>19</v>
      </c>
      <c r="B24" s="121" t="s">
        <v>105</v>
      </c>
      <c r="C24" s="121" t="s">
        <v>4058</v>
      </c>
      <c r="D24" s="121" t="s">
        <v>4351</v>
      </c>
      <c r="E24" s="139" t="str">
        <f>IF('計画書② (取組）'!E23="","",'計画書② (取組）'!E23)</f>
        <v/>
      </c>
      <c r="F24" s="167" t="str">
        <f>IF(C24="","",IFERROR(IF(VLOOKUP(C24,'報告書② 第1年度(取組）'!$C$6:$F$35,4,0)="","未入力",VLOOKUP(C24,'報告書② 第1年度(取組）'!$C$6:$F$35,4,0)),"-------"))</f>
        <v>未入力</v>
      </c>
      <c r="G24" s="122"/>
      <c r="H24" s="122"/>
    </row>
    <row r="25" spans="1:8" ht="65.25" customHeight="1">
      <c r="A25" s="147">
        <v>20</v>
      </c>
      <c r="B25" s="130" t="s">
        <v>106</v>
      </c>
      <c r="C25" s="130" t="s">
        <v>4059</v>
      </c>
      <c r="D25" s="130" t="s">
        <v>4352</v>
      </c>
      <c r="E25" s="139" t="str">
        <f>IF('計画書② (取組）'!E24="","",'計画書② (取組）'!E24)</f>
        <v/>
      </c>
      <c r="F25" s="167" t="str">
        <f>IF(C25="","",IFERROR(IF(VLOOKUP(C25,'報告書② 第1年度(取組）'!$C$6:$F$35,4,0)="","未入力",VLOOKUP(C25,'報告書② 第1年度(取組）'!$C$6:$F$35,4,0)),"-------"))</f>
        <v>未入力</v>
      </c>
      <c r="G25" s="122"/>
      <c r="H25" s="122"/>
    </row>
    <row r="26" spans="1:8" ht="65.25" customHeight="1">
      <c r="A26" s="147">
        <v>21</v>
      </c>
      <c r="B26" s="130" t="s">
        <v>106</v>
      </c>
      <c r="C26" s="130" t="s">
        <v>4060</v>
      </c>
      <c r="D26" s="130" t="s">
        <v>4353</v>
      </c>
      <c r="E26" s="139" t="str">
        <f>IF('計画書② (取組）'!E25="","",'計画書② (取組）'!E25)</f>
        <v/>
      </c>
      <c r="F26" s="167" t="str">
        <f>IF(C26="","",IFERROR(IF(VLOOKUP(C26,'報告書② 第1年度(取組）'!$C$6:$F$35,4,0)="","未入力",VLOOKUP(C26,'報告書② 第1年度(取組）'!$C$6:$F$35,4,0)),"-------"))</f>
        <v>未入力</v>
      </c>
      <c r="G26" s="122"/>
      <c r="H26" s="122"/>
    </row>
    <row r="27" spans="1:8" ht="65.25" customHeight="1">
      <c r="A27" s="147">
        <v>22</v>
      </c>
      <c r="B27" s="130" t="s">
        <v>106</v>
      </c>
      <c r="C27" s="130" t="s">
        <v>4061</v>
      </c>
      <c r="D27" s="130" t="s">
        <v>4354</v>
      </c>
      <c r="E27" s="139" t="str">
        <f>IF('計画書② (取組）'!E26="","",'計画書② (取組）'!E26)</f>
        <v/>
      </c>
      <c r="F27" s="167" t="str">
        <f>IF(C27="","",IFERROR(IF(VLOOKUP(C27,'報告書② 第1年度(取組）'!$C$6:$F$35,4,0)="","未入力",VLOOKUP(C27,'報告書② 第1年度(取組）'!$C$6:$F$35,4,0)),"-------"))</f>
        <v>未入力</v>
      </c>
      <c r="G27" s="122"/>
      <c r="H27" s="122"/>
    </row>
    <row r="28" spans="1:8" ht="65.25" customHeight="1">
      <c r="A28" s="147">
        <v>23</v>
      </c>
      <c r="B28" s="130" t="s">
        <v>107</v>
      </c>
      <c r="C28" s="130" t="s">
        <v>4062</v>
      </c>
      <c r="D28" s="130" t="s">
        <v>5007</v>
      </c>
      <c r="E28" s="139" t="str">
        <f>IF('計画書② (取組）'!E27="","",'計画書② (取組）'!E27)</f>
        <v/>
      </c>
      <c r="F28" s="167" t="str">
        <f>IF(C28="","",IFERROR(IF(VLOOKUP(C28,'報告書② 第1年度(取組）'!$C$6:$F$35,4,0)="","未入力",VLOOKUP(C28,'報告書② 第1年度(取組）'!$C$6:$F$35,4,0)),"-------"))</f>
        <v>未入力</v>
      </c>
      <c r="G28" s="122"/>
      <c r="H28" s="122"/>
    </row>
    <row r="29" spans="1:8" ht="65.25" customHeight="1">
      <c r="A29" s="147">
        <v>24</v>
      </c>
      <c r="B29" s="130" t="s">
        <v>107</v>
      </c>
      <c r="C29" s="130" t="s">
        <v>5180</v>
      </c>
      <c r="D29" s="130" t="s">
        <v>5008</v>
      </c>
      <c r="E29" s="139" t="str">
        <f>IF('計画書② (取組）'!E28="","",'計画書② (取組）'!E28)</f>
        <v/>
      </c>
      <c r="F29" s="167" t="str">
        <f>IF(C29="","",IFERROR(IF(VLOOKUP(C29,'報告書② 第1年度(取組）'!$C$6:$F$35,4,0)="","未入力",VLOOKUP(C29,'報告書② 第1年度(取組）'!$C$6:$F$35,4,0)),"-------"))</f>
        <v>未入力</v>
      </c>
      <c r="G29" s="122"/>
      <c r="H29" s="122"/>
    </row>
    <row r="30" spans="1:8" ht="65.25" customHeight="1">
      <c r="A30" s="147">
        <v>25</v>
      </c>
      <c r="B30" s="130" t="s">
        <v>108</v>
      </c>
      <c r="C30" s="130" t="s">
        <v>4063</v>
      </c>
      <c r="D30" s="130" t="s">
        <v>4355</v>
      </c>
      <c r="E30" s="139" t="str">
        <f>IF('計画書② (取組）'!E29="","",'計画書② (取組）'!E29)</f>
        <v/>
      </c>
      <c r="F30" s="167" t="str">
        <f>IF(C30="","",IFERROR(IF(VLOOKUP(C30,'報告書② 第1年度(取組）'!$C$6:$F$35,4,0)="","未入力",VLOOKUP(C30,'報告書② 第1年度(取組）'!$C$6:$F$35,4,0)),"-------"))</f>
        <v>未入力</v>
      </c>
      <c r="G30" s="122"/>
      <c r="H30" s="122"/>
    </row>
    <row r="31" spans="1:8" ht="65.25" customHeight="1">
      <c r="A31" s="147">
        <v>26</v>
      </c>
      <c r="B31" s="130" t="s">
        <v>109</v>
      </c>
      <c r="C31" s="130" t="s">
        <v>4064</v>
      </c>
      <c r="D31" s="130" t="s">
        <v>4356</v>
      </c>
      <c r="E31" s="139" t="str">
        <f>IF('計画書② (取組）'!E30="","",'計画書② (取組）'!E30)</f>
        <v/>
      </c>
      <c r="F31" s="167" t="str">
        <f>IF(C31="","",IFERROR(IF(VLOOKUP(C31,'報告書② 第1年度(取組）'!$C$6:$F$35,4,0)="","未入力",VLOOKUP(C31,'報告書② 第1年度(取組）'!$C$6:$F$35,4,0)),"-------"))</f>
        <v>未入力</v>
      </c>
      <c r="G31" s="122"/>
      <c r="H31" s="122"/>
    </row>
    <row r="32" spans="1:8" ht="65.25" customHeight="1">
      <c r="A32" s="147">
        <v>27</v>
      </c>
      <c r="B32" s="130" t="s">
        <v>110</v>
      </c>
      <c r="C32" s="130" t="s">
        <v>4065</v>
      </c>
      <c r="D32" s="130" t="s">
        <v>4357</v>
      </c>
      <c r="E32" s="139" t="str">
        <f>IF('計画書② (取組）'!E31="","",'計画書② (取組）'!E31)</f>
        <v/>
      </c>
      <c r="F32" s="167" t="str">
        <f>IF(C32="","",IFERROR(IF(VLOOKUP(C32,'報告書② 第1年度(取組）'!$C$6:$F$35,4,0)="","未入力",VLOOKUP(C32,'報告書② 第1年度(取組）'!$C$6:$F$35,4,0)),"-------"))</f>
        <v>未入力</v>
      </c>
      <c r="G32" s="122"/>
      <c r="H32" s="122"/>
    </row>
    <row r="33" spans="1:8" ht="65.25" customHeight="1">
      <c r="A33" s="147">
        <v>28</v>
      </c>
      <c r="B33" s="130" t="s">
        <v>111</v>
      </c>
      <c r="C33" s="130" t="s">
        <v>4066</v>
      </c>
      <c r="D33" s="130" t="s">
        <v>4358</v>
      </c>
      <c r="E33" s="139" t="str">
        <f>IF('計画書② (取組）'!E32="","",'計画書② (取組）'!E32)</f>
        <v/>
      </c>
      <c r="F33" s="167" t="str">
        <f>IF(C33="","",IFERROR(IF(VLOOKUP(C33,'報告書② 第1年度(取組）'!$C$6:$F$35,4,0)="","未入力",VLOOKUP(C33,'報告書② 第1年度(取組）'!$C$6:$F$35,4,0)),"-------"))</f>
        <v>未入力</v>
      </c>
      <c r="G33" s="122"/>
      <c r="H33" s="122"/>
    </row>
    <row r="34" spans="1:8" ht="65.25" customHeight="1">
      <c r="A34" s="147">
        <v>29</v>
      </c>
      <c r="B34" s="130" t="s">
        <v>3112</v>
      </c>
      <c r="C34" s="130" t="s">
        <v>4067</v>
      </c>
      <c r="D34" s="130" t="s">
        <v>4359</v>
      </c>
      <c r="E34" s="139" t="str">
        <f>IF('計画書② (取組）'!E33="","",'計画書② (取組）'!E33)</f>
        <v/>
      </c>
      <c r="F34" s="167" t="str">
        <f>IF(C34="","",IFERROR(IF(VLOOKUP(C34,'報告書② 第1年度(取組）'!$C$6:$F$35,4,0)="","未入力",VLOOKUP(C34,'報告書② 第1年度(取組）'!$C$6:$F$35,4,0)),"-------"))</f>
        <v>未入力</v>
      </c>
      <c r="G34" s="122"/>
      <c r="H34" s="122"/>
    </row>
    <row r="35" spans="1:8" ht="65.25" customHeight="1">
      <c r="A35" s="147">
        <v>30</v>
      </c>
      <c r="B35" s="130" t="s">
        <v>3112</v>
      </c>
      <c r="C35" s="130" t="s">
        <v>4068</v>
      </c>
      <c r="D35" s="130" t="s">
        <v>4360</v>
      </c>
      <c r="E35" s="139" t="str">
        <f>IF('計画書② (取組）'!E34="","",'計画書② (取組）'!E34)</f>
        <v/>
      </c>
      <c r="F35" s="167" t="str">
        <f>IF(C35="","",IFERROR(IF(VLOOKUP(C35,'報告書② 第1年度(取組）'!$C$6:$F$35,4,0)="","未入力",VLOOKUP(C35,'報告書② 第1年度(取組）'!$C$6:$F$35,4,0)),"-------"))</f>
        <v>未入力</v>
      </c>
      <c r="G35" s="122"/>
      <c r="H35" s="122"/>
    </row>
    <row r="37" spans="1:8">
      <c r="A37" s="22" t="s">
        <v>4183</v>
      </c>
    </row>
    <row r="38" spans="1:8" ht="90" customHeight="1">
      <c r="A38" s="838" t="s">
        <v>4154</v>
      </c>
      <c r="B38" s="838"/>
      <c r="C38" s="838"/>
      <c r="D38" s="956" t="str">
        <f>'報告書② 第1年度(取組）'!D38:F38&amp;""</f>
        <v/>
      </c>
      <c r="E38" s="956"/>
      <c r="F38" s="956"/>
    </row>
    <row r="39" spans="1:8" ht="90" customHeight="1">
      <c r="A39" s="838" t="s">
        <v>4159</v>
      </c>
      <c r="B39" s="838"/>
      <c r="C39" s="838"/>
      <c r="D39" s="950"/>
      <c r="E39" s="950"/>
      <c r="F39" s="950"/>
    </row>
    <row r="40" spans="1:8" hidden="1">
      <c r="A40" s="838" t="s">
        <v>4160</v>
      </c>
      <c r="B40" s="838"/>
      <c r="C40" s="838"/>
      <c r="D40" s="955"/>
      <c r="E40" s="955"/>
      <c r="F40" s="955"/>
    </row>
    <row r="42" spans="1:8">
      <c r="A42" s="109" t="s">
        <v>4184</v>
      </c>
      <c r="B42" s="109"/>
    </row>
    <row r="43" spans="1:8" ht="13.35" customHeight="1">
      <c r="A43" s="951" t="s">
        <v>97</v>
      </c>
      <c r="B43" s="952" t="s">
        <v>100</v>
      </c>
      <c r="C43" s="953" t="s">
        <v>98</v>
      </c>
      <c r="D43" s="953" t="s">
        <v>99</v>
      </c>
      <c r="E43" s="687" t="s">
        <v>4166</v>
      </c>
      <c r="F43" s="957"/>
      <c r="G43" s="688"/>
      <c r="H43" s="137"/>
    </row>
    <row r="44" spans="1:8" ht="33" customHeight="1">
      <c r="A44" s="951"/>
      <c r="B44" s="952"/>
      <c r="C44" s="953"/>
      <c r="D44" s="953"/>
      <c r="E44" s="138" t="s">
        <v>4161</v>
      </c>
      <c r="F44" s="138" t="s">
        <v>4154</v>
      </c>
      <c r="G44" s="138" t="s">
        <v>4159</v>
      </c>
      <c r="H44" s="138" t="s">
        <v>4160</v>
      </c>
    </row>
    <row r="45" spans="1:8" ht="70.349999999999994" customHeight="1">
      <c r="A45" s="142">
        <v>1</v>
      </c>
      <c r="B45" s="143"/>
      <c r="C45" s="144" t="str">
        <f>対策リスト!AU2&amp;""</f>
        <v/>
      </c>
      <c r="D45" s="121" t="str">
        <f t="shared" ref="D45:D59" si="0">IFERROR(VLOOKUP(C45,選択対策,2,0),"")</f>
        <v/>
      </c>
      <c r="E45" s="139" t="str">
        <f>IF(C45="","",IFERROR(IF(VLOOKUP(C45,'報告書② 第1年度(取組）'!$C$45:$F$64,3,0)="","未入力",VLOOKUP(C45,'報告書② 第1年度(取組）'!$C$45:$F$64,3,0)),"-------"))</f>
        <v/>
      </c>
      <c r="F45" s="167" t="str">
        <f>IF(C45="","",IFERROR(IF(VLOOKUP(C45,'報告書② 第1年度(取組）'!$C$45:$F$64,4,0)="","未入力",VLOOKUP(C45,'報告書② 第1年度(取組）'!$C$45:$F$64,4,0)),"-------"))</f>
        <v/>
      </c>
      <c r="G45" s="122"/>
      <c r="H45" s="122"/>
    </row>
    <row r="46" spans="1:8" ht="70.349999999999994" customHeight="1">
      <c r="A46" s="142">
        <v>2</v>
      </c>
      <c r="B46" s="143"/>
      <c r="C46" s="144" t="str">
        <f>対策リスト!AU3&amp;""</f>
        <v/>
      </c>
      <c r="D46" s="121" t="str">
        <f t="shared" si="0"/>
        <v/>
      </c>
      <c r="E46" s="139" t="str">
        <f>IF(C46="","",IFERROR(IF(VLOOKUP(C46,'報告書② 第1年度(取組）'!$C$45:$F$64,3,0)="","未入力",VLOOKUP(C46,'報告書② 第1年度(取組）'!$C$45:$F$64,3,0)),"-------"))</f>
        <v/>
      </c>
      <c r="F46" s="167" t="str">
        <f>IF(C46="","",IFERROR(IF(VLOOKUP(C46,'報告書② 第1年度(取組）'!$C$45:$F$64,4,0)="","未入力",VLOOKUP(C46,'報告書② 第1年度(取組）'!$C$45:$F$64,4,0)),"-------"))</f>
        <v/>
      </c>
      <c r="G46" s="122"/>
      <c r="H46" s="122"/>
    </row>
    <row r="47" spans="1:8" ht="70.349999999999994" customHeight="1">
      <c r="A47" s="142">
        <v>3</v>
      </c>
      <c r="B47" s="143"/>
      <c r="C47" s="144" t="str">
        <f>対策リスト!AU4&amp;""</f>
        <v/>
      </c>
      <c r="D47" s="121" t="str">
        <f t="shared" si="0"/>
        <v/>
      </c>
      <c r="E47" s="139" t="str">
        <f>IF(C47="","",IFERROR(IF(VLOOKUP(C47,'報告書② 第1年度(取組）'!$C$45:$F$64,3,0)="","未入力",VLOOKUP(C47,'報告書② 第1年度(取組）'!$C$45:$F$64,3,0)),"-------"))</f>
        <v/>
      </c>
      <c r="F47" s="167" t="str">
        <f>IF(C47="","",IFERROR(IF(VLOOKUP(C47,'報告書② 第1年度(取組）'!$C$45:$F$64,4,0)="","未入力",VLOOKUP(C47,'報告書② 第1年度(取組）'!$C$45:$F$64,4,0)),"-------"))</f>
        <v/>
      </c>
      <c r="G47" s="122"/>
      <c r="H47" s="122"/>
    </row>
    <row r="48" spans="1:8" ht="70.349999999999994" customHeight="1">
      <c r="A48" s="142">
        <v>4</v>
      </c>
      <c r="B48" s="143"/>
      <c r="C48" s="144" t="str">
        <f>対策リスト!AU5&amp;""</f>
        <v/>
      </c>
      <c r="D48" s="121" t="str">
        <f t="shared" si="0"/>
        <v/>
      </c>
      <c r="E48" s="139" t="str">
        <f>IF(C48="","",IFERROR(IF(VLOOKUP(C48,'報告書② 第1年度(取組）'!$C$45:$F$64,3,0)="","未入力",VLOOKUP(C48,'報告書② 第1年度(取組）'!$C$45:$F$64,3,0)),"-------"))</f>
        <v/>
      </c>
      <c r="F48" s="167" t="str">
        <f>IF(C48="","",IFERROR(IF(VLOOKUP(C48,'報告書② 第1年度(取組）'!$C$45:$F$64,4,0)="","未入力",VLOOKUP(C48,'報告書② 第1年度(取組）'!$C$45:$F$64,4,0)),"-------"))</f>
        <v/>
      </c>
      <c r="G48" s="122"/>
      <c r="H48" s="122"/>
    </row>
    <row r="49" spans="1:8" ht="70.349999999999994" customHeight="1">
      <c r="A49" s="142">
        <v>5</v>
      </c>
      <c r="B49" s="143"/>
      <c r="C49" s="144" t="str">
        <f>対策リスト!AU6&amp;""</f>
        <v/>
      </c>
      <c r="D49" s="121" t="str">
        <f t="shared" si="0"/>
        <v/>
      </c>
      <c r="E49" s="139" t="str">
        <f>IF(C49="","",IFERROR(IF(VLOOKUP(C49,'報告書② 第1年度(取組）'!$C$45:$F$64,3,0)="","未入力",VLOOKUP(C49,'報告書② 第1年度(取組）'!$C$45:$F$64,3,0)),"-------"))</f>
        <v/>
      </c>
      <c r="F49" s="167" t="str">
        <f>IF(C49="","",IFERROR(IF(VLOOKUP(C49,'報告書② 第1年度(取組）'!$C$45:$F$64,4,0)="","未入力",VLOOKUP(C49,'報告書② 第1年度(取組）'!$C$45:$F$64,4,0)),"-------"))</f>
        <v/>
      </c>
      <c r="G49" s="122"/>
      <c r="H49" s="122"/>
    </row>
    <row r="50" spans="1:8" ht="70.349999999999994" customHeight="1">
      <c r="A50" s="142">
        <v>6</v>
      </c>
      <c r="B50" s="143"/>
      <c r="C50" s="144" t="str">
        <f>対策リスト!AU7&amp;""</f>
        <v/>
      </c>
      <c r="D50" s="121" t="str">
        <f t="shared" si="0"/>
        <v/>
      </c>
      <c r="E50" s="139" t="str">
        <f>IF(C50="","",IFERROR(IF(VLOOKUP(C50,'報告書② 第1年度(取組）'!$C$45:$F$64,3,0)="","未入力",VLOOKUP(C50,'報告書② 第1年度(取組）'!$C$45:$F$64,3,0)),"-------"))</f>
        <v/>
      </c>
      <c r="F50" s="167" t="str">
        <f>IF(C50="","",IFERROR(IF(VLOOKUP(C50,'報告書② 第1年度(取組）'!$C$45:$F$64,4,0)="","未入力",VLOOKUP(C50,'報告書② 第1年度(取組）'!$C$45:$F$64,4,0)),"-------"))</f>
        <v/>
      </c>
      <c r="G50" s="122"/>
      <c r="H50" s="122"/>
    </row>
    <row r="51" spans="1:8" ht="70.349999999999994" customHeight="1">
      <c r="A51" s="142">
        <v>7</v>
      </c>
      <c r="B51" s="143"/>
      <c r="C51" s="144" t="str">
        <f>対策リスト!AU8&amp;""</f>
        <v/>
      </c>
      <c r="D51" s="121" t="str">
        <f t="shared" si="0"/>
        <v/>
      </c>
      <c r="E51" s="139" t="str">
        <f>IF(C51="","",IFERROR(IF(VLOOKUP(C51,'報告書② 第1年度(取組）'!$C$45:$F$64,3,0)="","未入力",VLOOKUP(C51,'報告書② 第1年度(取組）'!$C$45:$F$64,3,0)),"-------"))</f>
        <v/>
      </c>
      <c r="F51" s="167" t="str">
        <f>IF(C51="","",IFERROR(IF(VLOOKUP(C51,'報告書② 第1年度(取組）'!$C$45:$F$64,4,0)="","未入力",VLOOKUP(C51,'報告書② 第1年度(取組）'!$C$45:$F$64,4,0)),"-------"))</f>
        <v/>
      </c>
      <c r="G51" s="122"/>
      <c r="H51" s="122"/>
    </row>
    <row r="52" spans="1:8" ht="70.349999999999994" customHeight="1">
      <c r="A52" s="142">
        <v>8</v>
      </c>
      <c r="B52" s="143"/>
      <c r="C52" s="144" t="str">
        <f>対策リスト!AU9&amp;""</f>
        <v/>
      </c>
      <c r="D52" s="121" t="str">
        <f t="shared" si="0"/>
        <v/>
      </c>
      <c r="E52" s="139" t="str">
        <f>IF(C52="","",IFERROR(IF(VLOOKUP(C52,'報告書② 第1年度(取組）'!$C$45:$F$64,3,0)="","未入力",VLOOKUP(C52,'報告書② 第1年度(取組）'!$C$45:$F$64,3,0)),"-------"))</f>
        <v/>
      </c>
      <c r="F52" s="167" t="str">
        <f>IF(C52="","",IFERROR(IF(VLOOKUP(C52,'報告書② 第1年度(取組）'!$C$45:$F$64,4,0)="","未入力",VLOOKUP(C52,'報告書② 第1年度(取組）'!$C$45:$F$64,4,0)),"-------"))</f>
        <v/>
      </c>
      <c r="G52" s="122"/>
      <c r="H52" s="122"/>
    </row>
    <row r="53" spans="1:8" ht="70.349999999999994" customHeight="1">
      <c r="A53" s="142">
        <v>9</v>
      </c>
      <c r="B53" s="143"/>
      <c r="C53" s="144" t="str">
        <f>対策リスト!AU10&amp;""</f>
        <v/>
      </c>
      <c r="D53" s="121" t="str">
        <f t="shared" si="0"/>
        <v/>
      </c>
      <c r="E53" s="139" t="str">
        <f>IF(C53="","",IFERROR(IF(VLOOKUP(C53,'報告書② 第1年度(取組）'!$C$45:$F$64,3,0)="","未入力",VLOOKUP(C53,'報告書② 第1年度(取組）'!$C$45:$F$64,3,0)),"-------"))</f>
        <v/>
      </c>
      <c r="F53" s="167" t="str">
        <f>IF(C53="","",IFERROR(IF(VLOOKUP(C53,'報告書② 第1年度(取組）'!$C$45:$F$64,4,0)="","未入力",VLOOKUP(C53,'報告書② 第1年度(取組）'!$C$45:$F$64,4,0)),"-------"))</f>
        <v/>
      </c>
      <c r="G53" s="122"/>
      <c r="H53" s="122"/>
    </row>
    <row r="54" spans="1:8" ht="70.349999999999994" customHeight="1">
      <c r="A54" s="142">
        <v>10</v>
      </c>
      <c r="B54" s="143"/>
      <c r="C54" s="144" t="str">
        <f>対策リスト!AU11&amp;""</f>
        <v/>
      </c>
      <c r="D54" s="121" t="str">
        <f t="shared" si="0"/>
        <v/>
      </c>
      <c r="E54" s="139" t="str">
        <f>IF(C54="","",IFERROR(IF(VLOOKUP(C54,'報告書② 第1年度(取組）'!$C$45:$F$64,3,0)="","未入力",VLOOKUP(C54,'報告書② 第1年度(取組）'!$C$45:$F$64,3,0)),"-------"))</f>
        <v/>
      </c>
      <c r="F54" s="167" t="str">
        <f>IF(C54="","",IFERROR(IF(VLOOKUP(C54,'報告書② 第1年度(取組）'!$C$45:$F$64,4,0)="","未入力",VLOOKUP(C54,'報告書② 第1年度(取組）'!$C$45:$F$64,4,0)),"-------"))</f>
        <v/>
      </c>
      <c r="G54" s="122"/>
      <c r="H54" s="122"/>
    </row>
    <row r="55" spans="1:8" ht="70.349999999999994" customHeight="1">
      <c r="A55" s="142">
        <v>11</v>
      </c>
      <c r="B55" s="143"/>
      <c r="C55" s="144" t="str">
        <f>対策リスト!AU12&amp;""</f>
        <v/>
      </c>
      <c r="D55" s="121" t="str">
        <f t="shared" si="0"/>
        <v/>
      </c>
      <c r="E55" s="139" t="str">
        <f>IF(C55="","",IFERROR(IF(VLOOKUP(C55,'報告書② 第1年度(取組）'!$C$45:$F$64,3,0)="","未入力",VLOOKUP(C55,'報告書② 第1年度(取組）'!$C$45:$F$64,3,0)),"-------"))</f>
        <v/>
      </c>
      <c r="F55" s="167" t="str">
        <f>IF(C55="","",IFERROR(IF(VLOOKUP(C55,'報告書② 第1年度(取組）'!$C$45:$F$64,4,0)="","未入力",VLOOKUP(C55,'報告書② 第1年度(取組）'!$C$45:$F$64,4,0)),"-------"))</f>
        <v/>
      </c>
      <c r="G55" s="122"/>
      <c r="H55" s="122"/>
    </row>
    <row r="56" spans="1:8" ht="70.349999999999994" customHeight="1">
      <c r="A56" s="142">
        <v>12</v>
      </c>
      <c r="B56" s="143"/>
      <c r="C56" s="144" t="str">
        <f>対策リスト!AU13&amp;""</f>
        <v/>
      </c>
      <c r="D56" s="121" t="str">
        <f t="shared" si="0"/>
        <v/>
      </c>
      <c r="E56" s="139" t="str">
        <f>IF(C56="","",IFERROR(IF(VLOOKUP(C56,'報告書② 第1年度(取組）'!$C$45:$F$64,3,0)="","未入力",VLOOKUP(C56,'報告書② 第1年度(取組）'!$C$45:$F$64,3,0)),"-------"))</f>
        <v/>
      </c>
      <c r="F56" s="167" t="str">
        <f>IF(C56="","",IFERROR(IF(VLOOKUP(C56,'報告書② 第1年度(取組）'!$C$45:$F$64,4,0)="","未入力",VLOOKUP(C56,'報告書② 第1年度(取組）'!$C$45:$F$64,4,0)),"-------"))</f>
        <v/>
      </c>
      <c r="G56" s="122"/>
      <c r="H56" s="122"/>
    </row>
    <row r="57" spans="1:8" ht="70.349999999999994" customHeight="1">
      <c r="A57" s="142">
        <v>13</v>
      </c>
      <c r="B57" s="143"/>
      <c r="C57" s="144" t="str">
        <f>対策リスト!AU14&amp;""</f>
        <v/>
      </c>
      <c r="D57" s="121" t="str">
        <f t="shared" si="0"/>
        <v/>
      </c>
      <c r="E57" s="139" t="str">
        <f>IF(C57="","",IFERROR(IF(VLOOKUP(C57,'報告書② 第1年度(取組）'!$C$45:$F$64,3,0)="","未入力",VLOOKUP(C57,'報告書② 第1年度(取組）'!$C$45:$F$64,3,0)),"-------"))</f>
        <v/>
      </c>
      <c r="F57" s="167" t="str">
        <f>IF(C57="","",IFERROR(IF(VLOOKUP(C57,'報告書② 第1年度(取組）'!$C$45:$F$64,4,0)="","未入力",VLOOKUP(C57,'報告書② 第1年度(取組）'!$C$45:$F$64,4,0)),"-------"))</f>
        <v/>
      </c>
      <c r="G57" s="122"/>
      <c r="H57" s="122"/>
    </row>
    <row r="58" spans="1:8" ht="70.349999999999994" customHeight="1">
      <c r="A58" s="142">
        <v>14</v>
      </c>
      <c r="B58" s="143"/>
      <c r="C58" s="144" t="str">
        <f>対策リスト!AU15&amp;""</f>
        <v/>
      </c>
      <c r="D58" s="121" t="str">
        <f t="shared" si="0"/>
        <v/>
      </c>
      <c r="E58" s="139" t="str">
        <f>IF(C58="","",IFERROR(IF(VLOOKUP(C58,'報告書② 第1年度(取組）'!$C$45:$F$64,3,0)="","未入力",VLOOKUP(C58,'報告書② 第1年度(取組）'!$C$45:$F$64,3,0)),"-------"))</f>
        <v/>
      </c>
      <c r="F58" s="167" t="str">
        <f>IF(C58="","",IFERROR(IF(VLOOKUP(C58,'報告書② 第1年度(取組）'!$C$45:$F$64,4,0)="","未入力",VLOOKUP(C58,'報告書② 第1年度(取組）'!$C$45:$F$64,4,0)),"-------"))</f>
        <v/>
      </c>
      <c r="G58" s="122"/>
      <c r="H58" s="122"/>
    </row>
    <row r="59" spans="1:8" ht="70.349999999999994" customHeight="1">
      <c r="A59" s="142">
        <v>15</v>
      </c>
      <c r="B59" s="143"/>
      <c r="C59" s="144" t="str">
        <f>対策リスト!AU16&amp;""</f>
        <v/>
      </c>
      <c r="D59" s="121" t="str">
        <f t="shared" si="0"/>
        <v/>
      </c>
      <c r="E59" s="139" t="str">
        <f>IF(C59="","",IFERROR(IF(VLOOKUP(C59,'報告書② 第1年度(取組）'!$C$45:$F$64,3,0)="","未入力",VLOOKUP(C59,'報告書② 第1年度(取組）'!$C$45:$F$64,3,0)),"-------"))</f>
        <v/>
      </c>
      <c r="F59" s="167" t="str">
        <f>IF(C59="","",IFERROR(IF(VLOOKUP(C59,'報告書② 第1年度(取組）'!$C$45:$F$64,4,0)="","未入力",VLOOKUP(C59,'報告書② 第1年度(取組）'!$C$45:$F$64,4,0)),"-------"))</f>
        <v/>
      </c>
      <c r="G59" s="122"/>
      <c r="H59" s="122"/>
    </row>
    <row r="60" spans="1:8" ht="70.349999999999994" customHeight="1">
      <c r="A60" s="142">
        <v>16</v>
      </c>
      <c r="B60" s="143"/>
      <c r="C60" s="144" t="str">
        <f>対策リスト!AU17&amp;""</f>
        <v/>
      </c>
      <c r="D60" s="121" t="str">
        <f>IFERROR(VLOOKUP(C60,選択対策,2,0),"")</f>
        <v/>
      </c>
      <c r="E60" s="139" t="str">
        <f>IF(C60="","",IFERROR(IF(VLOOKUP(C60,'報告書② 第1年度(取組）'!$C$45:$F$64,3,0)="","未入力",VLOOKUP(C60,'報告書② 第1年度(取組）'!$C$45:$F$64,3,0)),"-------"))</f>
        <v/>
      </c>
      <c r="F60" s="167" t="str">
        <f>IF(C60="","",IFERROR(IF(VLOOKUP(C60,'報告書② 第1年度(取組）'!$C$45:$F$64,4,0)="","未入力",VLOOKUP(C60,'報告書② 第1年度(取組）'!$C$45:$F$64,4,0)),"-------"))</f>
        <v/>
      </c>
      <c r="G60" s="122"/>
      <c r="H60" s="122"/>
    </row>
    <row r="61" spans="1:8" ht="70.349999999999994" customHeight="1">
      <c r="A61" s="142">
        <v>17</v>
      </c>
      <c r="B61" s="143"/>
      <c r="C61" s="144" t="str">
        <f>対策リスト!AU18&amp;""</f>
        <v/>
      </c>
      <c r="D61" s="121" t="str">
        <f>IFERROR(VLOOKUP(C61,選択対策,2,0),"")</f>
        <v/>
      </c>
      <c r="E61" s="139" t="str">
        <f>IF(C61="","",IFERROR(IF(VLOOKUP(C61,'報告書② 第1年度(取組）'!$C$45:$F$64,3,0)="","未入力",VLOOKUP(C61,'報告書② 第1年度(取組）'!$C$45:$F$64,3,0)),"-------"))</f>
        <v/>
      </c>
      <c r="F61" s="167" t="str">
        <f>IF(C61="","",IFERROR(IF(VLOOKUP(C61,'報告書② 第1年度(取組）'!$C$45:$F$64,4,0)="","未入力",VLOOKUP(C61,'報告書② 第1年度(取組）'!$C$45:$F$64,4,0)),"-------"))</f>
        <v/>
      </c>
      <c r="G61" s="122"/>
      <c r="H61" s="122"/>
    </row>
    <row r="62" spans="1:8" ht="70.349999999999994" customHeight="1">
      <c r="A62" s="142">
        <v>18</v>
      </c>
      <c r="B62" s="143"/>
      <c r="C62" s="144" t="str">
        <f>対策リスト!AU19&amp;""</f>
        <v/>
      </c>
      <c r="D62" s="121" t="str">
        <f>IFERROR(VLOOKUP(C62,選択対策,2,0),"")</f>
        <v/>
      </c>
      <c r="E62" s="139" t="str">
        <f>IF(C62="","",IFERROR(IF(VLOOKUP(C62,'報告書② 第1年度(取組）'!$C$45:$F$64,3,0)="","未入力",VLOOKUP(C62,'報告書② 第1年度(取組）'!$C$45:$F$64,3,0)),"-------"))</f>
        <v/>
      </c>
      <c r="F62" s="167" t="str">
        <f>IF(C62="","",IFERROR(IF(VLOOKUP(C62,'報告書② 第1年度(取組）'!$C$45:$F$64,4,0)="","未入力",VLOOKUP(C62,'報告書② 第1年度(取組）'!$C$45:$F$64,4,0)),"-------"))</f>
        <v/>
      </c>
      <c r="G62" s="122"/>
      <c r="H62" s="122"/>
    </row>
    <row r="63" spans="1:8" ht="70.349999999999994" customHeight="1">
      <c r="A63" s="142">
        <v>19</v>
      </c>
      <c r="B63" s="143"/>
      <c r="C63" s="144" t="str">
        <f>対策リスト!AU20&amp;""</f>
        <v/>
      </c>
      <c r="D63" s="121" t="str">
        <f>IFERROR(VLOOKUP(C63,選択対策,2,0),"")</f>
        <v/>
      </c>
      <c r="E63" s="139" t="str">
        <f>IF(C63="","",IFERROR(IF(VLOOKUP(C63,'報告書② 第1年度(取組）'!$C$45:$F$64,3,0)="","未入力",VLOOKUP(C63,'報告書② 第1年度(取組）'!$C$45:$F$64,3,0)),"-------"))</f>
        <v/>
      </c>
      <c r="F63" s="167" t="str">
        <f>IF(C63="","",IFERROR(IF(VLOOKUP(C63,'報告書② 第1年度(取組）'!$C$45:$F$64,4,0)="","未入力",VLOOKUP(C63,'報告書② 第1年度(取組）'!$C$45:$F$64,4,0)),"-------"))</f>
        <v/>
      </c>
      <c r="G63" s="122"/>
      <c r="H63" s="122"/>
    </row>
    <row r="64" spans="1:8" ht="70.349999999999994" customHeight="1">
      <c r="A64" s="142">
        <v>20</v>
      </c>
      <c r="B64" s="143"/>
      <c r="C64" s="144" t="str">
        <f>対策リスト!AU21&amp;""</f>
        <v/>
      </c>
      <c r="D64" s="121" t="str">
        <f>IFERROR(VLOOKUP(C64,選択対策,2,0),"")</f>
        <v/>
      </c>
      <c r="E64" s="139" t="str">
        <f>IF(C64="","",IFERROR(IF(VLOOKUP(C64,'報告書② 第1年度(取組）'!$C$45:$F$64,3,0)="","未入力",VLOOKUP(C64,'報告書② 第1年度(取組）'!$C$45:$F$64,3,0)),"-------"))</f>
        <v/>
      </c>
      <c r="F64" s="167" t="str">
        <f>IF(C64="","",IFERROR(IF(VLOOKUP(C64,'報告書② 第1年度(取組）'!$C$45:$F$64,4,0)="","未入力",VLOOKUP(C64,'報告書② 第1年度(取組）'!$C$45:$F$64,4,0)),"-------"))</f>
        <v/>
      </c>
      <c r="G64" s="122"/>
      <c r="H64" s="122"/>
    </row>
    <row r="67" spans="1:8">
      <c r="A67" s="109" t="s">
        <v>4185</v>
      </c>
      <c r="B67" s="109"/>
    </row>
    <row r="68" spans="1:8" ht="13.35" customHeight="1">
      <c r="A68" s="951" t="s">
        <v>97</v>
      </c>
      <c r="B68" s="954" t="s">
        <v>98</v>
      </c>
      <c r="C68" s="954"/>
      <c r="D68" s="954" t="s">
        <v>4988</v>
      </c>
      <c r="E68" s="687" t="s">
        <v>4166</v>
      </c>
      <c r="F68" s="957"/>
      <c r="G68" s="688"/>
      <c r="H68" s="137"/>
    </row>
    <row r="69" spans="1:8" ht="33" customHeight="1">
      <c r="A69" s="951"/>
      <c r="B69" s="954"/>
      <c r="C69" s="954"/>
      <c r="D69" s="954"/>
      <c r="E69" s="138" t="s">
        <v>4161</v>
      </c>
      <c r="F69" s="138" t="s">
        <v>4154</v>
      </c>
      <c r="G69" s="138" t="s">
        <v>4159</v>
      </c>
      <c r="H69" s="138" t="s">
        <v>4160</v>
      </c>
    </row>
    <row r="70" spans="1:8" ht="90" customHeight="1">
      <c r="A70" s="142">
        <v>1</v>
      </c>
      <c r="B70" s="145"/>
      <c r="C70" s="144" t="str">
        <f>対策リスト!BU2&amp;""</f>
        <v/>
      </c>
      <c r="D70" s="144" t="str">
        <f>対策リスト!BX2&amp;""</f>
        <v/>
      </c>
      <c r="E70" s="139" t="str">
        <f>IF(C70="","",IF(対策リスト!CD2="","-------",対策リスト!CD2))</f>
        <v/>
      </c>
      <c r="F70" s="167" t="str">
        <f>IF(C70="","",IF(対策リスト!CC2="","-------",対策リスト!CC2))</f>
        <v/>
      </c>
      <c r="G70" s="122"/>
      <c r="H70" s="122"/>
    </row>
    <row r="71" spans="1:8" ht="90" customHeight="1">
      <c r="A71" s="142">
        <v>2</v>
      </c>
      <c r="B71" s="145"/>
      <c r="C71" s="144" t="str">
        <f>対策リスト!BU3&amp;""</f>
        <v/>
      </c>
      <c r="D71" s="144" t="str">
        <f>対策リスト!BX3&amp;""</f>
        <v/>
      </c>
      <c r="E71" s="139" t="str">
        <f>IF(C71="","",IF(対策リスト!CD3="","-------",対策リスト!CD3))</f>
        <v/>
      </c>
      <c r="F71" s="167" t="str">
        <f>IF(C71="","",IF(対策リスト!CC3="","-------",対策リスト!CC3))</f>
        <v/>
      </c>
      <c r="G71" s="122"/>
      <c r="H71" s="122"/>
    </row>
    <row r="72" spans="1:8" ht="90" customHeight="1">
      <c r="A72" s="142">
        <v>3</v>
      </c>
      <c r="B72" s="145"/>
      <c r="C72" s="144" t="str">
        <f>対策リスト!BU4&amp;""</f>
        <v/>
      </c>
      <c r="D72" s="144" t="str">
        <f>対策リスト!BX4&amp;""</f>
        <v/>
      </c>
      <c r="E72" s="139" t="str">
        <f>IF(C72="","",IF(対策リスト!CD4="","-------",対策リスト!CD4))</f>
        <v/>
      </c>
      <c r="F72" s="167" t="str">
        <f>IF(C72="","",IF(対策リスト!CC4="","-------",対策リスト!CC4))</f>
        <v/>
      </c>
      <c r="G72" s="122"/>
      <c r="H72" s="122"/>
    </row>
    <row r="73" spans="1:8" ht="90" customHeight="1">
      <c r="A73" s="142">
        <v>4</v>
      </c>
      <c r="B73" s="145"/>
      <c r="C73" s="144" t="str">
        <f>対策リスト!BU5&amp;""</f>
        <v/>
      </c>
      <c r="D73" s="144" t="str">
        <f>対策リスト!BX5&amp;""</f>
        <v/>
      </c>
      <c r="E73" s="139" t="str">
        <f>IF(C73="","",IF(対策リスト!CD5="","-------",対策リスト!CD5))</f>
        <v/>
      </c>
      <c r="F73" s="167" t="str">
        <f>IF(C73="","",IF(対策リスト!CC5="","-------",対策リスト!CC5))</f>
        <v/>
      </c>
      <c r="G73" s="122"/>
      <c r="H73" s="122"/>
    </row>
    <row r="74" spans="1:8" ht="90" customHeight="1">
      <c r="A74" s="142">
        <v>5</v>
      </c>
      <c r="B74" s="145"/>
      <c r="C74" s="144" t="str">
        <f>対策リスト!BU6&amp;""</f>
        <v/>
      </c>
      <c r="D74" s="144" t="str">
        <f>対策リスト!BX6&amp;""</f>
        <v/>
      </c>
      <c r="E74" s="139" t="str">
        <f>IF(C74="","",IF(対策リスト!CD6="","-------",対策リスト!CD6))</f>
        <v/>
      </c>
      <c r="F74" s="167" t="str">
        <f>IF(C74="","",IF(対策リスト!CC6="","-------",対策リスト!CC6))</f>
        <v/>
      </c>
      <c r="G74" s="122"/>
      <c r="H74" s="122"/>
    </row>
    <row r="75" spans="1:8" ht="90" customHeight="1">
      <c r="A75" s="142">
        <v>6</v>
      </c>
      <c r="B75" s="145"/>
      <c r="C75" s="144" t="str">
        <f>対策リスト!BU7&amp;""</f>
        <v/>
      </c>
      <c r="D75" s="144" t="str">
        <f>対策リスト!BX7&amp;""</f>
        <v/>
      </c>
      <c r="E75" s="139" t="str">
        <f>IF(C75="","",IF(対策リスト!CD7="","-------",対策リスト!CD7))</f>
        <v/>
      </c>
      <c r="F75" s="167" t="str">
        <f>IF(C75="","",IF(対策リスト!CC7="","-------",対策リスト!CC7))</f>
        <v/>
      </c>
      <c r="G75" s="122"/>
      <c r="H75" s="122"/>
    </row>
    <row r="76" spans="1:8" ht="90" customHeight="1">
      <c r="A76" s="142">
        <v>7</v>
      </c>
      <c r="B76" s="145"/>
      <c r="C76" s="144" t="str">
        <f>対策リスト!BU8&amp;""</f>
        <v/>
      </c>
      <c r="D76" s="144" t="str">
        <f>対策リスト!BX8&amp;""</f>
        <v/>
      </c>
      <c r="E76" s="139" t="str">
        <f>IF(C76="","",IF(対策リスト!CD8="","-------",対策リスト!CD8))</f>
        <v/>
      </c>
      <c r="F76" s="167" t="str">
        <f>IF(C76="","",IF(対策リスト!CC8="","-------",対策リスト!CC8))</f>
        <v/>
      </c>
      <c r="G76" s="122"/>
      <c r="H76" s="122"/>
    </row>
    <row r="77" spans="1:8" ht="90" customHeight="1">
      <c r="A77" s="142">
        <v>8</v>
      </c>
      <c r="B77" s="145"/>
      <c r="C77" s="144" t="str">
        <f>対策リスト!BU9&amp;""</f>
        <v/>
      </c>
      <c r="D77" s="144" t="str">
        <f>対策リスト!BX9&amp;""</f>
        <v/>
      </c>
      <c r="E77" s="139" t="str">
        <f>IF(C77="","",IF(対策リスト!CD9="","-------",対策リスト!CD9))</f>
        <v/>
      </c>
      <c r="F77" s="167" t="str">
        <f>IF(C77="","",IF(対策リスト!CC9="","-------",対策リスト!CC9))</f>
        <v/>
      </c>
      <c r="G77" s="122"/>
      <c r="H77" s="122"/>
    </row>
    <row r="78" spans="1:8" ht="90" customHeight="1">
      <c r="A78" s="142">
        <v>9</v>
      </c>
      <c r="B78" s="145"/>
      <c r="C78" s="144" t="str">
        <f>対策リスト!BU10&amp;""</f>
        <v/>
      </c>
      <c r="D78" s="144" t="str">
        <f>対策リスト!BX10&amp;""</f>
        <v/>
      </c>
      <c r="E78" s="139" t="str">
        <f>IF(C78="","",IF(対策リスト!CD10="","-------",対策リスト!CD10))</f>
        <v/>
      </c>
      <c r="F78" s="167" t="str">
        <f>IF(C78="","",IF(対策リスト!CC10="","-------",対策リスト!CC10))</f>
        <v/>
      </c>
      <c r="G78" s="122"/>
      <c r="H78" s="122"/>
    </row>
    <row r="79" spans="1:8" ht="90" customHeight="1">
      <c r="A79" s="142">
        <v>10</v>
      </c>
      <c r="B79" s="145"/>
      <c r="C79" s="144" t="str">
        <f>対策リスト!BU11&amp;""</f>
        <v/>
      </c>
      <c r="D79" s="144" t="str">
        <f>対策リスト!BX11&amp;""</f>
        <v/>
      </c>
      <c r="E79" s="139" t="str">
        <f>IF(C79="","",IF(対策リスト!CD11="","-------",対策リスト!CD11))</f>
        <v/>
      </c>
      <c r="F79" s="167" t="str">
        <f>IF(C79="","",IF(対策リスト!CC11="","-------",対策リスト!CC11))</f>
        <v/>
      </c>
      <c r="G79" s="122"/>
      <c r="H79" s="122"/>
    </row>
    <row r="90" spans="1:3">
      <c r="C90" s="22" t="s">
        <v>4402</v>
      </c>
    </row>
    <row r="91" spans="1:3">
      <c r="A91" s="22">
        <v>1</v>
      </c>
      <c r="C91" s="146"/>
    </row>
    <row r="92" spans="1:3">
      <c r="A92" s="22">
        <v>2</v>
      </c>
      <c r="C92" s="146"/>
    </row>
    <row r="93" spans="1:3">
      <c r="A93" s="22">
        <v>3</v>
      </c>
      <c r="C93" s="146"/>
    </row>
    <row r="94" spans="1:3">
      <c r="A94" s="22">
        <v>4</v>
      </c>
      <c r="C94" s="146"/>
    </row>
    <row r="95" spans="1:3">
      <c r="A95" s="22">
        <v>5</v>
      </c>
      <c r="C95" s="146"/>
    </row>
    <row r="96" spans="1:3">
      <c r="A96" s="22">
        <v>6</v>
      </c>
      <c r="C96" s="146"/>
    </row>
    <row r="97" spans="1:3">
      <c r="A97" s="22">
        <v>7</v>
      </c>
      <c r="C97" s="146"/>
    </row>
    <row r="98" spans="1:3">
      <c r="A98" s="22">
        <v>8</v>
      </c>
      <c r="C98" s="146"/>
    </row>
    <row r="99" spans="1:3">
      <c r="A99" s="22">
        <v>9</v>
      </c>
      <c r="C99" s="146"/>
    </row>
    <row r="100" spans="1:3">
      <c r="A100" s="22">
        <v>10</v>
      </c>
      <c r="C100" s="146"/>
    </row>
    <row r="101" spans="1:3">
      <c r="A101" s="22">
        <v>11</v>
      </c>
      <c r="C101" s="146"/>
    </row>
    <row r="102" spans="1:3">
      <c r="A102" s="22">
        <v>12</v>
      </c>
      <c r="C102" s="146"/>
    </row>
    <row r="103" spans="1:3">
      <c r="A103" s="22">
        <v>13</v>
      </c>
      <c r="C103" s="146"/>
    </row>
    <row r="104" spans="1:3">
      <c r="A104" s="22">
        <v>14</v>
      </c>
      <c r="C104" s="146"/>
    </row>
    <row r="105" spans="1:3">
      <c r="A105" s="22">
        <v>15</v>
      </c>
      <c r="C105" s="146"/>
    </row>
    <row r="106" spans="1:3">
      <c r="A106" s="22">
        <v>16</v>
      </c>
      <c r="C106" s="146"/>
    </row>
    <row r="107" spans="1:3">
      <c r="A107" s="22">
        <v>17</v>
      </c>
      <c r="C107" s="146"/>
    </row>
    <row r="108" spans="1:3">
      <c r="A108" s="22">
        <v>18</v>
      </c>
      <c r="C108" s="146"/>
    </row>
    <row r="109" spans="1:3">
      <c r="A109" s="22">
        <v>19</v>
      </c>
      <c r="C109" s="146"/>
    </row>
    <row r="110" spans="1:3">
      <c r="A110" s="22">
        <v>20</v>
      </c>
      <c r="C110" s="146"/>
    </row>
    <row r="119" spans="1:4">
      <c r="C119" s="22" t="s">
        <v>4403</v>
      </c>
    </row>
    <row r="120" spans="1:4">
      <c r="D120" s="119" t="s">
        <v>4990</v>
      </c>
    </row>
    <row r="121" spans="1:4" ht="87" customHeight="1">
      <c r="A121" s="147">
        <v>1</v>
      </c>
      <c r="B121" s="123"/>
      <c r="C121" s="148"/>
      <c r="D121" s="141"/>
    </row>
    <row r="122" spans="1:4" ht="87" customHeight="1">
      <c r="A122" s="147">
        <v>2</v>
      </c>
      <c r="B122" s="123"/>
      <c r="C122" s="148"/>
      <c r="D122" s="141"/>
    </row>
    <row r="123" spans="1:4" ht="87" customHeight="1">
      <c r="A123" s="147">
        <v>3</v>
      </c>
      <c r="B123" s="123"/>
      <c r="C123" s="148"/>
      <c r="D123" s="141"/>
    </row>
    <row r="124" spans="1:4" ht="87" customHeight="1">
      <c r="A124" s="147">
        <v>4</v>
      </c>
      <c r="B124" s="123"/>
      <c r="C124" s="148"/>
      <c r="D124" s="141"/>
    </row>
    <row r="125" spans="1:4" ht="87" customHeight="1">
      <c r="A125" s="147">
        <v>5</v>
      </c>
      <c r="B125" s="123"/>
      <c r="C125" s="148"/>
      <c r="D125" s="141"/>
    </row>
    <row r="126" spans="1:4" ht="87" customHeight="1">
      <c r="A126" s="147">
        <v>6</v>
      </c>
      <c r="B126" s="123"/>
      <c r="C126" s="148"/>
      <c r="D126" s="141"/>
    </row>
    <row r="127" spans="1:4" ht="87" customHeight="1">
      <c r="A127" s="147">
        <v>7</v>
      </c>
      <c r="B127" s="123"/>
      <c r="C127" s="148"/>
      <c r="D127" s="141"/>
    </row>
    <row r="128" spans="1:4" ht="87" customHeight="1">
      <c r="A128" s="147">
        <v>8</v>
      </c>
      <c r="B128" s="123"/>
      <c r="C128" s="148"/>
      <c r="D128" s="141"/>
    </row>
    <row r="129" spans="1:4" ht="87" customHeight="1">
      <c r="A129" s="147">
        <v>9</v>
      </c>
      <c r="B129" s="123"/>
      <c r="C129" s="148"/>
      <c r="D129" s="141"/>
    </row>
    <row r="130" spans="1:4" ht="87" customHeight="1">
      <c r="A130" s="147">
        <v>10</v>
      </c>
      <c r="B130" s="123"/>
      <c r="C130" s="148"/>
      <c r="D130" s="141"/>
    </row>
  </sheetData>
  <sheetProtection algorithmName="SHA-512" hashValue="Syo2oMl3dcF4aQlSWD21RMnkGKZ8zTWe6cBpZL4w7RIndP6JekeQ5snGMahayd6VgCpB4d20sW+u7Rn/tHhz/w==" saltValue="ay8MEkT+2XIf32HJso4PBw==" spinCount="100000" sheet="1" objects="1" scenarios="1" selectLockedCells="1"/>
  <mergeCells count="20">
    <mergeCell ref="A68:A69"/>
    <mergeCell ref="B68:C69"/>
    <mergeCell ref="D68:D69"/>
    <mergeCell ref="E68:G68"/>
    <mergeCell ref="A39:C39"/>
    <mergeCell ref="D39:F39"/>
    <mergeCell ref="A40:C40"/>
    <mergeCell ref="D40:F40"/>
    <mergeCell ref="A43:A44"/>
    <mergeCell ref="B43:B44"/>
    <mergeCell ref="C43:C44"/>
    <mergeCell ref="D43:D44"/>
    <mergeCell ref="E43:G43"/>
    <mergeCell ref="A38:C38"/>
    <mergeCell ref="D38:F38"/>
    <mergeCell ref="A4:A5"/>
    <mergeCell ref="B4:B5"/>
    <mergeCell ref="C4:C5"/>
    <mergeCell ref="D4:D5"/>
    <mergeCell ref="E4:G4"/>
  </mergeCells>
  <phoneticPr fontId="1"/>
  <conditionalFormatting sqref="D40">
    <cfRule type="expression" dxfId="118" priority="8" stopIfTrue="1">
      <formula>$D$40&lt;&gt;""</formula>
    </cfRule>
  </conditionalFormatting>
  <conditionalFormatting sqref="D121:D130">
    <cfRule type="expression" dxfId="117" priority="3">
      <formula>D121&lt;&gt;""</formula>
    </cfRule>
  </conditionalFormatting>
  <conditionalFormatting sqref="D39:F39">
    <cfRule type="expression" dxfId="116" priority="1">
      <formula>$D$39&lt;&gt;""</formula>
    </cfRule>
  </conditionalFormatting>
  <conditionalFormatting sqref="D40:F40">
    <cfRule type="expression" dxfId="115" priority="5">
      <formula>$J$2&lt;&gt;3</formula>
    </cfRule>
  </conditionalFormatting>
  <conditionalFormatting sqref="G6:G35">
    <cfRule type="expression" dxfId="114" priority="2">
      <formula>G6&lt;&gt;""</formula>
    </cfRule>
  </conditionalFormatting>
  <conditionalFormatting sqref="G45">
    <cfRule type="expression" dxfId="113" priority="150" stopIfTrue="1">
      <formula>G45&lt;&gt;""</formula>
    </cfRule>
  </conditionalFormatting>
  <conditionalFormatting sqref="G46:G64">
    <cfRule type="expression" dxfId="112" priority="4">
      <formula>G46&lt;&gt;""</formula>
    </cfRule>
  </conditionalFormatting>
  <conditionalFormatting sqref="G70:G79">
    <cfRule type="expression" dxfId="111" priority="58" stopIfTrue="1">
      <formula>G70&lt;&gt;""</formula>
    </cfRule>
  </conditionalFormatting>
  <conditionalFormatting sqref="H6">
    <cfRule type="expression" dxfId="110" priority="327" stopIfTrue="1">
      <formula>$H$6&lt;&gt;""</formula>
    </cfRule>
  </conditionalFormatting>
  <conditionalFormatting sqref="H6:H7">
    <cfRule type="expression" dxfId="109" priority="320" stopIfTrue="1">
      <formula>$J$2&lt;&gt;3</formula>
    </cfRule>
  </conditionalFormatting>
  <conditionalFormatting sqref="H7">
    <cfRule type="expression" dxfId="108" priority="319" stopIfTrue="1">
      <formula>$H$7&lt;&gt;""</formula>
    </cfRule>
    <cfRule type="expression" dxfId="107" priority="321" stopIfTrue="1">
      <formula>$H$7&lt;&gt;""</formula>
    </cfRule>
  </conditionalFormatting>
  <conditionalFormatting sqref="H8">
    <cfRule type="expression" dxfId="106" priority="298" stopIfTrue="1">
      <formula>$H$8&lt;&gt;""</formula>
    </cfRule>
  </conditionalFormatting>
  <conditionalFormatting sqref="H8:H35">
    <cfRule type="expression" dxfId="105" priority="151" stopIfTrue="1">
      <formula>$J$2&lt;&gt;3</formula>
    </cfRule>
  </conditionalFormatting>
  <conditionalFormatting sqref="H9">
    <cfRule type="expression" dxfId="104" priority="296" stopIfTrue="1">
      <formula>$H$9&lt;&gt;""</formula>
    </cfRule>
  </conditionalFormatting>
  <conditionalFormatting sqref="H10">
    <cfRule type="expression" dxfId="103" priority="294" stopIfTrue="1">
      <formula>$H$10&lt;&gt;""</formula>
    </cfRule>
  </conditionalFormatting>
  <conditionalFormatting sqref="H11">
    <cfRule type="expression" dxfId="102" priority="292" stopIfTrue="1">
      <formula>$H$11&lt;&gt;""</formula>
    </cfRule>
  </conditionalFormatting>
  <conditionalFormatting sqref="H12">
    <cfRule type="expression" dxfId="101" priority="290" stopIfTrue="1">
      <formula>$H$12&lt;&gt;""</formula>
    </cfRule>
  </conditionalFormatting>
  <conditionalFormatting sqref="H13">
    <cfRule type="expression" dxfId="100" priority="268" stopIfTrue="1">
      <formula>$H$13&lt;&gt;""</formula>
    </cfRule>
  </conditionalFormatting>
  <conditionalFormatting sqref="H14">
    <cfRule type="expression" dxfId="99" priority="266" stopIfTrue="1">
      <formula>$H$14&lt;&gt;""</formula>
    </cfRule>
  </conditionalFormatting>
  <conditionalFormatting sqref="H15">
    <cfRule type="expression" dxfId="98" priority="264" stopIfTrue="1">
      <formula>$H$15&lt;&gt;""</formula>
    </cfRule>
  </conditionalFormatting>
  <conditionalFormatting sqref="H16">
    <cfRule type="expression" dxfId="97" priority="262" stopIfTrue="1">
      <formula>$H$16&lt;&gt;""</formula>
    </cfRule>
  </conditionalFormatting>
  <conditionalFormatting sqref="H17">
    <cfRule type="expression" dxfId="96" priority="260" stopIfTrue="1">
      <formula>$H$17&lt;&gt;""</formula>
    </cfRule>
  </conditionalFormatting>
  <conditionalFormatting sqref="H18">
    <cfRule type="expression" dxfId="95" priority="234" stopIfTrue="1">
      <formula>$H$18&lt;&gt;""</formula>
    </cfRule>
  </conditionalFormatting>
  <conditionalFormatting sqref="H19">
    <cfRule type="expression" dxfId="94" priority="232" stopIfTrue="1">
      <formula>$H$19&lt;&gt;""</formula>
    </cfRule>
  </conditionalFormatting>
  <conditionalFormatting sqref="H20">
    <cfRule type="expression" dxfId="93" priority="230" stopIfTrue="1">
      <formula>$H$20&lt;&gt;""</formula>
    </cfRule>
  </conditionalFormatting>
  <conditionalFormatting sqref="H21">
    <cfRule type="expression" dxfId="92" priority="228" stopIfTrue="1">
      <formula>$H$21&lt;&gt;""</formula>
    </cfRule>
  </conditionalFormatting>
  <conditionalFormatting sqref="H22">
    <cfRule type="expression" dxfId="91" priority="226" stopIfTrue="1">
      <formula>$H$22&lt;&gt;""</formula>
    </cfRule>
  </conditionalFormatting>
  <conditionalFormatting sqref="H23">
    <cfRule type="expression" dxfId="90" priority="224" stopIfTrue="1">
      <formula>$H$23&lt;&gt;""</formula>
    </cfRule>
  </conditionalFormatting>
  <conditionalFormatting sqref="H24">
    <cfRule type="expression" dxfId="89" priority="198" stopIfTrue="1">
      <formula>$H$24&lt;&gt;""</formula>
    </cfRule>
  </conditionalFormatting>
  <conditionalFormatting sqref="H25">
    <cfRule type="expression" dxfId="88" priority="196" stopIfTrue="1">
      <formula>$H$25&lt;&gt;""</formula>
    </cfRule>
  </conditionalFormatting>
  <conditionalFormatting sqref="H26">
    <cfRule type="expression" dxfId="87" priority="194" stopIfTrue="1">
      <formula>$H$26&lt;&gt;""</formula>
    </cfRule>
  </conditionalFormatting>
  <conditionalFormatting sqref="H27">
    <cfRule type="expression" dxfId="86" priority="192" stopIfTrue="1">
      <formula>$H$27&lt;&gt;""</formula>
    </cfRule>
  </conditionalFormatting>
  <conditionalFormatting sqref="H28">
    <cfRule type="expression" dxfId="85" priority="190" stopIfTrue="1">
      <formula>$H$28&lt;&gt;""</formula>
    </cfRule>
  </conditionalFormatting>
  <conditionalFormatting sqref="H29">
    <cfRule type="expression" dxfId="84" priority="188" stopIfTrue="1">
      <formula>$H$29&lt;&gt;""</formula>
    </cfRule>
  </conditionalFormatting>
  <conditionalFormatting sqref="H30">
    <cfRule type="expression" dxfId="83" priority="162" stopIfTrue="1">
      <formula>$H$30&lt;&gt;""</formula>
    </cfRule>
  </conditionalFormatting>
  <conditionalFormatting sqref="H31">
    <cfRule type="expression" dxfId="82" priority="160" stopIfTrue="1">
      <formula>$H$31&lt;&gt;""</formula>
    </cfRule>
  </conditionalFormatting>
  <conditionalFormatting sqref="H32">
    <cfRule type="expression" dxfId="81" priority="158" stopIfTrue="1">
      <formula>$H$32&lt;&gt;""</formula>
    </cfRule>
  </conditionalFormatting>
  <conditionalFormatting sqref="H33">
    <cfRule type="expression" dxfId="80" priority="156" stopIfTrue="1">
      <formula>$H$33&lt;&gt;""</formula>
    </cfRule>
  </conditionalFormatting>
  <conditionalFormatting sqref="H34">
    <cfRule type="expression" dxfId="79" priority="154" stopIfTrue="1">
      <formula>$H$34&lt;&gt;""</formula>
    </cfRule>
  </conditionalFormatting>
  <conditionalFormatting sqref="H35">
    <cfRule type="expression" dxfId="78" priority="152" stopIfTrue="1">
      <formula>$H$35&lt;&gt;""</formula>
    </cfRule>
  </conditionalFormatting>
  <conditionalFormatting sqref="H45">
    <cfRule type="expression" dxfId="77" priority="140" stopIfTrue="1">
      <formula>$H$45&lt;&gt;""</formula>
    </cfRule>
  </conditionalFormatting>
  <conditionalFormatting sqref="H45:H64">
    <cfRule type="expression" dxfId="76" priority="71" stopIfTrue="1">
      <formula>$J$2&lt;&gt;3</formula>
    </cfRule>
  </conditionalFormatting>
  <conditionalFormatting sqref="H46">
    <cfRule type="expression" dxfId="75" priority="138" stopIfTrue="1">
      <formula>$H$46&lt;&gt;""</formula>
    </cfRule>
  </conditionalFormatting>
  <conditionalFormatting sqref="H47">
    <cfRule type="expression" dxfId="74" priority="136" stopIfTrue="1">
      <formula>$H$47&lt;&gt;""</formula>
    </cfRule>
  </conditionalFormatting>
  <conditionalFormatting sqref="H48">
    <cfRule type="expression" dxfId="73" priority="134" stopIfTrue="1">
      <formula>$H$48&lt;&gt;""</formula>
    </cfRule>
  </conditionalFormatting>
  <conditionalFormatting sqref="H49">
    <cfRule type="expression" dxfId="72" priority="132" stopIfTrue="1">
      <formula>$H$49&lt;&gt;""</formula>
    </cfRule>
  </conditionalFormatting>
  <conditionalFormatting sqref="H50">
    <cfRule type="expression" dxfId="71" priority="118" stopIfTrue="1">
      <formula>$H$50&lt;&gt;""</formula>
    </cfRule>
  </conditionalFormatting>
  <conditionalFormatting sqref="H51">
    <cfRule type="expression" dxfId="70" priority="116" stopIfTrue="1">
      <formula>$H$51&lt;&gt;""</formula>
    </cfRule>
  </conditionalFormatting>
  <conditionalFormatting sqref="H52">
    <cfRule type="expression" dxfId="69" priority="114" stopIfTrue="1">
      <formula>$H$52&lt;&gt;""</formula>
    </cfRule>
  </conditionalFormatting>
  <conditionalFormatting sqref="H53">
    <cfRule type="expression" dxfId="68" priority="112" stopIfTrue="1">
      <formula>$H$53&lt;&gt;""</formula>
    </cfRule>
  </conditionalFormatting>
  <conditionalFormatting sqref="H54">
    <cfRule type="expression" dxfId="67" priority="110" stopIfTrue="1">
      <formula>$H$54&lt;&gt;""</formula>
    </cfRule>
  </conditionalFormatting>
  <conditionalFormatting sqref="H55">
    <cfRule type="expression" dxfId="66" priority="108" stopIfTrue="1">
      <formula>$H$55&lt;&gt;""</formula>
    </cfRule>
  </conditionalFormatting>
  <conditionalFormatting sqref="H56">
    <cfRule type="expression" dxfId="65" priority="96" stopIfTrue="1">
      <formula>$H$56&lt;&gt;""</formula>
    </cfRule>
  </conditionalFormatting>
  <conditionalFormatting sqref="H57">
    <cfRule type="expression" dxfId="64" priority="94" stopIfTrue="1">
      <formula>$H$57&lt;&gt;""</formula>
    </cfRule>
  </conditionalFormatting>
  <conditionalFormatting sqref="H58">
    <cfRule type="expression" dxfId="63" priority="92" stopIfTrue="1">
      <formula>$H$58&lt;&gt;""</formula>
    </cfRule>
  </conditionalFormatting>
  <conditionalFormatting sqref="H59">
    <cfRule type="expression" dxfId="62" priority="90" stopIfTrue="1">
      <formula>$H$59&lt;&gt;""</formula>
    </cfRule>
  </conditionalFormatting>
  <conditionalFormatting sqref="H60">
    <cfRule type="expression" dxfId="61" priority="88" stopIfTrue="1">
      <formula>$H$60&lt;&gt;""</formula>
    </cfRule>
  </conditionalFormatting>
  <conditionalFormatting sqref="H61">
    <cfRule type="expression" dxfId="60" priority="78" stopIfTrue="1">
      <formula>$H$61&lt;&gt;""</formula>
    </cfRule>
  </conditionalFormatting>
  <conditionalFormatting sqref="H62">
    <cfRule type="expression" dxfId="59" priority="76" stopIfTrue="1">
      <formula>$H$62&lt;&gt;""</formula>
    </cfRule>
  </conditionalFormatting>
  <conditionalFormatting sqref="H63">
    <cfRule type="expression" dxfId="58" priority="74" stopIfTrue="1">
      <formula>$H$63&lt;&gt;""</formula>
    </cfRule>
  </conditionalFormatting>
  <conditionalFormatting sqref="H64">
    <cfRule type="expression" dxfId="57" priority="72" stopIfTrue="1">
      <formula>$H$64&lt;&gt;""</formula>
    </cfRule>
  </conditionalFormatting>
  <conditionalFormatting sqref="H70">
    <cfRule type="expression" dxfId="56" priority="46" stopIfTrue="1">
      <formula>$H$70&lt;&gt;""</formula>
    </cfRule>
  </conditionalFormatting>
  <conditionalFormatting sqref="H70:H79">
    <cfRule type="expression" dxfId="55" priority="11" stopIfTrue="1">
      <formula>$J$2&lt;&gt;3</formula>
    </cfRule>
  </conditionalFormatting>
  <conditionalFormatting sqref="H71">
    <cfRule type="expression" dxfId="54" priority="44" stopIfTrue="1">
      <formula>$H$71&lt;&gt;""</formula>
    </cfRule>
  </conditionalFormatting>
  <conditionalFormatting sqref="H72">
    <cfRule type="expression" dxfId="53" priority="42" stopIfTrue="1">
      <formula>$H$72&lt;&gt;""</formula>
    </cfRule>
  </conditionalFormatting>
  <conditionalFormatting sqref="H73">
    <cfRule type="expression" dxfId="52" priority="40" stopIfTrue="1">
      <formula>$H$73&lt;&gt;""</formula>
    </cfRule>
  </conditionalFormatting>
  <conditionalFormatting sqref="H74">
    <cfRule type="expression" dxfId="51" priority="38" stopIfTrue="1">
      <formula>$H$74&lt;&gt;""</formula>
    </cfRule>
  </conditionalFormatting>
  <conditionalFormatting sqref="H75">
    <cfRule type="expression" dxfId="50" priority="36" stopIfTrue="1">
      <formula>$H$75&lt;&gt;""</formula>
    </cfRule>
  </conditionalFormatting>
  <conditionalFormatting sqref="H76">
    <cfRule type="expression" dxfId="49" priority="22" stopIfTrue="1">
      <formula>$H$76&lt;&gt;""</formula>
    </cfRule>
  </conditionalFormatting>
  <conditionalFormatting sqref="H77">
    <cfRule type="expression" dxfId="48" priority="20" stopIfTrue="1">
      <formula>$H$77&lt;&gt;""</formula>
    </cfRule>
  </conditionalFormatting>
  <conditionalFormatting sqref="H78">
    <cfRule type="expression" dxfId="47" priority="18" stopIfTrue="1">
      <formula>$H$78&lt;&gt;""</formula>
    </cfRule>
  </conditionalFormatting>
  <conditionalFormatting sqref="H79">
    <cfRule type="expression" dxfId="46" priority="12" stopIfTrue="1">
      <formula>$H$79&lt;&gt;""</formula>
    </cfRule>
  </conditionalFormatting>
  <dataValidations count="5">
    <dataValidation imeMode="hiragana" allowBlank="1" showInputMessage="1" showErrorMessage="1" sqref="D38:F40 D121:D130" xr:uid="{00000000-0002-0000-0F00-000000000000}"/>
    <dataValidation type="list" allowBlank="1" showInputMessage="1" showErrorMessage="1" sqref="G70:H79" xr:uid="{00000000-0002-0000-0F00-000001000000}">
      <formula1>"実施済,未実施"</formula1>
    </dataValidation>
    <dataValidation type="list" allowBlank="1" showInputMessage="1" showErrorMessage="1" sqref="G45:H64" xr:uid="{00000000-0002-0000-0F00-000002000000}">
      <formula1>"実施済,一部実施済,未実施"</formula1>
    </dataValidation>
    <dataValidation type="list" allowBlank="1" showInputMessage="1" showErrorMessage="1" sqref="G6:H35" xr:uid="{00000000-0002-0000-0F00-000003000000}">
      <formula1>"実施済,未実施,非該当"</formula1>
    </dataValidation>
    <dataValidation type="list" allowBlank="1" showInputMessage="1" showErrorMessage="1" sqref="C121:C130" xr:uid="{00000000-0002-0000-0F00-000004000000}">
      <formula1>その他対策</formula1>
    </dataValidation>
  </dataValidations>
  <printOptions horizontalCentered="1"/>
  <pageMargins left="0.70866141732283472" right="0.55118110236220474" top="0.74803149606299213" bottom="0.74803149606299213" header="0.31496062992125984" footer="0.31496062992125984"/>
  <pageSetup paperSize="9" scale="80" fitToHeight="7" orientation="portrait" r:id="rId1"/>
  <headerFooter>
    <oddHeader>&amp;L様式第２号</oddHeader>
    <oddFooter>&amp;R&amp;8（事業所等用）</oddFooter>
  </headerFooter>
  <rowBreaks count="5" manualBreakCount="5">
    <brk id="17" max="9" man="1"/>
    <brk id="29" max="9" man="1"/>
    <brk id="40" max="9" man="1"/>
    <brk id="54" max="9" man="1"/>
    <brk id="65"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5000000}">
          <x14:formula1>
            <xm:f>OFFSET(対策リスト!$AP$2,0,0,25-COUNTBLANK(対策リスト!$AP$2:$AP$26),1)</xm:f>
          </x14:formula1>
          <xm:sqref>C91:C110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6" tint="0.39997558519241921"/>
  </sheetPr>
  <dimension ref="A2:AC130"/>
  <sheetViews>
    <sheetView topLeftCell="A3" zoomScaleNormal="100" zoomScaleSheetLayoutView="100" workbookViewId="0">
      <selection activeCell="H6" sqref="H6"/>
    </sheetView>
  </sheetViews>
  <sheetFormatPr defaultColWidth="8.88671875" defaultRowHeight="16.2"/>
  <cols>
    <col min="1" max="1" width="3.88671875" style="22" customWidth="1"/>
    <col min="2" max="2" width="9.109375" style="22" hidden="1" customWidth="1"/>
    <col min="3" max="3" width="14.6640625" style="22" customWidth="1"/>
    <col min="4" max="4" width="43.44140625" style="22" customWidth="1"/>
    <col min="5" max="8" width="9.44140625" style="22" customWidth="1"/>
    <col min="9" max="9" width="8.88671875" style="22" customWidth="1"/>
    <col min="10" max="10" width="8.88671875" style="22" hidden="1" customWidth="1"/>
    <col min="11" max="11" width="16.109375" style="22" hidden="1" customWidth="1"/>
    <col min="12" max="29" width="8.88671875" style="22" hidden="1" customWidth="1"/>
    <col min="30" max="90" width="8.88671875" style="22" customWidth="1"/>
    <col min="91" max="16384" width="8.88671875" style="22"/>
  </cols>
  <sheetData>
    <row r="2" spans="1:21">
      <c r="J2" s="22">
        <f>はじめに!F29</f>
        <v>0</v>
      </c>
    </row>
    <row r="3" spans="1:21">
      <c r="A3" s="109" t="s">
        <v>4182</v>
      </c>
      <c r="B3" s="109"/>
    </row>
    <row r="4" spans="1:21" ht="13.35" customHeight="1">
      <c r="A4" s="951" t="s">
        <v>97</v>
      </c>
      <c r="B4" s="952" t="s">
        <v>100</v>
      </c>
      <c r="C4" s="953" t="s">
        <v>98</v>
      </c>
      <c r="D4" s="953" t="s">
        <v>99</v>
      </c>
      <c r="E4" s="687" t="s">
        <v>4166</v>
      </c>
      <c r="F4" s="957"/>
      <c r="G4" s="957"/>
      <c r="H4" s="688"/>
    </row>
    <row r="5" spans="1:21" ht="33" customHeight="1">
      <c r="A5" s="951"/>
      <c r="B5" s="952"/>
      <c r="C5" s="953"/>
      <c r="D5" s="953"/>
      <c r="E5" s="138" t="s">
        <v>4161</v>
      </c>
      <c r="F5" s="138" t="s">
        <v>4154</v>
      </c>
      <c r="G5" s="138" t="s">
        <v>4159</v>
      </c>
      <c r="H5" s="138" t="s">
        <v>4160</v>
      </c>
      <c r="K5" s="123" t="s">
        <v>4414</v>
      </c>
      <c r="L5" s="123" t="s">
        <v>4415</v>
      </c>
      <c r="M5" s="22" t="s">
        <v>4416</v>
      </c>
      <c r="O5" s="123" t="s">
        <v>4417</v>
      </c>
      <c r="P5" s="123" t="s">
        <v>4415</v>
      </c>
      <c r="Q5" s="123" t="s">
        <v>4226</v>
      </c>
      <c r="R5" s="123" t="s">
        <v>4399</v>
      </c>
      <c r="S5" s="123" t="s">
        <v>4418</v>
      </c>
    </row>
    <row r="6" spans="1:21" ht="82.35" customHeight="1">
      <c r="A6" s="142">
        <v>1</v>
      </c>
      <c r="B6" s="121" t="s">
        <v>101</v>
      </c>
      <c r="C6" s="121" t="s">
        <v>4041</v>
      </c>
      <c r="D6" s="121" t="s">
        <v>4336</v>
      </c>
      <c r="E6" s="139" t="str">
        <f>IF('計画書② (取組）'!E5="","",'計画書② (取組）'!E5)</f>
        <v/>
      </c>
      <c r="F6" s="167" t="str">
        <f>IF(C6="","",IFERROR(IF(VLOOKUP(C6,'報告書② 第2年度(取組）'!$C$6:$G35,4,0)="","未入力",VLOOKUP(C6,'報告書② 第2年度(取組）'!$C$6:$G$35,4,0)),"------"))</f>
        <v>未入力</v>
      </c>
      <c r="G6" s="167" t="str">
        <f>IF(C6="","",IFERROR(IF(VLOOKUP(C6,'報告書② 第2年度(取組）'!$C$6:$G$35,5,0)="","未入力",VLOOKUP(C6,'報告書② 第2年度(取組）'!$C$6:$G$35,5,0)),"------"))</f>
        <v>未入力</v>
      </c>
      <c r="H6" s="122"/>
      <c r="K6" s="123" t="s">
        <v>4226</v>
      </c>
      <c r="L6" s="123">
        <f>COUNTIFS($H$6:$H$35,$K6,$E$6:$E$35,"&lt;&gt;非該当")</f>
        <v>0</v>
      </c>
      <c r="M6" s="22">
        <v>5</v>
      </c>
      <c r="O6" s="123" t="s">
        <v>4412</v>
      </c>
      <c r="P6" s="123" t="str">
        <f>IF($J$2&gt;0,$L$9,"")</f>
        <v/>
      </c>
      <c r="Q6" s="123" t="str">
        <f>IF($J$2&gt;0,COUNTIFS($F$6:$F$35,Q$5),"")</f>
        <v/>
      </c>
      <c r="R6" s="123" t="str">
        <f>IF($J$2&gt;0,COUNTIFS($F$6:$F$35,R$5),"")</f>
        <v/>
      </c>
      <c r="S6" s="123" t="str">
        <f>IF($J$2&gt;0,COUNTIFS($F$6:$F$35,S$5),"")</f>
        <v/>
      </c>
      <c r="T6" s="123" t="str">
        <f>IFERROR(IF(P6="","",Q6/(P6-S6)),0)</f>
        <v/>
      </c>
      <c r="U6" s="168" t="str">
        <f>IF(P6="","",ROUNDUP($T6*$M$9,0))</f>
        <v/>
      </c>
    </row>
    <row r="7" spans="1:21" ht="82.35" customHeight="1">
      <c r="A7" s="142">
        <v>2</v>
      </c>
      <c r="B7" s="121" t="s">
        <v>101</v>
      </c>
      <c r="C7" s="121" t="s">
        <v>4042</v>
      </c>
      <c r="D7" s="121" t="s">
        <v>4337</v>
      </c>
      <c r="E7" s="139" t="str">
        <f>IF('計画書② (取組）'!E6="","",'計画書② (取組）'!E6)</f>
        <v/>
      </c>
      <c r="F7" s="167" t="str">
        <f>IF(C7="","",IFERROR(IF(VLOOKUP(C7,'報告書② 第2年度(取組）'!$C$6:$G36,4,0)="","未入力",VLOOKUP(C7,'報告書② 第2年度(取組）'!$C$6:$G$35,4,0)),"------"))</f>
        <v>未入力</v>
      </c>
      <c r="G7" s="167" t="str">
        <f>IF(C7="","",IFERROR(IF(VLOOKUP(C7,'報告書② 第2年度(取組）'!$C$6:$G$35,5,0)="","未入力",VLOOKUP(C7,'報告書② 第2年度(取組）'!$C$6:$G$35,5,0)),"------"))</f>
        <v>未入力</v>
      </c>
      <c r="H7" s="122"/>
      <c r="K7" s="123" t="s">
        <v>4399</v>
      </c>
      <c r="L7" s="123">
        <f>COUNTIFS($H$6:$H$35,$K7,$E$6:$E$35,"&lt;&gt;非該当")</f>
        <v>0</v>
      </c>
      <c r="M7" s="22">
        <v>0</v>
      </c>
      <c r="O7" s="123" t="s">
        <v>4406</v>
      </c>
      <c r="P7" s="123" t="str">
        <f>IF($J$2&gt;1,$L$9,"")</f>
        <v/>
      </c>
      <c r="Q7" s="123" t="str">
        <f>IF($J$2&gt;1,COUNTIFS($G$6:$G$35,Q$5),"")</f>
        <v/>
      </c>
      <c r="R7" s="123" t="str">
        <f>IF($J$2&gt;1,COUNTIFS($G$6:$G$35,R$5),"")</f>
        <v/>
      </c>
      <c r="S7" s="123" t="str">
        <f>IF($J$2&gt;1,COUNTIFS($G$6:$G$35,S$5),"")</f>
        <v/>
      </c>
      <c r="T7" s="123" t="str">
        <f t="shared" ref="T7" si="0">IFERROR(IF(P7="","",Q7/(P7-S7)),0)</f>
        <v/>
      </c>
      <c r="U7" s="168" t="str">
        <f>IF(P7="","",ROUNDUP($T7*$M$9,0))</f>
        <v/>
      </c>
    </row>
    <row r="8" spans="1:21" ht="82.35" customHeight="1">
      <c r="A8" s="142">
        <v>3</v>
      </c>
      <c r="B8" s="121" t="s">
        <v>101</v>
      </c>
      <c r="C8" s="121" t="s">
        <v>4043</v>
      </c>
      <c r="D8" s="121" t="s">
        <v>4338</v>
      </c>
      <c r="E8" s="139" t="str">
        <f>IF('計画書② (取組）'!E7="","",'計画書② (取組）'!E7)</f>
        <v/>
      </c>
      <c r="F8" s="167" t="str">
        <f>IF(C8="","",IFERROR(IF(VLOOKUP(C8,'報告書② 第2年度(取組）'!$C$6:$G37,4,0)="","未入力",VLOOKUP(C8,'報告書② 第2年度(取組）'!$C$6:$G$35,4,0)),"------"))</f>
        <v>未入力</v>
      </c>
      <c r="G8" s="167" t="str">
        <f>IF(C8="","",IFERROR(IF(VLOOKUP(C8,'報告書② 第2年度(取組）'!$C$6:$G$35,5,0)="","未入力",VLOOKUP(C8,'報告書② 第2年度(取組）'!$C$6:$G$35,5,0)),"------"))</f>
        <v>未入力</v>
      </c>
      <c r="H8" s="122"/>
      <c r="K8" s="123" t="s">
        <v>4418</v>
      </c>
      <c r="L8" s="123">
        <f>COUNTIF($H$6:$H$35,$K8)+COUNTIF($E$6:$E$35,$K8)</f>
        <v>0</v>
      </c>
      <c r="M8" s="22" t="s">
        <v>4413</v>
      </c>
      <c r="O8" s="123" t="s">
        <v>4407</v>
      </c>
      <c r="P8" s="123" t="str">
        <f>IF($J$2&gt;2,$L$9,"")</f>
        <v/>
      </c>
      <c r="Q8" s="123" t="str">
        <f>IF($J$2&gt;2,COUNTIFS($H$6:$H$35,Q$5),"")</f>
        <v/>
      </c>
      <c r="R8" s="123" t="str">
        <f>IF($J$2&gt;2,COUNTIFS($H$6:$H$35,R$5),"")</f>
        <v/>
      </c>
      <c r="S8" s="123" t="str">
        <f>IF($J$2&gt;2,COUNTIFS($H$6:$H$35,S$5),"")</f>
        <v/>
      </c>
      <c r="T8" s="123" t="str">
        <f>IFERROR(IF(P8="","",Q8/(P8-S8)),0)</f>
        <v/>
      </c>
      <c r="U8" s="168" t="str">
        <f>IF(P8="","",ROUNDUP($T8*$M$9,0))</f>
        <v/>
      </c>
    </row>
    <row r="9" spans="1:21" ht="82.35" customHeight="1">
      <c r="A9" s="142">
        <v>4</v>
      </c>
      <c r="B9" s="121" t="s">
        <v>101</v>
      </c>
      <c r="C9" s="121" t="s">
        <v>4044</v>
      </c>
      <c r="D9" s="121" t="s">
        <v>4339</v>
      </c>
      <c r="E9" s="139" t="str">
        <f>IF('計画書② (取組）'!E8="","",'計画書② (取組）'!E8)</f>
        <v/>
      </c>
      <c r="F9" s="167" t="str">
        <f>IF(C9="","",IFERROR(IF(VLOOKUP(C9,'報告書② 第2年度(取組）'!$C$6:$G38,4,0)="","未入力",VLOOKUP(C9,'報告書② 第2年度(取組）'!$C$6:$G$35,4,0)),"------"))</f>
        <v>未入力</v>
      </c>
      <c r="G9" s="167" t="str">
        <f>IF(C9="","",IFERROR(IF(VLOOKUP(C9,'報告書② 第2年度(取組）'!$C$6:$G$35,5,0)="","未入力",VLOOKUP(C9,'報告書② 第2年度(取組）'!$C$6:$G$35,5,0)),"------"))</f>
        <v>未入力</v>
      </c>
      <c r="H9" s="122"/>
      <c r="K9" s="123" t="s">
        <v>4419</v>
      </c>
      <c r="L9" s="123">
        <f>A35</f>
        <v>30</v>
      </c>
      <c r="M9" s="22">
        <v>50</v>
      </c>
      <c r="O9" s="123" t="s">
        <v>4420</v>
      </c>
      <c r="P9" s="123" t="str">
        <f>IFERROR(ROUNDUP(AVERAGE(P6:P8),0),"")</f>
        <v/>
      </c>
      <c r="Q9" s="123" t="str">
        <f>IFERROR(ROUNDUP(AVERAGE(Q6:Q8),0),"")</f>
        <v/>
      </c>
      <c r="R9" s="123" t="str">
        <f>IFERROR(ROUNDUP(AVERAGE(R6:R8),0),"")</f>
        <v/>
      </c>
      <c r="S9" s="123" t="str">
        <f>IFERROR(ROUNDUP(AVERAGE(S6:S8),0),"")</f>
        <v/>
      </c>
      <c r="T9" s="123" t="str">
        <f>IFERROR(AVERAGE(T6:T8),"")</f>
        <v/>
      </c>
      <c r="U9" s="110" t="str">
        <f>IFERROR(ROUNDUP(AVERAGE(U6:U8),0),"")</f>
        <v/>
      </c>
    </row>
    <row r="10" spans="1:21" ht="82.35" customHeight="1">
      <c r="A10" s="142">
        <v>5</v>
      </c>
      <c r="B10" s="121" t="s">
        <v>101</v>
      </c>
      <c r="C10" s="121" t="s">
        <v>4045</v>
      </c>
      <c r="D10" s="121" t="s">
        <v>4340</v>
      </c>
      <c r="E10" s="139" t="str">
        <f>IF('計画書② (取組）'!E9="","",'計画書② (取組）'!E9)</f>
        <v/>
      </c>
      <c r="F10" s="167" t="str">
        <f>IF(C10="","",IFERROR(IF(VLOOKUP(C10,'報告書② 第2年度(取組）'!$C$6:$G39,4,0)="","未入力",VLOOKUP(C10,'報告書② 第2年度(取組）'!$C$6:$G$35,4,0)),"------"))</f>
        <v>未入力</v>
      </c>
      <c r="G10" s="167" t="str">
        <f>IF(C10="","",IFERROR(IF(VLOOKUP(C10,'報告書② 第2年度(取組）'!$C$6:$G$35,5,0)="","未入力",VLOOKUP(C10,'報告書② 第2年度(取組）'!$C$6:$G$35,5,0)),"------"))</f>
        <v>未入力</v>
      </c>
      <c r="H10" s="122"/>
      <c r="K10" s="22" t="s">
        <v>4421</v>
      </c>
      <c r="L10" s="22">
        <f>L6/(L9-L8)</f>
        <v>0</v>
      </c>
      <c r="M10" s="22">
        <f>ROUNDUP($L$10*$M$9,0)</f>
        <v>0</v>
      </c>
    </row>
    <row r="11" spans="1:21" ht="82.35" customHeight="1">
      <c r="A11" s="142">
        <v>6</v>
      </c>
      <c r="B11" s="121" t="s">
        <v>102</v>
      </c>
      <c r="C11" s="121" t="s">
        <v>4046</v>
      </c>
      <c r="D11" s="121" t="s">
        <v>4341</v>
      </c>
      <c r="E11" s="139" t="str">
        <f>IF('計画書② (取組）'!E10="","",'計画書② (取組）'!E10)</f>
        <v/>
      </c>
      <c r="F11" s="167" t="str">
        <f>IF(C11="","",IFERROR(IF(VLOOKUP(C11,'報告書② 第2年度(取組）'!$C$6:$G40,4,0)="","未入力",VLOOKUP(C11,'報告書② 第2年度(取組）'!$C$6:$G$35,4,0)),"------"))</f>
        <v>未入力</v>
      </c>
      <c r="G11" s="167" t="str">
        <f>IF(C11="","",IFERROR(IF(VLOOKUP(C11,'報告書② 第2年度(取組）'!$C$6:$G$35,5,0)="","未入力",VLOOKUP(C11,'報告書② 第2年度(取組）'!$C$6:$G$35,5,0)),"------"))</f>
        <v>未入力</v>
      </c>
      <c r="H11" s="122"/>
    </row>
    <row r="12" spans="1:21" ht="82.35" customHeight="1">
      <c r="A12" s="142">
        <v>7</v>
      </c>
      <c r="B12" s="121" t="s">
        <v>102</v>
      </c>
      <c r="C12" s="121" t="s">
        <v>4047</v>
      </c>
      <c r="D12" s="121" t="s">
        <v>4342</v>
      </c>
      <c r="E12" s="139" t="str">
        <f>IF('計画書② (取組）'!E11="","",'計画書② (取組）'!E11)</f>
        <v/>
      </c>
      <c r="F12" s="167" t="str">
        <f>IF(C12="","",IFERROR(IF(VLOOKUP(C12,'報告書② 第2年度(取組）'!$C$6:$G41,4,0)="","未入力",VLOOKUP(C12,'報告書② 第2年度(取組）'!$C$6:$G$35,4,0)),"------"))</f>
        <v>未入力</v>
      </c>
      <c r="G12" s="167" t="str">
        <f>IF(C12="","",IFERROR(IF(VLOOKUP(C12,'報告書② 第2年度(取組）'!$C$6:$G$35,5,0)="","未入力",VLOOKUP(C12,'報告書② 第2年度(取組）'!$C$6:$G$35,5,0)),"------"))</f>
        <v>未入力</v>
      </c>
      <c r="H12" s="122"/>
    </row>
    <row r="13" spans="1:21" ht="82.35" customHeight="1">
      <c r="A13" s="142">
        <v>8</v>
      </c>
      <c r="B13" s="121" t="s">
        <v>102</v>
      </c>
      <c r="C13" s="121" t="s">
        <v>4048</v>
      </c>
      <c r="D13" s="121" t="s">
        <v>4343</v>
      </c>
      <c r="E13" s="139" t="str">
        <f>IF('計画書② (取組）'!E12="","",'計画書② (取組）'!E12)</f>
        <v/>
      </c>
      <c r="F13" s="167" t="str">
        <f>IF(C13="","",IFERROR(IF(VLOOKUP(C13,'報告書② 第2年度(取組）'!$C$6:$G42,4,0)="","未入力",VLOOKUP(C13,'報告書② 第2年度(取組）'!$C$6:$G$35,4,0)),"------"))</f>
        <v>未入力</v>
      </c>
      <c r="G13" s="167" t="str">
        <f>IF(C13="","",IFERROR(IF(VLOOKUP(C13,'報告書② 第2年度(取組）'!$C$6:$G$35,5,0)="","未入力",VLOOKUP(C13,'報告書② 第2年度(取組）'!$C$6:$G$35,5,0)),"------"))</f>
        <v>未入力</v>
      </c>
      <c r="H13" s="122"/>
    </row>
    <row r="14" spans="1:21" ht="82.35" customHeight="1">
      <c r="A14" s="142">
        <v>9</v>
      </c>
      <c r="B14" s="121" t="s">
        <v>102</v>
      </c>
      <c r="C14" s="121" t="s">
        <v>4049</v>
      </c>
      <c r="D14" s="121" t="s">
        <v>4344</v>
      </c>
      <c r="E14" s="139" t="str">
        <f>IF('計画書② (取組）'!E13="","",'計画書② (取組）'!E13)</f>
        <v/>
      </c>
      <c r="F14" s="167" t="str">
        <f>IF(C14="","",IFERROR(IF(VLOOKUP(C14,'報告書② 第2年度(取組）'!$C$6:$G43,4,0)="","未入力",VLOOKUP(C14,'報告書② 第2年度(取組）'!$C$6:$G$35,4,0)),"------"))</f>
        <v>未入力</v>
      </c>
      <c r="G14" s="167" t="str">
        <f>IF(C14="","",IFERROR(IF(VLOOKUP(C14,'報告書② 第2年度(取組）'!$C$6:$G$35,5,0)="","未入力",VLOOKUP(C14,'報告書② 第2年度(取組）'!$C$6:$G$35,5,0)),"------"))</f>
        <v>未入力</v>
      </c>
      <c r="H14" s="122"/>
    </row>
    <row r="15" spans="1:21" ht="82.35" customHeight="1">
      <c r="A15" s="142">
        <v>10</v>
      </c>
      <c r="B15" s="121" t="s">
        <v>102</v>
      </c>
      <c r="C15" s="121" t="s">
        <v>4050</v>
      </c>
      <c r="D15" s="121" t="s">
        <v>4345</v>
      </c>
      <c r="E15" s="139" t="str">
        <f>IF('計画書② (取組）'!E14="","",'計画書② (取組）'!E14)</f>
        <v/>
      </c>
      <c r="F15" s="167" t="str">
        <f>IF(C15="","",IFERROR(IF(VLOOKUP(C15,'報告書② 第2年度(取組）'!$C$6:$G44,4,0)="","未入力",VLOOKUP(C15,'報告書② 第2年度(取組）'!$C$6:$G$35,4,0)),"------"))</f>
        <v>未入力</v>
      </c>
      <c r="G15" s="167" t="str">
        <f>IF(C15="","",IFERROR(IF(VLOOKUP(C15,'報告書② 第2年度(取組）'!$C$6:$G$35,5,0)="","未入力",VLOOKUP(C15,'報告書② 第2年度(取組）'!$C$6:$G$35,5,0)),"------"))</f>
        <v>未入力</v>
      </c>
      <c r="H15" s="122"/>
    </row>
    <row r="16" spans="1:21" ht="82.35" customHeight="1">
      <c r="A16" s="142">
        <v>11</v>
      </c>
      <c r="B16" s="121" t="s">
        <v>102</v>
      </c>
      <c r="C16" s="121" t="s">
        <v>4051</v>
      </c>
      <c r="D16" s="121" t="s">
        <v>4346</v>
      </c>
      <c r="E16" s="139" t="str">
        <f>IF('計画書② (取組）'!E15="","",'計画書② (取組）'!E15)</f>
        <v/>
      </c>
      <c r="F16" s="167" t="str">
        <f>IF(C16="","",IFERROR(IF(VLOOKUP(C16,'報告書② 第2年度(取組）'!$C$6:$G45,4,0)="","未入力",VLOOKUP(C16,'報告書② 第2年度(取組）'!$C$6:$G$35,4,0)),"------"))</f>
        <v>未入力</v>
      </c>
      <c r="G16" s="167" t="str">
        <f>IF(C16="","",IFERROR(IF(VLOOKUP(C16,'報告書② 第2年度(取組）'!$C$6:$G$35,5,0)="","未入力",VLOOKUP(C16,'報告書② 第2年度(取組）'!$C$6:$G$35,5,0)),"------"))</f>
        <v>未入力</v>
      </c>
      <c r="H16" s="122"/>
    </row>
    <row r="17" spans="1:8" ht="82.35" customHeight="1">
      <c r="A17" s="142">
        <v>12</v>
      </c>
      <c r="B17" s="121" t="s">
        <v>103</v>
      </c>
      <c r="C17" s="121" t="s">
        <v>4052</v>
      </c>
      <c r="D17" s="121" t="s">
        <v>4347</v>
      </c>
      <c r="E17" s="139" t="str">
        <f>IF('計画書② (取組）'!E16="","",'計画書② (取組）'!E16)</f>
        <v/>
      </c>
      <c r="F17" s="167" t="str">
        <f>IF(C17="","",IFERROR(IF(VLOOKUP(C17,'報告書② 第2年度(取組）'!$C$6:$G46,4,0)="","未入力",VLOOKUP(C17,'報告書② 第2年度(取組）'!$C$6:$G$35,4,0)),"------"))</f>
        <v>未入力</v>
      </c>
      <c r="G17" s="167" t="str">
        <f>IF(C17="","",IFERROR(IF(VLOOKUP(C17,'報告書② 第2年度(取組）'!$C$6:$G$35,5,0)="","未入力",VLOOKUP(C17,'報告書② 第2年度(取組）'!$C$6:$G$35,5,0)),"------"))</f>
        <v>未入力</v>
      </c>
      <c r="H17" s="122"/>
    </row>
    <row r="18" spans="1:8" ht="82.35" customHeight="1">
      <c r="A18" s="142">
        <v>13</v>
      </c>
      <c r="B18" s="121" t="s">
        <v>103</v>
      </c>
      <c r="C18" s="121" t="s">
        <v>4053</v>
      </c>
      <c r="D18" s="121" t="s">
        <v>4348</v>
      </c>
      <c r="E18" s="139" t="str">
        <f>IF('計画書② (取組）'!E17="","",'計画書② (取組）'!E17)</f>
        <v/>
      </c>
      <c r="F18" s="167" t="str">
        <f>IF(C18="","",IFERROR(IF(VLOOKUP(C18,'報告書② 第2年度(取組）'!$C$6:$G47,4,0)="","未入力",VLOOKUP(C18,'報告書② 第2年度(取組）'!$C$6:$G$35,4,0)),"------"))</f>
        <v>未入力</v>
      </c>
      <c r="G18" s="167" t="str">
        <f>IF(C18="","",IFERROR(IF(VLOOKUP(C18,'報告書② 第2年度(取組）'!$C$6:$G$35,5,0)="","未入力",VLOOKUP(C18,'報告書② 第2年度(取組）'!$C$6:$G$35,5,0)),"------"))</f>
        <v>未入力</v>
      </c>
      <c r="H18" s="122"/>
    </row>
    <row r="19" spans="1:8" ht="82.35" customHeight="1">
      <c r="A19" s="142">
        <v>14</v>
      </c>
      <c r="B19" s="121" t="s">
        <v>103</v>
      </c>
      <c r="C19" s="121" t="s">
        <v>5004</v>
      </c>
      <c r="D19" s="121" t="s">
        <v>5005</v>
      </c>
      <c r="E19" s="139" t="str">
        <f>IF('計画書② (取組）'!E18="","",'計画書② (取組）'!E18)</f>
        <v/>
      </c>
      <c r="F19" s="167" t="str">
        <f>IF(C19="","",IFERROR(IF(VLOOKUP(C19,'報告書② 第2年度(取組）'!$C$6:$G48,4,0)="","未入力",VLOOKUP(C19,'報告書② 第2年度(取組）'!$C$6:$G$35,4,0)),"------"))</f>
        <v>未入力</v>
      </c>
      <c r="G19" s="167" t="str">
        <f>IF(C19="","",IFERROR(IF(VLOOKUP(C19,'報告書② 第2年度(取組）'!$C$6:$G$35,5,0)="","未入力",VLOOKUP(C19,'報告書② 第2年度(取組）'!$C$6:$G$35,5,0)),"------"))</f>
        <v>未入力</v>
      </c>
      <c r="H19" s="122"/>
    </row>
    <row r="20" spans="1:8" ht="82.35" customHeight="1">
      <c r="A20" s="142">
        <v>15</v>
      </c>
      <c r="B20" s="121" t="s">
        <v>103</v>
      </c>
      <c r="C20" s="121" t="s">
        <v>4054</v>
      </c>
      <c r="D20" s="121" t="s">
        <v>4349</v>
      </c>
      <c r="E20" s="139" t="str">
        <f>IF('計画書② (取組）'!E19="","",'計画書② (取組）'!E19)</f>
        <v/>
      </c>
      <c r="F20" s="167" t="str">
        <f>IF(C20="","",IFERROR(IF(VLOOKUP(C20,'報告書② 第2年度(取組）'!$C$6:$G49,4,0)="","未入力",VLOOKUP(C20,'報告書② 第2年度(取組）'!$C$6:$G$35,4,0)),"------"))</f>
        <v>未入力</v>
      </c>
      <c r="G20" s="167" t="str">
        <f>IF(C20="","",IFERROR(IF(VLOOKUP(C20,'報告書② 第2年度(取組）'!$C$6:$G$35,5,0)="","未入力",VLOOKUP(C20,'報告書② 第2年度(取組）'!$C$6:$G$35,5,0)),"------"))</f>
        <v>未入力</v>
      </c>
      <c r="H20" s="122"/>
    </row>
    <row r="21" spans="1:8" ht="82.35" customHeight="1">
      <c r="A21" s="142">
        <v>16</v>
      </c>
      <c r="B21" s="121" t="s">
        <v>104</v>
      </c>
      <c r="C21" s="121" t="s">
        <v>4055</v>
      </c>
      <c r="D21" s="121" t="s">
        <v>4390</v>
      </c>
      <c r="E21" s="139" t="str">
        <f>IF('計画書② (取組）'!E20="","",'計画書② (取組）'!E20)</f>
        <v/>
      </c>
      <c r="F21" s="167" t="str">
        <f>IF(C21="","",IFERROR(IF(VLOOKUP(C21,'報告書② 第2年度(取組）'!$C$6:$G50,4,0)="","未入力",VLOOKUP(C21,'報告書② 第2年度(取組）'!$C$6:$G$35,4,0)),"------"))</f>
        <v>未入力</v>
      </c>
      <c r="G21" s="167" t="str">
        <f>IF(C21="","",IFERROR(IF(VLOOKUP(C21,'報告書② 第2年度(取組）'!$C$6:$G$35,5,0)="","未入力",VLOOKUP(C21,'報告書② 第2年度(取組）'!$C$6:$G$35,5,0)),"------"))</f>
        <v>未入力</v>
      </c>
      <c r="H21" s="122"/>
    </row>
    <row r="22" spans="1:8" ht="82.35" customHeight="1">
      <c r="A22" s="142">
        <v>17</v>
      </c>
      <c r="B22" s="121" t="s">
        <v>104</v>
      </c>
      <c r="C22" s="121" t="s">
        <v>4056</v>
      </c>
      <c r="D22" s="121" t="s">
        <v>4350</v>
      </c>
      <c r="E22" s="139" t="str">
        <f>IF('計画書② (取組）'!E21="","",'計画書② (取組）'!E21)</f>
        <v/>
      </c>
      <c r="F22" s="167" t="str">
        <f>IF(C22="","",IFERROR(IF(VLOOKUP(C22,'報告書② 第2年度(取組）'!$C$6:$G51,4,0)="","未入力",VLOOKUP(C22,'報告書② 第2年度(取組）'!$C$6:$G$35,4,0)),"------"))</f>
        <v>未入力</v>
      </c>
      <c r="G22" s="167" t="str">
        <f>IF(C22="","",IFERROR(IF(VLOOKUP(C22,'報告書② 第2年度(取組）'!$C$6:$G$35,5,0)="","未入力",VLOOKUP(C22,'報告書② 第2年度(取組）'!$C$6:$G$35,5,0)),"------"))</f>
        <v>未入力</v>
      </c>
      <c r="H22" s="122"/>
    </row>
    <row r="23" spans="1:8" ht="82.35" customHeight="1">
      <c r="A23" s="142">
        <v>18</v>
      </c>
      <c r="B23" s="121" t="s">
        <v>104</v>
      </c>
      <c r="C23" s="121" t="s">
        <v>4057</v>
      </c>
      <c r="D23" s="121" t="s">
        <v>5006</v>
      </c>
      <c r="E23" s="139" t="str">
        <f>IF('計画書② (取組）'!E22="","",'計画書② (取組）'!E22)</f>
        <v/>
      </c>
      <c r="F23" s="167" t="str">
        <f>IF(C23="","",IFERROR(IF(VLOOKUP(C23,'報告書② 第2年度(取組）'!$C$6:$G52,4,0)="","未入力",VLOOKUP(C23,'報告書② 第2年度(取組）'!$C$6:$G$35,4,0)),"------"))</f>
        <v>未入力</v>
      </c>
      <c r="G23" s="167" t="str">
        <f>IF(C23="","",IFERROR(IF(VLOOKUP(C23,'報告書② 第2年度(取組）'!$C$6:$G$35,5,0)="","未入力",VLOOKUP(C23,'報告書② 第2年度(取組）'!$C$6:$G$35,5,0)),"------"))</f>
        <v>未入力</v>
      </c>
      <c r="H23" s="122"/>
    </row>
    <row r="24" spans="1:8" ht="82.35" customHeight="1">
      <c r="A24" s="142">
        <v>19</v>
      </c>
      <c r="B24" s="121" t="s">
        <v>105</v>
      </c>
      <c r="C24" s="121" t="s">
        <v>4058</v>
      </c>
      <c r="D24" s="121" t="s">
        <v>4351</v>
      </c>
      <c r="E24" s="139" t="str">
        <f>IF('計画書② (取組）'!E23="","",'計画書② (取組）'!E23)</f>
        <v/>
      </c>
      <c r="F24" s="167" t="str">
        <f>IF(C24="","",IFERROR(IF(VLOOKUP(C24,'報告書② 第2年度(取組）'!$C$6:$G53,4,0)="","未入力",VLOOKUP(C24,'報告書② 第2年度(取組）'!$C$6:$G$35,4,0)),"------"))</f>
        <v>未入力</v>
      </c>
      <c r="G24" s="167" t="str">
        <f>IF(C24="","",IFERROR(IF(VLOOKUP(C24,'報告書② 第2年度(取組）'!$C$6:$G$35,5,0)="","未入力",VLOOKUP(C24,'報告書② 第2年度(取組）'!$C$6:$G$35,5,0)),"------"))</f>
        <v>未入力</v>
      </c>
      <c r="H24" s="122"/>
    </row>
    <row r="25" spans="1:8" ht="82.35" customHeight="1">
      <c r="A25" s="147">
        <v>20</v>
      </c>
      <c r="B25" s="130" t="s">
        <v>106</v>
      </c>
      <c r="C25" s="156" t="s">
        <v>4059</v>
      </c>
      <c r="D25" s="156" t="s">
        <v>4352</v>
      </c>
      <c r="E25" s="139" t="str">
        <f>IF('計画書② (取組）'!E24="","",'計画書② (取組）'!E24)</f>
        <v/>
      </c>
      <c r="F25" s="167" t="str">
        <f>IF(C25="","",IFERROR(IF(VLOOKUP(C25,'報告書② 第2年度(取組）'!$C$6:$G54,4,0)="","未入力",VLOOKUP(C25,'報告書② 第2年度(取組）'!$C$6:$G$35,4,0)),"------"))</f>
        <v>未入力</v>
      </c>
      <c r="G25" s="167" t="str">
        <f>IF(C25="","",IFERROR(IF(VLOOKUP(C25,'報告書② 第2年度(取組）'!$C$6:$G$35,5,0)="","未入力",VLOOKUP(C25,'報告書② 第2年度(取組）'!$C$6:$G$35,5,0)),"------"))</f>
        <v>未入力</v>
      </c>
      <c r="H25" s="122"/>
    </row>
    <row r="26" spans="1:8" ht="82.35" customHeight="1">
      <c r="A26" s="147">
        <v>21</v>
      </c>
      <c r="B26" s="130" t="s">
        <v>106</v>
      </c>
      <c r="C26" s="156" t="s">
        <v>4060</v>
      </c>
      <c r="D26" s="156" t="s">
        <v>4353</v>
      </c>
      <c r="E26" s="139" t="str">
        <f>IF('計画書② (取組）'!E25="","",'計画書② (取組）'!E25)</f>
        <v/>
      </c>
      <c r="F26" s="167" t="str">
        <f>IF(C26="","",IFERROR(IF(VLOOKUP(C26,'報告書② 第2年度(取組）'!$C$6:$G55,4,0)="","未入力",VLOOKUP(C26,'報告書② 第2年度(取組）'!$C$6:$G$35,4,0)),"------"))</f>
        <v>未入力</v>
      </c>
      <c r="G26" s="167" t="str">
        <f>IF(C26="","",IFERROR(IF(VLOOKUP(C26,'報告書② 第2年度(取組）'!$C$6:$G$35,5,0)="","未入力",VLOOKUP(C26,'報告書② 第2年度(取組）'!$C$6:$G$35,5,0)),"------"))</f>
        <v>未入力</v>
      </c>
      <c r="H26" s="122"/>
    </row>
    <row r="27" spans="1:8" ht="82.35" customHeight="1">
      <c r="A27" s="147">
        <v>22</v>
      </c>
      <c r="B27" s="130" t="s">
        <v>106</v>
      </c>
      <c r="C27" s="156" t="s">
        <v>4061</v>
      </c>
      <c r="D27" s="156" t="s">
        <v>4354</v>
      </c>
      <c r="E27" s="139" t="str">
        <f>IF('計画書② (取組）'!E26="","",'計画書② (取組）'!E26)</f>
        <v/>
      </c>
      <c r="F27" s="167" t="str">
        <f>IF(C27="","",IFERROR(IF(VLOOKUP(C27,'報告書② 第2年度(取組）'!$C$6:$G56,4,0)="","未入力",VLOOKUP(C27,'報告書② 第2年度(取組）'!$C$6:$G$35,4,0)),"------"))</f>
        <v>未入力</v>
      </c>
      <c r="G27" s="167" t="str">
        <f>IF(C27="","",IFERROR(IF(VLOOKUP(C27,'報告書② 第2年度(取組）'!$C$6:$G$35,5,0)="","未入力",VLOOKUP(C27,'報告書② 第2年度(取組）'!$C$6:$G$35,5,0)),"------"))</f>
        <v>未入力</v>
      </c>
      <c r="H27" s="122"/>
    </row>
    <row r="28" spans="1:8" ht="82.35" customHeight="1">
      <c r="A28" s="147">
        <v>23</v>
      </c>
      <c r="B28" s="130" t="s">
        <v>107</v>
      </c>
      <c r="C28" s="156" t="s">
        <v>4062</v>
      </c>
      <c r="D28" s="156" t="s">
        <v>5007</v>
      </c>
      <c r="E28" s="139" t="str">
        <f>IF('計画書② (取組）'!E27="","",'計画書② (取組）'!E27)</f>
        <v/>
      </c>
      <c r="F28" s="167" t="str">
        <f>IF(C28="","",IFERROR(IF(VLOOKUP(C28,'報告書② 第2年度(取組）'!$C$6:$G57,4,0)="","未入力",VLOOKUP(C28,'報告書② 第2年度(取組）'!$C$6:$G$35,4,0)),"------"))</f>
        <v>未入力</v>
      </c>
      <c r="G28" s="167" t="str">
        <f>IF(C28="","",IFERROR(IF(VLOOKUP(C28,'報告書② 第2年度(取組）'!$C$6:$G$35,5,0)="","未入力",VLOOKUP(C28,'報告書② 第2年度(取組）'!$C$6:$G$35,5,0)),"------"))</f>
        <v>未入力</v>
      </c>
      <c r="H28" s="122"/>
    </row>
    <row r="29" spans="1:8" ht="82.35" customHeight="1">
      <c r="A29" s="147">
        <v>24</v>
      </c>
      <c r="B29" s="130" t="s">
        <v>107</v>
      </c>
      <c r="C29" s="156" t="s">
        <v>5180</v>
      </c>
      <c r="D29" s="156" t="s">
        <v>5008</v>
      </c>
      <c r="E29" s="139" t="str">
        <f>IF('計画書② (取組）'!E28="","",'計画書② (取組）'!E28)</f>
        <v/>
      </c>
      <c r="F29" s="167" t="str">
        <f>IF(C29="","",IFERROR(IF(VLOOKUP(C29,'報告書② 第2年度(取組）'!$C$6:$G58,4,0)="","未入力",VLOOKUP(C29,'報告書② 第2年度(取組）'!$C$6:$G$35,4,0)),"------"))</f>
        <v>未入力</v>
      </c>
      <c r="G29" s="167" t="str">
        <f>IF(C29="","",IFERROR(IF(VLOOKUP(C29,'報告書② 第2年度(取組）'!$C$6:$G$35,5,0)="","未入力",VLOOKUP(C29,'報告書② 第2年度(取組）'!$C$6:$G$35,5,0)),"------"))</f>
        <v>未入力</v>
      </c>
      <c r="H29" s="122"/>
    </row>
    <row r="30" spans="1:8" ht="82.35" customHeight="1">
      <c r="A30" s="147">
        <v>25</v>
      </c>
      <c r="B30" s="130" t="s">
        <v>108</v>
      </c>
      <c r="C30" s="156" t="s">
        <v>4063</v>
      </c>
      <c r="D30" s="156" t="s">
        <v>4355</v>
      </c>
      <c r="E30" s="139" t="str">
        <f>IF('計画書② (取組）'!E29="","",'計画書② (取組）'!E29)</f>
        <v/>
      </c>
      <c r="F30" s="167" t="str">
        <f>IF(C30="","",IFERROR(IF(VLOOKUP(C30,'報告書② 第2年度(取組）'!$C$6:$G59,4,0)="","未入力",VLOOKUP(C30,'報告書② 第2年度(取組）'!$C$6:$G$35,4,0)),"------"))</f>
        <v>未入力</v>
      </c>
      <c r="G30" s="167" t="str">
        <f>IF(C30="","",IFERROR(IF(VLOOKUP(C30,'報告書② 第2年度(取組）'!$C$6:$G$35,5,0)="","未入力",VLOOKUP(C30,'報告書② 第2年度(取組）'!$C$6:$G$35,5,0)),"------"))</f>
        <v>未入力</v>
      </c>
      <c r="H30" s="122"/>
    </row>
    <row r="31" spans="1:8" ht="82.35" customHeight="1">
      <c r="A31" s="147">
        <v>26</v>
      </c>
      <c r="B31" s="130" t="s">
        <v>109</v>
      </c>
      <c r="C31" s="156" t="s">
        <v>4064</v>
      </c>
      <c r="D31" s="156" t="s">
        <v>4356</v>
      </c>
      <c r="E31" s="139" t="str">
        <f>IF('計画書② (取組）'!E30="","",'計画書② (取組）'!E30)</f>
        <v/>
      </c>
      <c r="F31" s="167" t="str">
        <f>IF(C31="","",IFERROR(IF(VLOOKUP(C31,'報告書② 第2年度(取組）'!$C$6:$G60,4,0)="","未入力",VLOOKUP(C31,'報告書② 第2年度(取組）'!$C$6:$G$35,4,0)),"------"))</f>
        <v>未入力</v>
      </c>
      <c r="G31" s="167" t="str">
        <f>IF(C31="","",IFERROR(IF(VLOOKUP(C31,'報告書② 第2年度(取組）'!$C$6:$G$35,5,0)="","未入力",VLOOKUP(C31,'報告書② 第2年度(取組）'!$C$6:$G$35,5,0)),"------"))</f>
        <v>未入力</v>
      </c>
      <c r="H31" s="122"/>
    </row>
    <row r="32" spans="1:8" ht="82.35" customHeight="1">
      <c r="A32" s="147">
        <v>27</v>
      </c>
      <c r="B32" s="130" t="s">
        <v>110</v>
      </c>
      <c r="C32" s="156" t="s">
        <v>4065</v>
      </c>
      <c r="D32" s="156" t="s">
        <v>4357</v>
      </c>
      <c r="E32" s="139" t="str">
        <f>IF('計画書② (取組）'!E31="","",'計画書② (取組）'!E31)</f>
        <v/>
      </c>
      <c r="F32" s="167" t="str">
        <f>IF(C32="","",IFERROR(IF(VLOOKUP(C32,'報告書② 第2年度(取組）'!$C$6:$G61,4,0)="","未入力",VLOOKUP(C32,'報告書② 第2年度(取組）'!$C$6:$G$35,4,0)),"------"))</f>
        <v>未入力</v>
      </c>
      <c r="G32" s="167" t="str">
        <f>IF(C32="","",IFERROR(IF(VLOOKUP(C32,'報告書② 第2年度(取組）'!$C$6:$G$35,5,0)="","未入力",VLOOKUP(C32,'報告書② 第2年度(取組）'!$C$6:$G$35,5,0)),"------"))</f>
        <v>未入力</v>
      </c>
      <c r="H32" s="122"/>
    </row>
    <row r="33" spans="1:20" ht="82.35" customHeight="1">
      <c r="A33" s="147">
        <v>28</v>
      </c>
      <c r="B33" s="130" t="s">
        <v>111</v>
      </c>
      <c r="C33" s="156" t="s">
        <v>4066</v>
      </c>
      <c r="D33" s="156" t="s">
        <v>4358</v>
      </c>
      <c r="E33" s="139" t="str">
        <f>IF('計画書② (取組）'!E32="","",'計画書② (取組）'!E32)</f>
        <v/>
      </c>
      <c r="F33" s="167" t="str">
        <f>IF(C33="","",IFERROR(IF(VLOOKUP(C33,'報告書② 第2年度(取組）'!$C$6:$G62,4,0)="","未入力",VLOOKUP(C33,'報告書② 第2年度(取組）'!$C$6:$G$35,4,0)),"------"))</f>
        <v>未入力</v>
      </c>
      <c r="G33" s="167" t="str">
        <f>IF(C33="","",IFERROR(IF(VLOOKUP(C33,'報告書② 第2年度(取組）'!$C$6:$G$35,5,0)="","未入力",VLOOKUP(C33,'報告書② 第2年度(取組）'!$C$6:$G$35,5,0)),"------"))</f>
        <v>未入力</v>
      </c>
      <c r="H33" s="122"/>
    </row>
    <row r="34" spans="1:20" ht="82.35" customHeight="1">
      <c r="A34" s="147">
        <v>29</v>
      </c>
      <c r="B34" s="130" t="s">
        <v>3112</v>
      </c>
      <c r="C34" s="156" t="s">
        <v>4067</v>
      </c>
      <c r="D34" s="156" t="s">
        <v>4359</v>
      </c>
      <c r="E34" s="139" t="str">
        <f>IF('計画書② (取組）'!E33="","",'計画書② (取組）'!E33)</f>
        <v/>
      </c>
      <c r="F34" s="167" t="str">
        <f>IF(C34="","",IFERROR(IF(VLOOKUP(C34,'報告書② 第2年度(取組）'!$C$6:$G63,4,0)="","未入力",VLOOKUP(C34,'報告書② 第2年度(取組）'!$C$6:$G$35,4,0)),"------"))</f>
        <v>未入力</v>
      </c>
      <c r="G34" s="167" t="str">
        <f>IF(C34="","",IFERROR(IF(VLOOKUP(C34,'報告書② 第2年度(取組）'!$C$6:$G$35,5,0)="","未入力",VLOOKUP(C34,'報告書② 第2年度(取組）'!$C$6:$G$35,5,0)),"------"))</f>
        <v>未入力</v>
      </c>
      <c r="H34" s="122"/>
    </row>
    <row r="35" spans="1:20" ht="82.35" customHeight="1">
      <c r="A35" s="147">
        <v>30</v>
      </c>
      <c r="B35" s="130" t="s">
        <v>3112</v>
      </c>
      <c r="C35" s="156" t="s">
        <v>4068</v>
      </c>
      <c r="D35" s="156" t="s">
        <v>4360</v>
      </c>
      <c r="E35" s="139" t="str">
        <f>IF('計画書② (取組）'!E34="","",'計画書② (取組）'!E34)</f>
        <v/>
      </c>
      <c r="F35" s="167" t="str">
        <f>IF(C35="","",IFERROR(IF(VLOOKUP(C35,'報告書② 第2年度(取組）'!$C$6:$G64,4,0)="","未入力",VLOOKUP(C35,'報告書② 第2年度(取組）'!$C$6:$G$35,4,0)),"------"))</f>
        <v>未入力</v>
      </c>
      <c r="G35" s="167" t="str">
        <f>IF(C35="","",IFERROR(IF(VLOOKUP(C35,'報告書② 第2年度(取組）'!$C$6:$G$35,5,0)="","未入力",VLOOKUP(C35,'報告書② 第2年度(取組）'!$C$6:$G$35,5,0)),"------"))</f>
        <v>未入力</v>
      </c>
      <c r="H35" s="122"/>
    </row>
    <row r="37" spans="1:20">
      <c r="A37" s="22" t="s">
        <v>4183</v>
      </c>
    </row>
    <row r="38" spans="1:20" ht="90" customHeight="1">
      <c r="A38" s="838" t="s">
        <v>4154</v>
      </c>
      <c r="B38" s="838"/>
      <c r="C38" s="838"/>
      <c r="D38" s="956" t="str">
        <f>'報告書② 第1年度(取組）'!D38:F38&amp;""</f>
        <v/>
      </c>
      <c r="E38" s="956"/>
      <c r="F38" s="956"/>
    </row>
    <row r="39" spans="1:20" ht="90" customHeight="1">
      <c r="A39" s="838" t="s">
        <v>4159</v>
      </c>
      <c r="B39" s="838"/>
      <c r="C39" s="838"/>
      <c r="D39" s="956" t="str">
        <f>'報告書② 第2年度(取組）'!D39:F39&amp;""</f>
        <v/>
      </c>
      <c r="E39" s="956"/>
      <c r="F39" s="956"/>
    </row>
    <row r="40" spans="1:20" ht="90" customHeight="1">
      <c r="A40" s="838" t="s">
        <v>4160</v>
      </c>
      <c r="B40" s="838"/>
      <c r="C40" s="838"/>
      <c r="D40" s="950"/>
      <c r="E40" s="950"/>
      <c r="F40" s="950"/>
    </row>
    <row r="42" spans="1:20">
      <c r="A42" s="109" t="s">
        <v>4184</v>
      </c>
      <c r="B42" s="109"/>
    </row>
    <row r="43" spans="1:20" ht="13.35" customHeight="1">
      <c r="A43" s="951" t="s">
        <v>97</v>
      </c>
      <c r="B43" s="952" t="s">
        <v>100</v>
      </c>
      <c r="C43" s="953" t="s">
        <v>98</v>
      </c>
      <c r="D43" s="953" t="s">
        <v>99</v>
      </c>
      <c r="E43" s="687" t="s">
        <v>4166</v>
      </c>
      <c r="F43" s="957"/>
      <c r="G43" s="957"/>
      <c r="H43" s="688"/>
      <c r="K43" s="22" t="s">
        <v>4165</v>
      </c>
    </row>
    <row r="44" spans="1:20" ht="33" customHeight="1">
      <c r="A44" s="951"/>
      <c r="B44" s="952"/>
      <c r="C44" s="953"/>
      <c r="D44" s="953"/>
      <c r="E44" s="138" t="s">
        <v>4161</v>
      </c>
      <c r="F44" s="138" t="s">
        <v>4154</v>
      </c>
      <c r="G44" s="138" t="s">
        <v>4159</v>
      </c>
      <c r="H44" s="138" t="s">
        <v>4160</v>
      </c>
      <c r="K44" s="22" t="s">
        <v>4422</v>
      </c>
      <c r="L44" s="22" t="s">
        <v>4415</v>
      </c>
      <c r="M44" s="22" t="s">
        <v>4416</v>
      </c>
      <c r="O44" s="22" t="s">
        <v>4417</v>
      </c>
      <c r="P44" s="22" t="s">
        <v>4415</v>
      </c>
      <c r="Q44" s="22" t="s">
        <v>4226</v>
      </c>
      <c r="R44" s="22" t="s">
        <v>4398</v>
      </c>
      <c r="S44" s="22" t="s">
        <v>4399</v>
      </c>
      <c r="T44" s="22" t="s">
        <v>4423</v>
      </c>
    </row>
    <row r="45" spans="1:20" ht="70.349999999999994" customHeight="1">
      <c r="A45" s="142">
        <v>1</v>
      </c>
      <c r="B45" s="143"/>
      <c r="C45" s="144" t="str">
        <f>対策リスト!AT2&amp;""</f>
        <v/>
      </c>
      <c r="D45" s="121" t="str">
        <f t="shared" ref="D45:D59" si="1">IFERROR(VLOOKUP(C45,選択対策,2,0),"")</f>
        <v/>
      </c>
      <c r="E45" s="139" t="str">
        <f>IF(C45="","",IFERROR(IF(VLOOKUP(C45,'報告書② 第2年度(取組）'!$C$45:$G$64,3,0)="","未入力",VLOOKUP(C45,'報告書② 第2年度(取組）'!$C$45:$G$64,3,0)),"------"))</f>
        <v/>
      </c>
      <c r="F45" s="167" t="str">
        <f>IF(C45="","",IFERROR(IF(VLOOKUP(C45,'報告書② 第2年度(取組）'!$C$45:$G$64,4,0)="","未入力",VLOOKUP(C45,'報告書② 第2年度(取組）'!$C$45:$G$64,4,0)),"------"))</f>
        <v/>
      </c>
      <c r="G45" s="167" t="str">
        <f>IF(C45="","",IFERROR(IF(VLOOKUP(C45,'報告書② 第2年度(取組）'!$C$45:$G$64,5,0)="","未入力",VLOOKUP(C45,'報告書② 第2年度(取組）'!$C$45:$G$64,5,0)),"------"))</f>
        <v/>
      </c>
      <c r="H45" s="122"/>
      <c r="K45" s="22" t="s">
        <v>4226</v>
      </c>
      <c r="L45" s="22">
        <f>COUNTIF($H$45:$H$64,$K45)</f>
        <v>0</v>
      </c>
      <c r="M45" s="22">
        <v>5</v>
      </c>
      <c r="O45" s="22" t="s">
        <v>4412</v>
      </c>
      <c r="P45" s="22" t="str">
        <f>IF($J$2&gt;0,SUM(Q45:S45),"")</f>
        <v/>
      </c>
      <c r="Q45" s="22" t="str">
        <f>IF($J$2&gt;0,COUNTIF($F$45:$F$64,Q$44),"")</f>
        <v/>
      </c>
      <c r="R45" s="22" t="str">
        <f>IF($J$2&gt;0,COUNTIF($F$45:$F$64,R$44),"")</f>
        <v/>
      </c>
      <c r="S45" s="22" t="str">
        <f>IF($J$2&gt;0,COUNTIF($F$45:$F$64,S$44),"")</f>
        <v/>
      </c>
      <c r="T45" s="22" t="str">
        <f>IF($J$2&gt;0,Q45*$M$45+R45*$M$46,"")</f>
        <v/>
      </c>
    </row>
    <row r="46" spans="1:20" ht="70.349999999999994" customHeight="1">
      <c r="A46" s="142">
        <v>2</v>
      </c>
      <c r="B46" s="143"/>
      <c r="C46" s="144" t="str">
        <f>対策リスト!AT3&amp;""</f>
        <v/>
      </c>
      <c r="D46" s="121" t="str">
        <f t="shared" si="1"/>
        <v/>
      </c>
      <c r="E46" s="139" t="str">
        <f>IF(C46="","",IFERROR(IF(VLOOKUP(C46,'報告書② 第2年度(取組）'!$C$45:$G$64,3,0)="","未入力",VLOOKUP(C46,'報告書② 第2年度(取組）'!$C$45:$G$64,3,0)),"------"))</f>
        <v/>
      </c>
      <c r="F46" s="167" t="str">
        <f>IF(C46="","",IFERROR(IF(VLOOKUP(C46,'報告書② 第2年度(取組）'!$C$45:$G$64,4,0)="","未入力",VLOOKUP(C46,'報告書② 第2年度(取組）'!$C$45:$G$64,4,0)),"------"))</f>
        <v/>
      </c>
      <c r="G46" s="167" t="str">
        <f>IF(C46="","",IFERROR(IF(VLOOKUP(C46,'報告書② 第2年度(取組）'!$C$45:$G$64,5,0)="","未入力",VLOOKUP(C46,'報告書② 第2年度(取組）'!$C$45:$G$64,5,0)),"------"))</f>
        <v/>
      </c>
      <c r="H46" s="122"/>
      <c r="K46" s="22" t="s">
        <v>4398</v>
      </c>
      <c r="L46" s="22">
        <f>COUNTIF($H$45:$H$64,$K46)</f>
        <v>0</v>
      </c>
      <c r="M46" s="22">
        <v>3</v>
      </c>
      <c r="O46" s="22" t="s">
        <v>4406</v>
      </c>
      <c r="P46" s="22" t="str">
        <f>IF($J$2&gt;1,SUM(Q46:S46),"")</f>
        <v/>
      </c>
      <c r="Q46" s="22" t="str">
        <f>IF($J$2&gt;1,COUNTIF($G$45:$G$64,Q$44),"")</f>
        <v/>
      </c>
      <c r="R46" s="22" t="str">
        <f>IF($J$2&gt;1,COUNTIF($G$45:$G$64,R$44),"")</f>
        <v/>
      </c>
      <c r="S46" s="22" t="str">
        <f>IF($J$2&gt;1,COUNTIF($G$45:$G$64,S$44),"")</f>
        <v/>
      </c>
      <c r="T46" s="22" t="str">
        <f>IF($J$2&gt;1,Q46*$M$45+R46*$M$46,"")</f>
        <v/>
      </c>
    </row>
    <row r="47" spans="1:20" ht="70.349999999999994" customHeight="1">
      <c r="A47" s="142">
        <v>3</v>
      </c>
      <c r="B47" s="143"/>
      <c r="C47" s="144" t="str">
        <f>対策リスト!AT4&amp;""</f>
        <v/>
      </c>
      <c r="D47" s="121" t="str">
        <f t="shared" si="1"/>
        <v/>
      </c>
      <c r="E47" s="139" t="str">
        <f>IF(C47="","",IFERROR(IF(VLOOKUP(C47,'報告書② 第2年度(取組）'!$C$45:$G$64,3,0)="","未入力",VLOOKUP(C47,'報告書② 第2年度(取組）'!$C$45:$G$64,3,0)),"------"))</f>
        <v/>
      </c>
      <c r="F47" s="167" t="str">
        <f>IF(C47="","",IFERROR(IF(VLOOKUP(C47,'報告書② 第2年度(取組）'!$C$45:$G$64,4,0)="","未入力",VLOOKUP(C47,'報告書② 第2年度(取組）'!$C$45:$G$64,4,0)),"------"))</f>
        <v/>
      </c>
      <c r="G47" s="167" t="str">
        <f>IF(C47="","",IFERROR(IF(VLOOKUP(C47,'報告書② 第2年度(取組）'!$C$45:$G$64,5,0)="","未入力",VLOOKUP(C47,'報告書② 第2年度(取組）'!$C$45:$G$64,5,0)),"------"))</f>
        <v/>
      </c>
      <c r="H47" s="122"/>
      <c r="K47" s="22" t="s">
        <v>4399</v>
      </c>
      <c r="L47" s="22">
        <f>COUNTIF($H$45:$H$64,$K47)</f>
        <v>0</v>
      </c>
      <c r="M47" s="22">
        <v>0</v>
      </c>
      <c r="O47" s="22" t="s">
        <v>4407</v>
      </c>
      <c r="P47" s="22" t="str">
        <f>IF($J$2&gt;2,SUM(Q47:S47),"")</f>
        <v/>
      </c>
      <c r="Q47" s="22" t="str">
        <f>IF($J$2&gt;2,COUNTIF($H$45:$H$64,Q$44),"")</f>
        <v/>
      </c>
      <c r="R47" s="22" t="str">
        <f>IF($J$2&gt;2,COUNTIF($H$45:$H$64,R$44),"")</f>
        <v/>
      </c>
      <c r="S47" s="22" t="str">
        <f>IF($J$2&gt;2,COUNTIF($H$45:$H$64,S$44),"")</f>
        <v/>
      </c>
      <c r="T47" s="22" t="str">
        <f>IF($J$2&gt;2,Q47*$M$45+R47*$M$46,"")</f>
        <v/>
      </c>
    </row>
    <row r="48" spans="1:20" ht="70.349999999999994" customHeight="1">
      <c r="A48" s="142">
        <v>4</v>
      </c>
      <c r="B48" s="143"/>
      <c r="C48" s="144" t="str">
        <f>対策リスト!AT5&amp;""</f>
        <v/>
      </c>
      <c r="D48" s="121" t="str">
        <f t="shared" si="1"/>
        <v/>
      </c>
      <c r="E48" s="139" t="str">
        <f>IF(C48="","",IFERROR(IF(VLOOKUP(C48,'報告書② 第2年度(取組）'!$C$45:$G$64,3,0)="","未入力",VLOOKUP(C48,'報告書② 第2年度(取組）'!$C$45:$G$64,3,0)),"------"))</f>
        <v/>
      </c>
      <c r="F48" s="167" t="str">
        <f>IF(C48="","",IFERROR(IF(VLOOKUP(C48,'報告書② 第2年度(取組）'!$C$45:$G$64,4,0)="","未入力",VLOOKUP(C48,'報告書② 第2年度(取組）'!$C$45:$G$64,4,0)),"------"))</f>
        <v/>
      </c>
      <c r="G48" s="167" t="str">
        <f>IF(C48="","",IFERROR(IF(VLOOKUP(C48,'報告書② 第2年度(取組）'!$C$45:$G$64,5,0)="","未入力",VLOOKUP(C48,'報告書② 第2年度(取組）'!$C$45:$G$64,5,0)),"------"))</f>
        <v/>
      </c>
      <c r="H48" s="122"/>
      <c r="K48" s="22" t="s">
        <v>4419</v>
      </c>
      <c r="L48" s="22">
        <f>SUM(L45:L47)</f>
        <v>0</v>
      </c>
      <c r="M48" s="22">
        <v>50</v>
      </c>
      <c r="O48" s="22" t="s">
        <v>4420</v>
      </c>
      <c r="P48" s="22" t="str">
        <f>IFERROR(ROUNDUP(AVERAGE(P45:P47),0),"")</f>
        <v/>
      </c>
      <c r="Q48" s="22" t="str">
        <f>IFERROR(ROUNDUP(AVERAGE(Q45:Q47),0),"")</f>
        <v/>
      </c>
      <c r="R48" s="22" t="str">
        <f>IFERROR(ROUNDUP(AVERAGE(R45:R47),0),"")</f>
        <v/>
      </c>
      <c r="S48" s="22" t="str">
        <f>IFERROR(ROUNDUP(AVERAGE(S45:S47),0),"")</f>
        <v/>
      </c>
      <c r="T48" s="22" t="str">
        <f>IFERROR(ROUNDUP(AVERAGE(T45:T47),0),"")</f>
        <v/>
      </c>
    </row>
    <row r="49" spans="1:12" ht="70.349999999999994" customHeight="1">
      <c r="A49" s="142">
        <v>5</v>
      </c>
      <c r="B49" s="143"/>
      <c r="C49" s="144" t="str">
        <f>対策リスト!AT6&amp;""</f>
        <v/>
      </c>
      <c r="D49" s="121" t="str">
        <f t="shared" si="1"/>
        <v/>
      </c>
      <c r="E49" s="139" t="str">
        <f>IF(C49="","",IFERROR(IF(VLOOKUP(C49,'報告書② 第2年度(取組）'!$C$45:$G$64,3,0)="","未入力",VLOOKUP(C49,'報告書② 第2年度(取組）'!$C$45:$G$64,3,0)),"------"))</f>
        <v/>
      </c>
      <c r="F49" s="167" t="str">
        <f>IF(C49="","",IFERROR(IF(VLOOKUP(C49,'報告書② 第2年度(取組）'!$C$45:$G$64,4,0)="","未入力",VLOOKUP(C49,'報告書② 第2年度(取組）'!$C$45:$G$64,4,0)),"------"))</f>
        <v/>
      </c>
      <c r="G49" s="167" t="str">
        <f>IF(C49="","",IFERROR(IF(VLOOKUP(C49,'報告書② 第2年度(取組）'!$C$45:$G$64,5,0)="","未入力",VLOOKUP(C49,'報告書② 第2年度(取組）'!$C$45:$G$64,5,0)),"------"))</f>
        <v/>
      </c>
      <c r="H49" s="122"/>
      <c r="K49" s="22" t="s">
        <v>4424</v>
      </c>
      <c r="L49" s="22">
        <f>IF(L45*M45+L46*M46&gt;M48,M48,L45*M45+L46*M46)</f>
        <v>0</v>
      </c>
    </row>
    <row r="50" spans="1:12" ht="70.349999999999994" customHeight="1">
      <c r="A50" s="142">
        <v>6</v>
      </c>
      <c r="B50" s="143"/>
      <c r="C50" s="144" t="str">
        <f>対策リスト!AT7&amp;""</f>
        <v/>
      </c>
      <c r="D50" s="121" t="str">
        <f t="shared" si="1"/>
        <v/>
      </c>
      <c r="E50" s="139" t="str">
        <f>IF(C50="","",IFERROR(IF(VLOOKUP(C50,'報告書② 第2年度(取組）'!$C$45:$G$64,3,0)="","未入力",VLOOKUP(C50,'報告書② 第2年度(取組）'!$C$45:$G$64,3,0)),"------"))</f>
        <v/>
      </c>
      <c r="F50" s="167" t="str">
        <f>IF(C50="","",IFERROR(IF(VLOOKUP(C50,'報告書② 第2年度(取組）'!$C$45:$G$64,4,0)="","未入力",VLOOKUP(C50,'報告書② 第2年度(取組）'!$C$45:$G$64,4,0)),"------"))</f>
        <v/>
      </c>
      <c r="G50" s="167" t="str">
        <f>IF(C50="","",IFERROR(IF(VLOOKUP(C50,'報告書② 第2年度(取組）'!$C$45:$G$64,5,0)="","未入力",VLOOKUP(C50,'報告書② 第2年度(取組）'!$C$45:$G$64,5,0)),"------"))</f>
        <v/>
      </c>
      <c r="H50" s="122"/>
    </row>
    <row r="51" spans="1:12" ht="70.349999999999994" customHeight="1">
      <c r="A51" s="142">
        <v>7</v>
      </c>
      <c r="B51" s="143"/>
      <c r="C51" s="144" t="str">
        <f>対策リスト!AT8&amp;""</f>
        <v/>
      </c>
      <c r="D51" s="121" t="str">
        <f t="shared" si="1"/>
        <v/>
      </c>
      <c r="E51" s="139" t="str">
        <f>IF(C51="","",IFERROR(IF(VLOOKUP(C51,'報告書② 第2年度(取組）'!$C$45:$G$64,3,0)="","未入力",VLOOKUP(C51,'報告書② 第2年度(取組）'!$C$45:$G$64,3,0)),"------"))</f>
        <v/>
      </c>
      <c r="F51" s="167" t="str">
        <f>IF(C51="","",IFERROR(IF(VLOOKUP(C51,'報告書② 第2年度(取組）'!$C$45:$G$64,4,0)="","未入力",VLOOKUP(C51,'報告書② 第2年度(取組）'!$C$45:$G$64,4,0)),"------"))</f>
        <v/>
      </c>
      <c r="G51" s="167" t="str">
        <f>IF(C51="","",IFERROR(IF(VLOOKUP(C51,'報告書② 第2年度(取組）'!$C$45:$G$64,5,0)="","未入力",VLOOKUP(C51,'報告書② 第2年度(取組）'!$C$45:$G$64,5,0)),"------"))</f>
        <v/>
      </c>
      <c r="H51" s="122"/>
    </row>
    <row r="52" spans="1:12" ht="70.349999999999994" customHeight="1">
      <c r="A52" s="142">
        <v>8</v>
      </c>
      <c r="B52" s="143"/>
      <c r="C52" s="144" t="str">
        <f>対策リスト!AT9&amp;""</f>
        <v/>
      </c>
      <c r="D52" s="121" t="str">
        <f t="shared" si="1"/>
        <v/>
      </c>
      <c r="E52" s="139" t="str">
        <f>IF(C52="","",IFERROR(IF(VLOOKUP(C52,'報告書② 第2年度(取組）'!$C$45:$G$64,3,0)="","未入力",VLOOKUP(C52,'報告書② 第2年度(取組）'!$C$45:$G$64,3,0)),"------"))</f>
        <v/>
      </c>
      <c r="F52" s="167" t="str">
        <f>IF(C52="","",IFERROR(IF(VLOOKUP(C52,'報告書② 第2年度(取組）'!$C$45:$G$64,4,0)="","未入力",VLOOKUP(C52,'報告書② 第2年度(取組）'!$C$45:$G$64,4,0)),"------"))</f>
        <v/>
      </c>
      <c r="G52" s="167" t="str">
        <f>IF(C52="","",IFERROR(IF(VLOOKUP(C52,'報告書② 第2年度(取組）'!$C$45:$G$64,5,0)="","未入力",VLOOKUP(C52,'報告書② 第2年度(取組）'!$C$45:$G$64,5,0)),"------"))</f>
        <v/>
      </c>
      <c r="H52" s="122"/>
    </row>
    <row r="53" spans="1:12" ht="70.349999999999994" customHeight="1">
      <c r="A53" s="142">
        <v>9</v>
      </c>
      <c r="B53" s="143"/>
      <c r="C53" s="144" t="str">
        <f>対策リスト!AT10&amp;""</f>
        <v/>
      </c>
      <c r="D53" s="121" t="str">
        <f t="shared" si="1"/>
        <v/>
      </c>
      <c r="E53" s="139" t="str">
        <f>IF(C53="","",IFERROR(IF(VLOOKUP(C53,'報告書② 第2年度(取組）'!$C$45:$G$64,3,0)="","未入力",VLOOKUP(C53,'報告書② 第2年度(取組）'!$C$45:$G$64,3,0)),"------"))</f>
        <v/>
      </c>
      <c r="F53" s="167" t="str">
        <f>IF(C53="","",IFERROR(IF(VLOOKUP(C53,'報告書② 第2年度(取組）'!$C$45:$G$64,4,0)="","未入力",VLOOKUP(C53,'報告書② 第2年度(取組）'!$C$45:$G$64,4,0)),"------"))</f>
        <v/>
      </c>
      <c r="G53" s="167" t="str">
        <f>IF(C53="","",IFERROR(IF(VLOOKUP(C53,'報告書② 第2年度(取組）'!$C$45:$G$64,5,0)="","未入力",VLOOKUP(C53,'報告書② 第2年度(取組）'!$C$45:$G$64,5,0)),"------"))</f>
        <v/>
      </c>
      <c r="H53" s="122"/>
    </row>
    <row r="54" spans="1:12" ht="70.349999999999994" customHeight="1">
      <c r="A54" s="142">
        <v>10</v>
      </c>
      <c r="B54" s="143"/>
      <c r="C54" s="144" t="str">
        <f>対策リスト!AT11&amp;""</f>
        <v/>
      </c>
      <c r="D54" s="121" t="str">
        <f t="shared" si="1"/>
        <v/>
      </c>
      <c r="E54" s="139" t="str">
        <f>IF(C54="","",IFERROR(IF(VLOOKUP(C54,'報告書② 第2年度(取組）'!$C$45:$G$64,3,0)="","未入力",VLOOKUP(C54,'報告書② 第2年度(取組）'!$C$45:$G$64,3,0)),"------"))</f>
        <v/>
      </c>
      <c r="F54" s="167" t="str">
        <f>IF(C54="","",IFERROR(IF(VLOOKUP(C54,'報告書② 第2年度(取組）'!$C$45:$G$64,4,0)="","未入力",VLOOKUP(C54,'報告書② 第2年度(取組）'!$C$45:$G$64,4,0)),"------"))</f>
        <v/>
      </c>
      <c r="G54" s="167" t="str">
        <f>IF(C54="","",IFERROR(IF(VLOOKUP(C54,'報告書② 第2年度(取組）'!$C$45:$G$64,5,0)="","未入力",VLOOKUP(C54,'報告書② 第2年度(取組）'!$C$45:$G$64,5,0)),"------"))</f>
        <v/>
      </c>
      <c r="H54" s="122"/>
    </row>
    <row r="55" spans="1:12" ht="70.349999999999994" customHeight="1">
      <c r="A55" s="142">
        <v>11</v>
      </c>
      <c r="B55" s="143"/>
      <c r="C55" s="144" t="str">
        <f>対策リスト!AT12&amp;""</f>
        <v/>
      </c>
      <c r="D55" s="121" t="str">
        <f t="shared" si="1"/>
        <v/>
      </c>
      <c r="E55" s="139" t="str">
        <f>IF(C55="","",IFERROR(IF(VLOOKUP(C55,'報告書② 第2年度(取組）'!$C$45:$G$64,3,0)="","未入力",VLOOKUP(C55,'報告書② 第2年度(取組）'!$C$45:$G$64,3,0)),"------"))</f>
        <v/>
      </c>
      <c r="F55" s="167" t="str">
        <f>IF(C55="","",IFERROR(IF(VLOOKUP(C55,'報告書② 第2年度(取組）'!$C$45:$G$64,4,0)="","未入力",VLOOKUP(C55,'報告書② 第2年度(取組）'!$C$45:$G$64,4,0)),"------"))</f>
        <v/>
      </c>
      <c r="G55" s="167" t="str">
        <f>IF(C55="","",IFERROR(IF(VLOOKUP(C55,'報告書② 第2年度(取組）'!$C$45:$G$64,5,0)="","未入力",VLOOKUP(C55,'報告書② 第2年度(取組）'!$C$45:$G$64,5,0)),"------"))</f>
        <v/>
      </c>
      <c r="H55" s="122"/>
    </row>
    <row r="56" spans="1:12" ht="70.349999999999994" customHeight="1">
      <c r="A56" s="142">
        <v>12</v>
      </c>
      <c r="B56" s="143"/>
      <c r="C56" s="144" t="str">
        <f>対策リスト!AT13&amp;""</f>
        <v/>
      </c>
      <c r="D56" s="121" t="str">
        <f t="shared" si="1"/>
        <v/>
      </c>
      <c r="E56" s="139" t="str">
        <f>IF(C56="","",IFERROR(IF(VLOOKUP(C56,'報告書② 第2年度(取組）'!$C$45:$G$64,3,0)="","未入力",VLOOKUP(C56,'報告書② 第2年度(取組）'!$C$45:$G$64,3,0)),"------"))</f>
        <v/>
      </c>
      <c r="F56" s="167" t="str">
        <f>IF(C56="","",IFERROR(IF(VLOOKUP(C56,'報告書② 第2年度(取組）'!$C$45:$G$64,4,0)="","未入力",VLOOKUP(C56,'報告書② 第2年度(取組）'!$C$45:$G$64,4,0)),"------"))</f>
        <v/>
      </c>
      <c r="G56" s="167" t="str">
        <f>IF(C56="","",IFERROR(IF(VLOOKUP(C56,'報告書② 第2年度(取組）'!$C$45:$G$64,5,0)="","未入力",VLOOKUP(C56,'報告書② 第2年度(取組）'!$C$45:$G$64,5,0)),"------"))</f>
        <v/>
      </c>
      <c r="H56" s="122"/>
    </row>
    <row r="57" spans="1:12" ht="70.349999999999994" customHeight="1">
      <c r="A57" s="142">
        <v>13</v>
      </c>
      <c r="B57" s="143"/>
      <c r="C57" s="144" t="str">
        <f>対策リスト!AT14&amp;""</f>
        <v/>
      </c>
      <c r="D57" s="121" t="str">
        <f t="shared" si="1"/>
        <v/>
      </c>
      <c r="E57" s="139" t="str">
        <f>IF(C57="","",IFERROR(IF(VLOOKUP(C57,'報告書② 第2年度(取組）'!$C$45:$G$64,3,0)="","未入力",VLOOKUP(C57,'報告書② 第2年度(取組）'!$C$45:$G$64,3,0)),"------"))</f>
        <v/>
      </c>
      <c r="F57" s="167" t="str">
        <f>IF(C57="","",IFERROR(IF(VLOOKUP(C57,'報告書② 第2年度(取組）'!$C$45:$G$64,4,0)="","未入力",VLOOKUP(C57,'報告書② 第2年度(取組）'!$C$45:$G$64,4,0)),"------"))</f>
        <v/>
      </c>
      <c r="G57" s="167" t="str">
        <f>IF(C57="","",IFERROR(IF(VLOOKUP(C57,'報告書② 第2年度(取組）'!$C$45:$G$64,5,0)="","未入力",VLOOKUP(C57,'報告書② 第2年度(取組）'!$C$45:$G$64,5,0)),"------"))</f>
        <v/>
      </c>
      <c r="H57" s="122"/>
    </row>
    <row r="58" spans="1:12" ht="70.349999999999994" customHeight="1">
      <c r="A58" s="142">
        <v>14</v>
      </c>
      <c r="B58" s="143"/>
      <c r="C58" s="144" t="str">
        <f>対策リスト!AT15&amp;""</f>
        <v/>
      </c>
      <c r="D58" s="121" t="str">
        <f t="shared" si="1"/>
        <v/>
      </c>
      <c r="E58" s="139" t="str">
        <f>IF(C58="","",IFERROR(IF(VLOOKUP(C58,'報告書② 第2年度(取組）'!$C$45:$G$64,3,0)="","未入力",VLOOKUP(C58,'報告書② 第2年度(取組）'!$C$45:$G$64,3,0)),"------"))</f>
        <v/>
      </c>
      <c r="F58" s="167" t="str">
        <f>IF(C58="","",IFERROR(IF(VLOOKUP(C58,'報告書② 第2年度(取組）'!$C$45:$G$64,4,0)="","未入力",VLOOKUP(C58,'報告書② 第2年度(取組）'!$C$45:$G$64,4,0)),"------"))</f>
        <v/>
      </c>
      <c r="G58" s="167" t="str">
        <f>IF(C58="","",IFERROR(IF(VLOOKUP(C58,'報告書② 第2年度(取組）'!$C$45:$G$64,5,0)="","未入力",VLOOKUP(C58,'報告書② 第2年度(取組）'!$C$45:$G$64,5,0)),"------"))</f>
        <v/>
      </c>
      <c r="H58" s="122"/>
    </row>
    <row r="59" spans="1:12" ht="70.349999999999994" customHeight="1">
      <c r="A59" s="142">
        <v>15</v>
      </c>
      <c r="B59" s="143"/>
      <c r="C59" s="144" t="str">
        <f>対策リスト!AT16&amp;""</f>
        <v/>
      </c>
      <c r="D59" s="121" t="str">
        <f t="shared" si="1"/>
        <v/>
      </c>
      <c r="E59" s="139" t="str">
        <f>IF(C59="","",IFERROR(IF(VLOOKUP(C59,'報告書② 第2年度(取組）'!$C$45:$G$64,3,0)="","未入力",VLOOKUP(C59,'報告書② 第2年度(取組）'!$C$45:$G$64,3,0)),"------"))</f>
        <v/>
      </c>
      <c r="F59" s="167" t="str">
        <f>IF(C59="","",IFERROR(IF(VLOOKUP(C59,'報告書② 第2年度(取組）'!$C$45:$G$64,4,0)="","未入力",VLOOKUP(C59,'報告書② 第2年度(取組）'!$C$45:$G$64,4,0)),"------"))</f>
        <v/>
      </c>
      <c r="G59" s="167" t="str">
        <f>IF(C59="","",IFERROR(IF(VLOOKUP(C59,'報告書② 第2年度(取組）'!$C$45:$G$64,5,0)="","未入力",VLOOKUP(C59,'報告書② 第2年度(取組）'!$C$45:$G$64,5,0)),"------"))</f>
        <v/>
      </c>
      <c r="H59" s="122"/>
    </row>
    <row r="60" spans="1:12" ht="70.349999999999994" customHeight="1">
      <c r="A60" s="142">
        <v>16</v>
      </c>
      <c r="B60" s="143"/>
      <c r="C60" s="144" t="str">
        <f>対策リスト!AT17&amp;""</f>
        <v/>
      </c>
      <c r="D60" s="121" t="str">
        <f>IFERROR(VLOOKUP(C60,選択対策,2,0),"")</f>
        <v/>
      </c>
      <c r="E60" s="139" t="str">
        <f>IF(C60="","",IFERROR(IF(VLOOKUP(C60,'報告書② 第2年度(取組）'!$C$45:$G$64,3,0)="","未入力",VLOOKUP(C60,'報告書② 第2年度(取組）'!$C$45:$G$64,3,0)),"------"))</f>
        <v/>
      </c>
      <c r="F60" s="167" t="str">
        <f>IF(C60="","",IFERROR(IF(VLOOKUP(C60,'報告書② 第2年度(取組）'!$C$45:$G$64,4,0)="","未入力",VLOOKUP(C60,'報告書② 第2年度(取組）'!$C$45:$G$64,4,0)),"------"))</f>
        <v/>
      </c>
      <c r="G60" s="167" t="str">
        <f>IF(C60="","",IFERROR(IF(VLOOKUP(C60,'報告書② 第2年度(取組）'!$C$45:$G$64,5,0)="","未入力",VLOOKUP(C60,'報告書② 第2年度(取組）'!$C$45:$G$64,5,0)),"------"))</f>
        <v/>
      </c>
      <c r="H60" s="122"/>
    </row>
    <row r="61" spans="1:12" ht="70.349999999999994" customHeight="1">
      <c r="A61" s="142">
        <v>17</v>
      </c>
      <c r="B61" s="143"/>
      <c r="C61" s="144" t="str">
        <f>対策リスト!AT18&amp;""</f>
        <v/>
      </c>
      <c r="D61" s="121" t="str">
        <f>IFERROR(VLOOKUP(C61,選択対策,2,0),"")</f>
        <v/>
      </c>
      <c r="E61" s="139" t="str">
        <f>IF(C61="","",IFERROR(IF(VLOOKUP(C61,'報告書② 第2年度(取組）'!$C$45:$G$64,3,0)="","未入力",VLOOKUP(C61,'報告書② 第2年度(取組）'!$C$45:$G$64,3,0)),"------"))</f>
        <v/>
      </c>
      <c r="F61" s="167" t="str">
        <f>IF(C61="","",IFERROR(IF(VLOOKUP(C61,'報告書② 第2年度(取組）'!$C$45:$G$64,4,0)="","未入力",VLOOKUP(C61,'報告書② 第2年度(取組）'!$C$45:$G$64,4,0)),"------"))</f>
        <v/>
      </c>
      <c r="G61" s="167" t="str">
        <f>IF(C61="","",IFERROR(IF(VLOOKUP(C61,'報告書② 第2年度(取組）'!$C$45:$G$64,5,0)="","未入力",VLOOKUP(C61,'報告書② 第2年度(取組）'!$C$45:$G$64,5,0)),"------"))</f>
        <v/>
      </c>
      <c r="H61" s="122"/>
    </row>
    <row r="62" spans="1:12" ht="70.349999999999994" customHeight="1">
      <c r="A62" s="142">
        <v>18</v>
      </c>
      <c r="B62" s="143"/>
      <c r="C62" s="144" t="str">
        <f>対策リスト!AT19&amp;""</f>
        <v/>
      </c>
      <c r="D62" s="121" t="str">
        <f>IFERROR(VLOOKUP(C62,選択対策,2,0),"")</f>
        <v/>
      </c>
      <c r="E62" s="139" t="str">
        <f>IF(C62="","",IFERROR(IF(VLOOKUP(C62,'報告書② 第2年度(取組）'!$C$45:$G$64,3,0)="","未入力",VLOOKUP(C62,'報告書② 第2年度(取組）'!$C$45:$G$64,3,0)),"------"))</f>
        <v/>
      </c>
      <c r="F62" s="167" t="str">
        <f>IF(C62="","",IFERROR(IF(VLOOKUP(C62,'報告書② 第2年度(取組）'!$C$45:$G$64,4,0)="","未入力",VLOOKUP(C62,'報告書② 第2年度(取組）'!$C$45:$G$64,4,0)),"------"))</f>
        <v/>
      </c>
      <c r="G62" s="167" t="str">
        <f>IF(C62="","",IFERROR(IF(VLOOKUP(C62,'報告書② 第2年度(取組）'!$C$45:$G$64,5,0)="","未入力",VLOOKUP(C62,'報告書② 第2年度(取組）'!$C$45:$G$64,5,0)),"------"))</f>
        <v/>
      </c>
      <c r="H62" s="122"/>
    </row>
    <row r="63" spans="1:12" ht="70.349999999999994" customHeight="1">
      <c r="A63" s="142">
        <v>19</v>
      </c>
      <c r="B63" s="143"/>
      <c r="C63" s="144" t="str">
        <f>対策リスト!AT20&amp;""</f>
        <v/>
      </c>
      <c r="D63" s="121" t="str">
        <f>IFERROR(VLOOKUP(C63,選択対策,2,0),"")</f>
        <v/>
      </c>
      <c r="E63" s="139" t="str">
        <f>IF(C63="","",IFERROR(IF(VLOOKUP(C63,'報告書② 第2年度(取組）'!$C$45:$G$64,3,0)="","未入力",VLOOKUP(C63,'報告書② 第2年度(取組）'!$C$45:$G$64,3,0)),"------"))</f>
        <v/>
      </c>
      <c r="F63" s="167" t="str">
        <f>IF(C63="","",IFERROR(IF(VLOOKUP(C63,'報告書② 第2年度(取組）'!$C$45:$G$64,4,0)="","未入力",VLOOKUP(C63,'報告書② 第2年度(取組）'!$C$45:$G$64,4,0)),"------"))</f>
        <v/>
      </c>
      <c r="G63" s="167" t="str">
        <f>IF(C63="","",IFERROR(IF(VLOOKUP(C63,'報告書② 第2年度(取組）'!$C$45:$G$64,5,0)="","未入力",VLOOKUP(C63,'報告書② 第2年度(取組）'!$C$45:$G$64,5,0)),"------"))</f>
        <v/>
      </c>
      <c r="H63" s="122"/>
    </row>
    <row r="64" spans="1:12" ht="70.349999999999994" customHeight="1">
      <c r="A64" s="142">
        <v>20</v>
      </c>
      <c r="B64" s="143"/>
      <c r="C64" s="144" t="str">
        <f>対策リスト!AT21&amp;""</f>
        <v/>
      </c>
      <c r="D64" s="121" t="str">
        <f>IFERROR(VLOOKUP(C64,選択対策,2,0),"")</f>
        <v/>
      </c>
      <c r="E64" s="139" t="str">
        <f>IF(C64="","",IFERROR(IF(VLOOKUP(C64,'報告書② 第2年度(取組）'!$C$45:$G$64,3,0)="","未入力",VLOOKUP(C64,'報告書② 第2年度(取組）'!$C$45:$G$64,3,0)),"------"))</f>
        <v/>
      </c>
      <c r="F64" s="167" t="str">
        <f>IF(C64="","",IFERROR(IF(VLOOKUP(C64,'報告書② 第2年度(取組）'!$C$45:$G$64,4,0)="","未入力",VLOOKUP(C64,'報告書② 第2年度(取組）'!$C$45:$G$64,4,0)),"------"))</f>
        <v/>
      </c>
      <c r="G64" s="167" t="str">
        <f>IF(C64="","",IFERROR(IF(VLOOKUP(C64,'報告書② 第2年度(取組）'!$C$45:$G$64,5,0)="","未入力",VLOOKUP(C64,'報告書② 第2年度(取組）'!$C$45:$G$64,5,0)),"------"))</f>
        <v/>
      </c>
      <c r="H64" s="122"/>
    </row>
    <row r="67" spans="1:19">
      <c r="A67" s="109" t="s">
        <v>4185</v>
      </c>
      <c r="B67" s="109"/>
    </row>
    <row r="68" spans="1:19" ht="13.35" customHeight="1">
      <c r="A68" s="951" t="s">
        <v>97</v>
      </c>
      <c r="B68" s="954" t="s">
        <v>98</v>
      </c>
      <c r="C68" s="954"/>
      <c r="D68" s="954" t="s">
        <v>4988</v>
      </c>
      <c r="E68" s="687" t="s">
        <v>4166</v>
      </c>
      <c r="F68" s="957"/>
      <c r="G68" s="957"/>
      <c r="H68" s="688"/>
      <c r="K68" s="22" t="s">
        <v>4165</v>
      </c>
    </row>
    <row r="69" spans="1:19" ht="33" customHeight="1">
      <c r="A69" s="951"/>
      <c r="B69" s="954"/>
      <c r="C69" s="954"/>
      <c r="D69" s="954"/>
      <c r="E69" s="138" t="s">
        <v>4161</v>
      </c>
      <c r="F69" s="138" t="s">
        <v>4154</v>
      </c>
      <c r="G69" s="138" t="s">
        <v>4159</v>
      </c>
      <c r="H69" s="138" t="s">
        <v>4160</v>
      </c>
      <c r="K69" s="22" t="s">
        <v>4422</v>
      </c>
      <c r="L69" s="22" t="s">
        <v>4415</v>
      </c>
      <c r="M69" s="22" t="s">
        <v>4416</v>
      </c>
      <c r="O69" s="22" t="s">
        <v>4417</v>
      </c>
      <c r="P69" s="22" t="s">
        <v>4415</v>
      </c>
      <c r="Q69" s="22" t="s">
        <v>4226</v>
      </c>
      <c r="R69" s="22" t="s">
        <v>4399</v>
      </c>
      <c r="S69" s="22" t="s">
        <v>4423</v>
      </c>
    </row>
    <row r="70" spans="1:19" ht="90" customHeight="1">
      <c r="A70" s="142">
        <v>1</v>
      </c>
      <c r="B70" s="145"/>
      <c r="C70" s="144" t="str">
        <f>対策リスト!BT2&amp;""</f>
        <v/>
      </c>
      <c r="D70" s="144" t="str">
        <f>対策リスト!BW2&amp;""</f>
        <v/>
      </c>
      <c r="E70" s="139" t="str">
        <f>IF(C70="","",IF(対策リスト!CD2="","-------",対策リスト!CD2))</f>
        <v/>
      </c>
      <c r="F70" s="167" t="str">
        <f>IF(C70="","",IF(対策リスト!CC2="","-------",対策リスト!CC2))</f>
        <v/>
      </c>
      <c r="G70" s="167" t="str">
        <f>IF(C70="","",IF(対策リスト!CB2="","-------",対策リスト!CB2))</f>
        <v/>
      </c>
      <c r="H70" s="122"/>
      <c r="K70" s="22" t="s">
        <v>4226</v>
      </c>
      <c r="L70" s="22">
        <f>COUNTIF($H$70:$H$79,$K70)</f>
        <v>0</v>
      </c>
      <c r="M70" s="22">
        <v>5</v>
      </c>
      <c r="O70" s="22" t="s">
        <v>4412</v>
      </c>
      <c r="P70" s="22" t="str">
        <f>IF($J$2&gt;0,SUM(Q70:R70),"")</f>
        <v/>
      </c>
      <c r="Q70" s="22" t="str">
        <f>IF($J$2&gt;0,COUNTIF($F$70:$F$79,Q$69),"")</f>
        <v/>
      </c>
      <c r="R70" s="22" t="str">
        <f>IF($J$2&gt;0,COUNTIF($F$70:$F$79,R$69),"")</f>
        <v/>
      </c>
      <c r="S70" s="22" t="str">
        <f>IF($J$2&gt;0,Q70*$M$70,"")</f>
        <v/>
      </c>
    </row>
    <row r="71" spans="1:19" ht="90" customHeight="1">
      <c r="A71" s="142">
        <v>2</v>
      </c>
      <c r="B71" s="145"/>
      <c r="C71" s="144" t="str">
        <f>対策リスト!BT3&amp;""</f>
        <v/>
      </c>
      <c r="D71" s="144" t="str">
        <f>対策リスト!BW3&amp;""</f>
        <v/>
      </c>
      <c r="E71" s="139" t="str">
        <f>IF(C71="","",IF(対策リスト!CD3="","-------",対策リスト!CD3))</f>
        <v/>
      </c>
      <c r="F71" s="167" t="str">
        <f>IF(C71="","",IF(対策リスト!CC3="","-------",対策リスト!CC3))</f>
        <v/>
      </c>
      <c r="G71" s="167" t="str">
        <f>IF(C71="","",IF(対策リスト!CB3="","-------",対策リスト!CB3))</f>
        <v/>
      </c>
      <c r="H71" s="122"/>
      <c r="K71" s="22" t="s">
        <v>4399</v>
      </c>
      <c r="L71" s="22">
        <f>COUNTIF($H$70:$H$79,$K71)</f>
        <v>0</v>
      </c>
      <c r="M71" s="22">
        <v>0</v>
      </c>
      <c r="O71" s="22" t="s">
        <v>4406</v>
      </c>
      <c r="P71" s="22" t="str">
        <f>IF($J$2&gt;1,SUM(Q71:R71),"")</f>
        <v/>
      </c>
      <c r="Q71" s="22" t="str">
        <f>IF($J$2&gt;1,COUNTIF($G$70:$G$79,Q$69),"")</f>
        <v/>
      </c>
      <c r="R71" s="22" t="str">
        <f>IF($J$2&gt;1,COUNTIF($G$70:$G$79,R$69),"")</f>
        <v/>
      </c>
      <c r="S71" s="22" t="str">
        <f>IF($J$2&gt;1,Q71*$M$70,"")</f>
        <v/>
      </c>
    </row>
    <row r="72" spans="1:19" ht="90" customHeight="1">
      <c r="A72" s="142">
        <v>3</v>
      </c>
      <c r="B72" s="145"/>
      <c r="C72" s="144" t="str">
        <f>対策リスト!BT4&amp;""</f>
        <v/>
      </c>
      <c r="D72" s="144" t="str">
        <f>対策リスト!BW4&amp;""</f>
        <v/>
      </c>
      <c r="E72" s="139" t="str">
        <f>IF(C72="","",IF(対策リスト!CD4="","-------",対策リスト!CD4))</f>
        <v/>
      </c>
      <c r="F72" s="167" t="str">
        <f>IF(C72="","",IF(対策リスト!CC4="","-------",対策リスト!CC4))</f>
        <v/>
      </c>
      <c r="G72" s="167" t="str">
        <f>IF(C72="","",IF(対策リスト!CB4="","-------",対策リスト!CB4))</f>
        <v/>
      </c>
      <c r="H72" s="122"/>
      <c r="K72" s="22" t="s">
        <v>4419</v>
      </c>
      <c r="L72" s="22">
        <f>SUM(L70:L71)</f>
        <v>0</v>
      </c>
      <c r="M72" s="22">
        <v>25</v>
      </c>
      <c r="O72" s="22" t="s">
        <v>4407</v>
      </c>
      <c r="P72" s="22" t="str">
        <f>IF($J$2&gt;2,SUM(Q72:R72),"")</f>
        <v/>
      </c>
      <c r="Q72" s="22" t="str">
        <f>IF($J$2&gt;2,COUNTIF($H$70:$H$79,Q$69),"")</f>
        <v/>
      </c>
      <c r="R72" s="22" t="str">
        <f>IF($J$2&gt;2,COUNTIF($H$70:$H$79,R$69),"")</f>
        <v/>
      </c>
      <c r="S72" s="22" t="str">
        <f>IF($J$2&gt;2,Q72*$M$70,"")</f>
        <v/>
      </c>
    </row>
    <row r="73" spans="1:19" ht="90" customHeight="1">
      <c r="A73" s="142">
        <v>4</v>
      </c>
      <c r="B73" s="145"/>
      <c r="C73" s="144" t="str">
        <f>対策リスト!BT5&amp;""</f>
        <v/>
      </c>
      <c r="D73" s="144" t="str">
        <f>対策リスト!BW5&amp;""</f>
        <v/>
      </c>
      <c r="E73" s="139" t="str">
        <f>IF(C73="","",IF(対策リスト!CD5="","-------",対策リスト!CD5))</f>
        <v/>
      </c>
      <c r="F73" s="167" t="str">
        <f>IF(C73="","",IF(対策リスト!CC5="","-------",対策リスト!CC5))</f>
        <v/>
      </c>
      <c r="G73" s="167" t="str">
        <f>IF(C73="","",IF(対策リスト!CB5="","-------",対策リスト!CB5))</f>
        <v/>
      </c>
      <c r="H73" s="122"/>
      <c r="K73" s="22" t="s">
        <v>4424</v>
      </c>
      <c r="L73" s="22">
        <f>IF(L70*M70&gt;M72,M72,L70*M70)</f>
        <v>0</v>
      </c>
      <c r="O73" s="22" t="s">
        <v>4420</v>
      </c>
      <c r="P73" s="22" t="str">
        <f>IFERROR(ROUNDUP(AVERAGE(P70:P72),0),"")</f>
        <v/>
      </c>
      <c r="Q73" s="22" t="str">
        <f>IFERROR(ROUNDUP(AVERAGE(Q70:Q72),0),"")</f>
        <v/>
      </c>
      <c r="R73" s="22" t="str">
        <f>IFERROR(ROUNDUP(AVERAGE(R70:R72),0),"")</f>
        <v/>
      </c>
      <c r="S73" s="22" t="str">
        <f>IFERROR(ROUNDUP(AVERAGE(S70:S72),0),"")</f>
        <v/>
      </c>
    </row>
    <row r="74" spans="1:19" ht="90" customHeight="1">
      <c r="A74" s="142">
        <v>5</v>
      </c>
      <c r="B74" s="145"/>
      <c r="C74" s="144" t="str">
        <f>対策リスト!BT6&amp;""</f>
        <v/>
      </c>
      <c r="D74" s="144" t="str">
        <f>対策リスト!BW6&amp;""</f>
        <v/>
      </c>
      <c r="E74" s="139" t="str">
        <f>IF(C74="","",IF(対策リスト!CD6="","-------",対策リスト!CD6))</f>
        <v/>
      </c>
      <c r="F74" s="167" t="str">
        <f>IF(C74="","",IF(対策リスト!CC6="","-------",対策リスト!CC6))</f>
        <v/>
      </c>
      <c r="G74" s="167" t="str">
        <f>IF(C74="","",IF(対策リスト!CB6="","-------",対策リスト!CB6))</f>
        <v/>
      </c>
      <c r="H74" s="122"/>
    </row>
    <row r="75" spans="1:19" ht="90" customHeight="1">
      <c r="A75" s="142">
        <v>6</v>
      </c>
      <c r="B75" s="145"/>
      <c r="C75" s="144" t="str">
        <f>対策リスト!BT7&amp;""</f>
        <v/>
      </c>
      <c r="D75" s="144" t="str">
        <f>対策リスト!BW7&amp;""</f>
        <v/>
      </c>
      <c r="E75" s="139" t="str">
        <f>IF(C75="","",IF(対策リスト!CD7="","-------",対策リスト!CD7))</f>
        <v/>
      </c>
      <c r="F75" s="167" t="str">
        <f>IF(C75="","",IF(対策リスト!CC7="","-------",対策リスト!CC7))</f>
        <v/>
      </c>
      <c r="G75" s="167" t="str">
        <f>IF(C75="","",IF(対策リスト!CB7="","-------",対策リスト!CB7))</f>
        <v/>
      </c>
      <c r="H75" s="122"/>
    </row>
    <row r="76" spans="1:19" ht="90" customHeight="1">
      <c r="A76" s="142">
        <v>7</v>
      </c>
      <c r="B76" s="145"/>
      <c r="C76" s="144" t="str">
        <f>対策リスト!BT8&amp;""</f>
        <v/>
      </c>
      <c r="D76" s="144" t="str">
        <f>対策リスト!BW8&amp;""</f>
        <v/>
      </c>
      <c r="E76" s="139" t="str">
        <f>IF(C76="","",IF(対策リスト!CD8="","-------",対策リスト!CD8))</f>
        <v/>
      </c>
      <c r="F76" s="167" t="str">
        <f>IF(C76="","",IF(対策リスト!CC8="","-------",対策リスト!CC8))</f>
        <v/>
      </c>
      <c r="G76" s="167" t="str">
        <f>IF(C76="","",IF(対策リスト!CB8="","-------",対策リスト!CB8))</f>
        <v/>
      </c>
      <c r="H76" s="122"/>
    </row>
    <row r="77" spans="1:19" ht="90" customHeight="1">
      <c r="A77" s="142">
        <v>8</v>
      </c>
      <c r="B77" s="145"/>
      <c r="C77" s="144" t="str">
        <f>対策リスト!BT9&amp;""</f>
        <v/>
      </c>
      <c r="D77" s="144" t="str">
        <f>対策リスト!BW9&amp;""</f>
        <v/>
      </c>
      <c r="E77" s="139" t="str">
        <f>IF(C77="","",IF(対策リスト!CD9="","-------",対策リスト!CD9))</f>
        <v/>
      </c>
      <c r="F77" s="167" t="str">
        <f>IF(C77="","",IF(対策リスト!CC9="","-------",対策リスト!CC9))</f>
        <v/>
      </c>
      <c r="G77" s="167" t="str">
        <f>IF(C77="","",IF(対策リスト!CB9="","-------",対策リスト!CB9))</f>
        <v/>
      </c>
      <c r="H77" s="122"/>
    </row>
    <row r="78" spans="1:19" ht="90" customHeight="1">
      <c r="A78" s="142">
        <v>9</v>
      </c>
      <c r="B78" s="145"/>
      <c r="C78" s="144" t="str">
        <f>対策リスト!BT10&amp;""</f>
        <v/>
      </c>
      <c r="D78" s="144" t="str">
        <f>対策リスト!BW10&amp;""</f>
        <v/>
      </c>
      <c r="E78" s="139" t="str">
        <f>IF(C78="","",IF(対策リスト!CD10="","-------",対策リスト!CD10))</f>
        <v/>
      </c>
      <c r="F78" s="167" t="str">
        <f>IF(C78="","",IF(対策リスト!CC10="","-------",対策リスト!CC10))</f>
        <v/>
      </c>
      <c r="G78" s="167" t="str">
        <f>IF(C78="","",IF(対策リスト!CB10="","-------",対策リスト!CB10))</f>
        <v/>
      </c>
      <c r="H78" s="122"/>
    </row>
    <row r="79" spans="1:19" ht="90" customHeight="1">
      <c r="A79" s="142">
        <v>10</v>
      </c>
      <c r="B79" s="145"/>
      <c r="C79" s="144" t="str">
        <f>対策リスト!BT11&amp;""</f>
        <v/>
      </c>
      <c r="D79" s="144" t="str">
        <f>対策リスト!BW11&amp;""</f>
        <v/>
      </c>
      <c r="E79" s="139" t="str">
        <f>IF(C79="","",IF(対策リスト!CD11="","-------",対策リスト!CD11))</f>
        <v/>
      </c>
      <c r="F79" s="167" t="str">
        <f>IF(C79="","",IF(対策リスト!CC11="","-------",対策リスト!CC11))</f>
        <v/>
      </c>
      <c r="G79" s="167" t="str">
        <f>IF(C79="","",IF(対策リスト!CB11="","-------",対策リスト!CB11))</f>
        <v/>
      </c>
      <c r="H79" s="122"/>
    </row>
    <row r="90" spans="1:3">
      <c r="C90" s="22" t="s">
        <v>4404</v>
      </c>
    </row>
    <row r="91" spans="1:3">
      <c r="A91" s="22">
        <v>1</v>
      </c>
      <c r="C91" s="146"/>
    </row>
    <row r="92" spans="1:3">
      <c r="A92" s="22">
        <v>2</v>
      </c>
      <c r="C92" s="146"/>
    </row>
    <row r="93" spans="1:3">
      <c r="A93" s="22">
        <v>3</v>
      </c>
      <c r="C93" s="146"/>
    </row>
    <row r="94" spans="1:3">
      <c r="A94" s="22">
        <v>4</v>
      </c>
      <c r="C94" s="146"/>
    </row>
    <row r="95" spans="1:3">
      <c r="A95" s="22">
        <v>5</v>
      </c>
      <c r="C95" s="146"/>
    </row>
    <row r="96" spans="1:3">
      <c r="A96" s="22">
        <v>6</v>
      </c>
      <c r="C96" s="146"/>
    </row>
    <row r="97" spans="1:3">
      <c r="A97" s="22">
        <v>7</v>
      </c>
      <c r="C97" s="146"/>
    </row>
    <row r="98" spans="1:3">
      <c r="A98" s="22">
        <v>8</v>
      </c>
      <c r="C98" s="146"/>
    </row>
    <row r="99" spans="1:3">
      <c r="A99" s="22">
        <v>9</v>
      </c>
      <c r="C99" s="146"/>
    </row>
    <row r="100" spans="1:3">
      <c r="A100" s="22">
        <v>10</v>
      </c>
      <c r="C100" s="146"/>
    </row>
    <row r="101" spans="1:3">
      <c r="A101" s="22">
        <v>11</v>
      </c>
      <c r="C101" s="146"/>
    </row>
    <row r="102" spans="1:3">
      <c r="A102" s="22">
        <v>12</v>
      </c>
      <c r="C102" s="146"/>
    </row>
    <row r="103" spans="1:3">
      <c r="A103" s="22">
        <v>13</v>
      </c>
      <c r="C103" s="146"/>
    </row>
    <row r="104" spans="1:3">
      <c r="A104" s="22">
        <v>14</v>
      </c>
      <c r="C104" s="146"/>
    </row>
    <row r="105" spans="1:3">
      <c r="A105" s="22">
        <v>15</v>
      </c>
      <c r="C105" s="146"/>
    </row>
    <row r="106" spans="1:3">
      <c r="A106" s="22">
        <v>16</v>
      </c>
      <c r="C106" s="146"/>
    </row>
    <row r="107" spans="1:3">
      <c r="A107" s="22">
        <v>17</v>
      </c>
      <c r="C107" s="146"/>
    </row>
    <row r="108" spans="1:3">
      <c r="A108" s="22">
        <v>18</v>
      </c>
      <c r="C108" s="146"/>
    </row>
    <row r="109" spans="1:3">
      <c r="A109" s="22">
        <v>19</v>
      </c>
      <c r="C109" s="146"/>
    </row>
    <row r="110" spans="1:3">
      <c r="A110" s="22">
        <v>20</v>
      </c>
      <c r="C110" s="146"/>
    </row>
    <row r="119" spans="1:4">
      <c r="C119" s="22" t="s">
        <v>4405</v>
      </c>
    </row>
    <row r="120" spans="1:4">
      <c r="D120" s="119" t="s">
        <v>4994</v>
      </c>
    </row>
    <row r="121" spans="1:4" ht="87" customHeight="1">
      <c r="A121" s="147">
        <v>1</v>
      </c>
      <c r="B121" s="123"/>
      <c r="C121" s="148"/>
      <c r="D121" s="141"/>
    </row>
    <row r="122" spans="1:4" ht="87" customHeight="1">
      <c r="A122" s="147">
        <v>2</v>
      </c>
      <c r="B122" s="123"/>
      <c r="C122" s="148"/>
      <c r="D122" s="141"/>
    </row>
    <row r="123" spans="1:4" ht="87" customHeight="1">
      <c r="A123" s="147">
        <v>3</v>
      </c>
      <c r="B123" s="123"/>
      <c r="C123" s="148"/>
      <c r="D123" s="141"/>
    </row>
    <row r="124" spans="1:4" ht="87" customHeight="1">
      <c r="A124" s="147">
        <v>4</v>
      </c>
      <c r="B124" s="123"/>
      <c r="C124" s="148"/>
      <c r="D124" s="141"/>
    </row>
    <row r="125" spans="1:4" ht="87" customHeight="1">
      <c r="A125" s="147">
        <v>5</v>
      </c>
      <c r="B125" s="123"/>
      <c r="C125" s="148"/>
      <c r="D125" s="141"/>
    </row>
    <row r="126" spans="1:4" ht="87" customHeight="1">
      <c r="A126" s="147">
        <v>6</v>
      </c>
      <c r="B126" s="123"/>
      <c r="C126" s="148"/>
      <c r="D126" s="141"/>
    </row>
    <row r="127" spans="1:4" ht="87" customHeight="1">
      <c r="A127" s="147">
        <v>7</v>
      </c>
      <c r="B127" s="123"/>
      <c r="C127" s="148"/>
      <c r="D127" s="141"/>
    </row>
    <row r="128" spans="1:4" ht="87" customHeight="1">
      <c r="A128" s="147">
        <v>8</v>
      </c>
      <c r="B128" s="123"/>
      <c r="C128" s="148"/>
      <c r="D128" s="141"/>
    </row>
    <row r="129" spans="1:4" ht="87" customHeight="1">
      <c r="A129" s="147">
        <v>9</v>
      </c>
      <c r="B129" s="123"/>
      <c r="C129" s="148"/>
      <c r="D129" s="141"/>
    </row>
    <row r="130" spans="1:4" ht="87" customHeight="1">
      <c r="A130" s="147">
        <v>10</v>
      </c>
      <c r="B130" s="123"/>
      <c r="C130" s="148"/>
      <c r="D130" s="141"/>
    </row>
  </sheetData>
  <sheetProtection algorithmName="SHA-512" hashValue="/+MPNgRtvfUYZj+hDuvV3gNuJNkNXd+4iKSf40RKAEP3735zVSsacyCrDz5JmwJvobxTW/Jq6SeyVCjBgYTFxA==" saltValue="YHRIGK0UOJuOaszYXsBBhA==" spinCount="100000" sheet="1" objects="1" scenarios="1" selectLockedCells="1"/>
  <mergeCells count="20">
    <mergeCell ref="A68:A69"/>
    <mergeCell ref="B68:C69"/>
    <mergeCell ref="D68:D69"/>
    <mergeCell ref="E68:H68"/>
    <mergeCell ref="A39:C39"/>
    <mergeCell ref="D39:F39"/>
    <mergeCell ref="A40:C40"/>
    <mergeCell ref="D40:F40"/>
    <mergeCell ref="A43:A44"/>
    <mergeCell ref="B43:B44"/>
    <mergeCell ref="C43:C44"/>
    <mergeCell ref="D43:D44"/>
    <mergeCell ref="E43:H43"/>
    <mergeCell ref="A38:C38"/>
    <mergeCell ref="D38:F38"/>
    <mergeCell ref="A4:A5"/>
    <mergeCell ref="B4:B5"/>
    <mergeCell ref="C4:C5"/>
    <mergeCell ref="D4:D5"/>
    <mergeCell ref="E4:H4"/>
  </mergeCells>
  <phoneticPr fontId="1"/>
  <conditionalFormatting sqref="D121:D130">
    <cfRule type="expression" dxfId="45" priority="2">
      <formula>D121&lt;&gt;""</formula>
    </cfRule>
  </conditionalFormatting>
  <conditionalFormatting sqref="D40:F40">
    <cfRule type="expression" dxfId="44" priority="1">
      <formula>$D$40&lt;&gt;""</formula>
    </cfRule>
  </conditionalFormatting>
  <conditionalFormatting sqref="H6:H35">
    <cfRule type="expression" dxfId="43" priority="366" stopIfTrue="1">
      <formula>H6&lt;&gt;""</formula>
    </cfRule>
  </conditionalFormatting>
  <conditionalFormatting sqref="H45:H64">
    <cfRule type="expression" dxfId="42" priority="168" stopIfTrue="1">
      <formula>H45&lt;&gt;""</formula>
    </cfRule>
  </conditionalFormatting>
  <conditionalFormatting sqref="H70:H79">
    <cfRule type="expression" dxfId="41" priority="44" stopIfTrue="1">
      <formula>H70&lt;&gt;""</formula>
    </cfRule>
  </conditionalFormatting>
  <dataValidations count="5">
    <dataValidation type="list" allowBlank="1" showInputMessage="1" showErrorMessage="1" sqref="H6:H35" xr:uid="{00000000-0002-0000-1000-000000000000}">
      <formula1>"実施済,未実施,非該当"</formula1>
    </dataValidation>
    <dataValidation type="list" allowBlank="1" showInputMessage="1" showErrorMessage="1" sqref="H45:H64" xr:uid="{00000000-0002-0000-1000-000001000000}">
      <formula1>"実施済,一部実施済,未実施"</formula1>
    </dataValidation>
    <dataValidation type="list" allowBlank="1" showInputMessage="1" showErrorMessage="1" sqref="H70:H79" xr:uid="{00000000-0002-0000-1000-000002000000}">
      <formula1>"実施済,未実施"</formula1>
    </dataValidation>
    <dataValidation imeMode="hiragana" allowBlank="1" showInputMessage="1" showErrorMessage="1" sqref="D38:F40 D121:D130" xr:uid="{00000000-0002-0000-1000-000003000000}"/>
    <dataValidation type="list" allowBlank="1" showInputMessage="1" showErrorMessage="1" sqref="C121:C130" xr:uid="{00000000-0002-0000-1000-000004000000}">
      <formula1>その他対策</formula1>
    </dataValidation>
  </dataValidations>
  <printOptions horizontalCentered="1"/>
  <pageMargins left="0.70866141732283472" right="0.55118110236220474" top="0.74803149606299213" bottom="0.74803149606299213" header="0.31496062992125984" footer="0.31496062992125984"/>
  <pageSetup paperSize="9" scale="73" fitToHeight="7" orientation="portrait" r:id="rId1"/>
  <headerFooter>
    <oddHeader>&amp;L様式第２号</oddHeader>
    <oddFooter>&amp;R&amp;8（事業所等用）</oddFooter>
  </headerFooter>
  <rowBreaks count="5" manualBreakCount="5">
    <brk id="17" max="7" man="1"/>
    <brk id="29" max="7" man="1"/>
    <brk id="40" max="7" man="1"/>
    <brk id="56" max="7" man="1"/>
    <brk id="65"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5000000}">
          <x14:formula1>
            <xm:f>OFFSET(対策リスト!$AP$2,0,0,25-COUNTBLANK(対策リスト!$AP$2:$AP$26),1)</xm:f>
          </x14:formula1>
          <xm:sqref>C91:C110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00B050"/>
  </sheetPr>
  <dimension ref="A1:F15"/>
  <sheetViews>
    <sheetView showGridLines="0" view="pageBreakPreview" zoomScaleNormal="100" zoomScaleSheetLayoutView="100" workbookViewId="0">
      <selection activeCell="B4" sqref="B4"/>
    </sheetView>
  </sheetViews>
  <sheetFormatPr defaultColWidth="8.88671875" defaultRowHeight="16.2"/>
  <cols>
    <col min="1" max="1" width="5.6640625" style="22" customWidth="1"/>
    <col min="2" max="2" width="41.44140625" style="22" customWidth="1"/>
    <col min="3" max="3" width="10.44140625" style="22" customWidth="1"/>
    <col min="4" max="4" width="14.109375" style="22" customWidth="1"/>
    <col min="5" max="5" width="19.88671875" style="107" hidden="1" customWidth="1"/>
    <col min="6" max="6" width="19.88671875" style="107" customWidth="1"/>
    <col min="7" max="36" width="5.6640625" style="22" customWidth="1"/>
    <col min="37" max="16384" width="8.88671875" style="22"/>
  </cols>
  <sheetData>
    <row r="1" spans="1:6" ht="7.35" customHeight="1"/>
    <row r="2" spans="1:6" ht="33" customHeight="1">
      <c r="A2" s="597" t="s">
        <v>4224</v>
      </c>
    </row>
    <row r="3" spans="1:6" ht="33" customHeight="1">
      <c r="A3" s="598" t="s">
        <v>4219</v>
      </c>
      <c r="B3" s="598" t="s">
        <v>4220</v>
      </c>
      <c r="C3" s="599" t="s">
        <v>4221</v>
      </c>
      <c r="D3" s="599" t="s">
        <v>5203</v>
      </c>
      <c r="E3" s="599"/>
      <c r="F3" s="599" t="s">
        <v>4974</v>
      </c>
    </row>
    <row r="4" spans="1:6" ht="148.35" customHeight="1">
      <c r="A4" s="598">
        <v>1</v>
      </c>
      <c r="B4" s="132"/>
      <c r="C4" s="165"/>
      <c r="D4" s="166"/>
      <c r="E4" s="600"/>
      <c r="F4" s="637"/>
    </row>
    <row r="5" spans="1:6" ht="148.35" customHeight="1">
      <c r="A5" s="598">
        <v>2</v>
      </c>
      <c r="B5" s="132"/>
      <c r="C5" s="165"/>
      <c r="D5" s="166"/>
      <c r="E5" s="600"/>
      <c r="F5" s="637"/>
    </row>
    <row r="6" spans="1:6" ht="148.35" customHeight="1">
      <c r="A6" s="598">
        <v>3</v>
      </c>
      <c r="B6" s="132"/>
      <c r="C6" s="165"/>
      <c r="D6" s="166"/>
      <c r="E6" s="600"/>
      <c r="F6" s="637"/>
    </row>
    <row r="7" spans="1:6" ht="148.35" customHeight="1">
      <c r="A7" s="598">
        <v>4</v>
      </c>
      <c r="B7" s="132"/>
      <c r="C7" s="165"/>
      <c r="D7" s="166"/>
      <c r="E7" s="600"/>
      <c r="F7" s="637"/>
    </row>
    <row r="8" spans="1:6" ht="148.35" customHeight="1">
      <c r="A8" s="598">
        <v>5</v>
      </c>
      <c r="B8" s="132"/>
      <c r="C8" s="165"/>
      <c r="D8" s="166"/>
      <c r="E8" s="600"/>
      <c r="F8" s="637"/>
    </row>
    <row r="9" spans="1:6" ht="148.35" customHeight="1">
      <c r="A9" s="598">
        <v>6</v>
      </c>
      <c r="B9" s="132"/>
      <c r="C9" s="165"/>
      <c r="D9" s="166"/>
      <c r="E9" s="600"/>
      <c r="F9" s="637"/>
    </row>
    <row r="10" spans="1:6" ht="148.35" customHeight="1">
      <c r="A10" s="598">
        <v>7</v>
      </c>
      <c r="B10" s="132"/>
      <c r="C10" s="165"/>
      <c r="D10" s="166"/>
      <c r="E10" s="600"/>
      <c r="F10" s="637"/>
    </row>
    <row r="11" spans="1:6" ht="148.35" customHeight="1">
      <c r="A11" s="598">
        <v>8</v>
      </c>
      <c r="B11" s="132"/>
      <c r="C11" s="165"/>
      <c r="D11" s="166"/>
      <c r="E11" s="600"/>
      <c r="F11" s="637"/>
    </row>
    <row r="12" spans="1:6" ht="148.35" customHeight="1">
      <c r="A12" s="598">
        <v>9</v>
      </c>
      <c r="B12" s="132"/>
      <c r="C12" s="165"/>
      <c r="D12" s="166"/>
      <c r="E12" s="600"/>
      <c r="F12" s="637"/>
    </row>
    <row r="13" spans="1:6" ht="148.35" customHeight="1">
      <c r="A13" s="598">
        <v>10</v>
      </c>
      <c r="B13" s="132"/>
      <c r="C13" s="165"/>
      <c r="D13" s="166"/>
      <c r="E13" s="600"/>
      <c r="F13" s="637"/>
    </row>
    <row r="14" spans="1:6" ht="33.75" customHeight="1"/>
    <row r="15" spans="1:6" ht="33.75" customHeight="1"/>
  </sheetData>
  <sheetProtection algorithmName="SHA-512" hashValue="dZrYa4mHmiIALHhC/XtoVv50zhfalAd5+6WVflyKuMMIMFFdrZGXoomSsSSZIFpLnCHbDxvPzDXy8VuWadsZfQ==" saltValue="hx2dPtXowwYCFfmiIH+m7Q==" spinCount="100000" sheet="1" scenarios="1" selectLockedCells="1"/>
  <phoneticPr fontId="1"/>
  <conditionalFormatting sqref="B4">
    <cfRule type="expression" dxfId="40" priority="30" stopIfTrue="1">
      <formula>$B$4&lt;&gt;""</formula>
    </cfRule>
  </conditionalFormatting>
  <conditionalFormatting sqref="B5">
    <cfRule type="expression" dxfId="39" priority="27" stopIfTrue="1">
      <formula>$B$5&lt;&gt;""</formula>
    </cfRule>
  </conditionalFormatting>
  <conditionalFormatting sqref="B6">
    <cfRule type="expression" dxfId="38" priority="22" stopIfTrue="1">
      <formula>$B$6&lt;&gt;""</formula>
    </cfRule>
  </conditionalFormatting>
  <conditionalFormatting sqref="B7">
    <cfRule type="expression" dxfId="37" priority="7" stopIfTrue="1">
      <formula>$B$7&lt;&gt;""</formula>
    </cfRule>
  </conditionalFormatting>
  <conditionalFormatting sqref="B8">
    <cfRule type="expression" dxfId="36" priority="6" stopIfTrue="1">
      <formula>$B$8&lt;&gt;""</formula>
    </cfRule>
  </conditionalFormatting>
  <conditionalFormatting sqref="B9">
    <cfRule type="expression" dxfId="35" priority="5" stopIfTrue="1">
      <formula>$B$9&lt;&gt;""</formula>
    </cfRule>
  </conditionalFormatting>
  <conditionalFormatting sqref="B10">
    <cfRule type="expression" dxfId="34" priority="4" stopIfTrue="1">
      <formula>$B$10&lt;&gt;""</formula>
    </cfRule>
  </conditionalFormatting>
  <conditionalFormatting sqref="B11">
    <cfRule type="expression" dxfId="33" priority="3" stopIfTrue="1">
      <formula>$B$11&lt;&gt;""</formula>
    </cfRule>
  </conditionalFormatting>
  <conditionalFormatting sqref="B12">
    <cfRule type="expression" dxfId="32" priority="2" stopIfTrue="1">
      <formula>$B$12&lt;&gt;""</formula>
    </cfRule>
  </conditionalFormatting>
  <conditionalFormatting sqref="B13">
    <cfRule type="expression" dxfId="31" priority="1" stopIfTrue="1">
      <formula>$B$13&lt;&gt;""</formula>
    </cfRule>
  </conditionalFormatting>
  <conditionalFormatting sqref="C4">
    <cfRule type="expression" dxfId="30" priority="29" stopIfTrue="1">
      <formula>$C$4&lt;&gt;""</formula>
    </cfRule>
  </conditionalFormatting>
  <conditionalFormatting sqref="C5">
    <cfRule type="expression" dxfId="29" priority="26" stopIfTrue="1">
      <formula>$C$5&lt;&gt;""</formula>
    </cfRule>
  </conditionalFormatting>
  <conditionalFormatting sqref="C6">
    <cfRule type="expression" dxfId="28" priority="23" stopIfTrue="1">
      <formula>$C$6&lt;&gt;""</formula>
    </cfRule>
  </conditionalFormatting>
  <conditionalFormatting sqref="C7">
    <cfRule type="expression" dxfId="27" priority="19" stopIfTrue="1">
      <formula>$C$7&lt;&gt;""</formula>
    </cfRule>
  </conditionalFormatting>
  <conditionalFormatting sqref="C8">
    <cfRule type="expression" dxfId="26" priority="20" stopIfTrue="1">
      <formula>$C$8&lt;&gt;""</formula>
    </cfRule>
  </conditionalFormatting>
  <conditionalFormatting sqref="C9">
    <cfRule type="expression" dxfId="25" priority="8" stopIfTrue="1">
      <formula>$C$9&lt;&gt;""</formula>
    </cfRule>
  </conditionalFormatting>
  <conditionalFormatting sqref="C10">
    <cfRule type="expression" dxfId="24" priority="9" stopIfTrue="1">
      <formula>$C$10&lt;&gt;""</formula>
    </cfRule>
  </conditionalFormatting>
  <conditionalFormatting sqref="C11">
    <cfRule type="expression" dxfId="23" priority="10" stopIfTrue="1">
      <formula>$C$11&lt;&gt;""</formula>
    </cfRule>
  </conditionalFormatting>
  <conditionalFormatting sqref="C12">
    <cfRule type="expression" dxfId="22" priority="11" stopIfTrue="1">
      <formula>$C$12&lt;&gt;""</formula>
    </cfRule>
  </conditionalFormatting>
  <conditionalFormatting sqref="C13">
    <cfRule type="expression" dxfId="21" priority="12" stopIfTrue="1">
      <formula>$C$13&lt;&gt;""</formula>
    </cfRule>
  </conditionalFormatting>
  <conditionalFormatting sqref="D4">
    <cfRule type="expression" dxfId="20" priority="28" stopIfTrue="1">
      <formula>$D$4&lt;&gt;""</formula>
    </cfRule>
  </conditionalFormatting>
  <conditionalFormatting sqref="D5">
    <cfRule type="expression" dxfId="19" priority="25" stopIfTrue="1">
      <formula>$D$5&lt;&gt;""</formula>
    </cfRule>
  </conditionalFormatting>
  <conditionalFormatting sqref="D6">
    <cfRule type="expression" dxfId="18" priority="24" stopIfTrue="1">
      <formula>$D$6&lt;&gt;""</formula>
    </cfRule>
  </conditionalFormatting>
  <conditionalFormatting sqref="D7">
    <cfRule type="expression" dxfId="17" priority="21" stopIfTrue="1">
      <formula>$D$7&lt;&gt;""</formula>
    </cfRule>
  </conditionalFormatting>
  <conditionalFormatting sqref="D8">
    <cfRule type="expression" dxfId="16" priority="18" stopIfTrue="1">
      <formula>$D$8&lt;&gt;""</formula>
    </cfRule>
  </conditionalFormatting>
  <conditionalFormatting sqref="D9">
    <cfRule type="expression" dxfId="15" priority="17" stopIfTrue="1">
      <formula>$D$9&lt;&gt;""</formula>
    </cfRule>
  </conditionalFormatting>
  <conditionalFormatting sqref="D10">
    <cfRule type="expression" dxfId="14" priority="16" stopIfTrue="1">
      <formula>$D$10&lt;&gt;""</formula>
    </cfRule>
  </conditionalFormatting>
  <conditionalFormatting sqref="D11">
    <cfRule type="expression" dxfId="13" priority="15" stopIfTrue="1">
      <formula>$D$11&lt;&gt;""</formula>
    </cfRule>
  </conditionalFormatting>
  <conditionalFormatting sqref="D12">
    <cfRule type="expression" dxfId="12" priority="14" stopIfTrue="1">
      <formula>$D$12&lt;&gt;""</formula>
    </cfRule>
  </conditionalFormatting>
  <conditionalFormatting sqref="D13">
    <cfRule type="expression" dxfId="11" priority="13" stopIfTrue="1">
      <formula>$D$13&lt;&gt;""</formula>
    </cfRule>
  </conditionalFormatting>
  <dataValidations count="3">
    <dataValidation type="list" allowBlank="1" showInputMessage="1" showErrorMessage="1" sqref="C4:C13" xr:uid="{00000000-0002-0000-1100-000000000000}">
      <formula1>"第１年度,第２年度,第３年度"</formula1>
    </dataValidation>
    <dataValidation imeMode="hiragana" allowBlank="1" showInputMessage="1" showErrorMessage="1" sqref="B4:B13" xr:uid="{00000000-0002-0000-1100-000001000000}"/>
    <dataValidation imeMode="halfAlpha" allowBlank="1" showInputMessage="1" showErrorMessage="1" sqref="D4:D13" xr:uid="{00000000-0002-0000-1100-000002000000}"/>
  </dataValidations>
  <pageMargins left="0.70866141732283472" right="0.55118110236220474" top="0.74803149606299213" bottom="0.74803149606299213" header="0.31496062992125984" footer="0.31496062992125984"/>
  <pageSetup paperSize="9" scale="94" fitToHeight="2" orientation="portrait" r:id="rId1"/>
  <headerFooter>
    <oddHeader>&amp;L様式第２号</oddHeader>
    <oddFooter>&amp;R&amp;8（事業所等用）</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BEE0-F307-4534-B23D-91FE52C5FCC7}">
  <sheetPr codeName="Sheet4">
    <tabColor theme="6" tint="0.79998168889431442"/>
    <pageSetUpPr fitToPage="1"/>
  </sheetPr>
  <dimension ref="A1:AL127"/>
  <sheetViews>
    <sheetView showGridLines="0" view="pageBreakPreview" topLeftCell="C1" zoomScale="70" zoomScaleNormal="85" zoomScaleSheetLayoutView="70" workbookViewId="0">
      <selection activeCell="I6" sqref="I6"/>
    </sheetView>
  </sheetViews>
  <sheetFormatPr defaultColWidth="8.88671875" defaultRowHeight="17.399999999999999"/>
  <cols>
    <col min="1" max="1" width="4.88671875" style="268" customWidth="1"/>
    <col min="2" max="2" width="4.88671875" style="263" customWidth="1"/>
    <col min="3" max="3" width="4.44140625" style="268" customWidth="1"/>
    <col min="4" max="4" width="5.88671875" style="268" customWidth="1"/>
    <col min="5" max="5" width="9.44140625" style="268" customWidth="1"/>
    <col min="6" max="6" width="13.6640625" style="268" customWidth="1"/>
    <col min="7" max="7" width="10.44140625" style="268" customWidth="1"/>
    <col min="8" max="8" width="10.6640625" style="268" customWidth="1"/>
    <col min="9" max="13" width="9.109375" style="268" customWidth="1"/>
    <col min="14" max="14" width="10.6640625" style="268" customWidth="1"/>
    <col min="15" max="15" width="8.109375" style="268" hidden="1" customWidth="1"/>
    <col min="16" max="17" width="21.109375" style="268" hidden="1" customWidth="1"/>
    <col min="18" max="18" width="7.33203125" style="268" hidden="1" customWidth="1"/>
    <col min="19" max="19" width="9.44140625" style="268" hidden="1" customWidth="1"/>
    <col min="20" max="20" width="13.33203125" style="268" customWidth="1"/>
    <col min="21" max="21" width="34.33203125" style="268" bestFit="1" customWidth="1"/>
    <col min="22" max="27" width="13.44140625" style="268" customWidth="1"/>
    <col min="28" max="28" width="12.33203125" style="268" customWidth="1"/>
    <col min="29" max="31" width="9.88671875" style="268" customWidth="1"/>
    <col min="32" max="33" width="15.44140625" style="268" customWidth="1"/>
    <col min="34" max="34" width="8.33203125" style="8" customWidth="1"/>
    <col min="35" max="35" width="15.109375" style="8" customWidth="1"/>
    <col min="36" max="36" width="13.6640625" style="8" customWidth="1"/>
    <col min="37" max="37" width="14.6640625" style="8" customWidth="1"/>
    <col min="38" max="39" width="9.88671875" style="8" customWidth="1"/>
    <col min="40" max="16384" width="8.88671875" style="8"/>
  </cols>
  <sheetData>
    <row r="1" spans="1:37" ht="26.4">
      <c r="A1" s="262"/>
      <c r="C1" s="264" t="s">
        <v>139</v>
      </c>
      <c r="D1" s="264"/>
      <c r="E1" s="264"/>
      <c r="F1" s="264"/>
      <c r="G1" s="264"/>
      <c r="H1" s="265"/>
      <c r="I1" s="266"/>
      <c r="J1" s="266"/>
      <c r="K1" s="266"/>
      <c r="L1" s="267" t="s">
        <v>4154</v>
      </c>
      <c r="M1" s="793" t="str">
        <f>"（"&amp;はじめに!E4+1&amp;"年度）"</f>
        <v>（1年度）</v>
      </c>
      <c r="N1" s="793"/>
      <c r="T1" s="269">
        <f>はじめに!E4+1</f>
        <v>1</v>
      </c>
      <c r="U1" s="262"/>
      <c r="V1" s="262"/>
      <c r="W1" s="262"/>
      <c r="X1" s="262"/>
      <c r="Y1" s="262"/>
      <c r="Z1" s="262"/>
      <c r="AA1" s="262"/>
      <c r="AB1" s="262"/>
      <c r="AC1" s="262"/>
      <c r="AD1" s="262"/>
      <c r="AE1" s="262"/>
      <c r="AF1" s="262"/>
      <c r="AG1" s="262"/>
    </row>
    <row r="2" spans="1:37">
      <c r="G2" s="270"/>
      <c r="H2" s="270"/>
      <c r="I2" s="270"/>
      <c r="J2" s="270"/>
      <c r="K2" s="270"/>
      <c r="L2" s="270"/>
      <c r="M2" s="270"/>
      <c r="N2" s="270"/>
      <c r="T2" s="271"/>
    </row>
    <row r="3" spans="1:37" ht="22.2" thickBot="1">
      <c r="C3" s="272" t="s">
        <v>5254</v>
      </c>
      <c r="D3" s="272"/>
      <c r="E3" s="270"/>
      <c r="I3" s="270"/>
      <c r="J3" s="270"/>
      <c r="K3" s="270"/>
      <c r="L3" s="270"/>
      <c r="M3" s="270"/>
      <c r="N3" s="270"/>
      <c r="P3" s="272"/>
      <c r="Q3" s="272"/>
      <c r="R3" s="272"/>
      <c r="S3" s="272"/>
      <c r="T3" s="273"/>
      <c r="U3" s="272" t="s">
        <v>5254</v>
      </c>
      <c r="X3" s="274"/>
      <c r="Y3" s="274"/>
    </row>
    <row r="4" spans="1:37" ht="19.350000000000001" customHeight="1" thickBot="1">
      <c r="C4" s="762" t="s">
        <v>5257</v>
      </c>
      <c r="D4" s="763"/>
      <c r="E4" s="763"/>
      <c r="F4" s="763"/>
      <c r="G4" s="763"/>
      <c r="H4" s="764"/>
      <c r="I4" s="735" t="s">
        <v>127</v>
      </c>
      <c r="J4" s="737" t="s">
        <v>40</v>
      </c>
      <c r="K4" s="739" t="s">
        <v>41</v>
      </c>
      <c r="L4" s="741" t="s">
        <v>42</v>
      </c>
      <c r="M4" s="743" t="s">
        <v>5183</v>
      </c>
      <c r="N4" s="745" t="s">
        <v>5184</v>
      </c>
      <c r="O4" s="273"/>
      <c r="P4" s="272"/>
      <c r="Q4" s="272"/>
      <c r="R4" s="268">
        <f>IF(V4=0,0,1)</f>
        <v>0</v>
      </c>
      <c r="S4" s="272"/>
      <c r="T4" s="273"/>
      <c r="U4" s="275" t="s">
        <v>128</v>
      </c>
      <c r="V4" s="276">
        <f>SUM(M36,M57,M78,M90)</f>
        <v>0</v>
      </c>
      <c r="W4" s="277" t="s">
        <v>4186</v>
      </c>
    </row>
    <row r="5" spans="1:37" ht="19.350000000000001" customHeight="1">
      <c r="C5" s="765"/>
      <c r="D5" s="766"/>
      <c r="E5" s="766"/>
      <c r="F5" s="766"/>
      <c r="G5" s="766"/>
      <c r="H5" s="767"/>
      <c r="I5" s="736"/>
      <c r="J5" s="738"/>
      <c r="K5" s="740"/>
      <c r="L5" s="742"/>
      <c r="M5" s="744"/>
      <c r="N5" s="746"/>
      <c r="O5" s="273"/>
      <c r="P5" s="547" t="s">
        <v>5255</v>
      </c>
      <c r="Q5" s="547" t="s">
        <v>5256</v>
      </c>
      <c r="R5" s="547" t="s">
        <v>5059</v>
      </c>
      <c r="S5" s="547" t="s">
        <v>5209</v>
      </c>
      <c r="T5" s="273"/>
      <c r="U5" s="279" t="s">
        <v>129</v>
      </c>
      <c r="V5" s="280">
        <f>V4*0.0258</f>
        <v>0</v>
      </c>
      <c r="W5" s="281" t="s">
        <v>131</v>
      </c>
      <c r="X5" s="282"/>
    </row>
    <row r="6" spans="1:37" ht="19.350000000000001" customHeight="1" thickBot="1">
      <c r="C6" s="283"/>
      <c r="D6" s="77" t="s">
        <v>5258</v>
      </c>
      <c r="E6" s="10"/>
      <c r="F6" s="284"/>
      <c r="G6" s="284"/>
      <c r="H6" s="284"/>
      <c r="I6" s="11"/>
      <c r="J6" s="12"/>
      <c r="K6" s="285" t="str">
        <f t="shared" ref="K6:K33" si="0">IF(AND(I6="",J6=""),"",SUM(I6)-SUM(J6))</f>
        <v/>
      </c>
      <c r="L6" s="286" t="s">
        <v>5036</v>
      </c>
      <c r="M6" s="1072" t="str">
        <f t="shared" ref="M6:M33" si="1">IFERROR(IF(K6="","",$K6*R6),"----------")</f>
        <v/>
      </c>
      <c r="N6" s="287" t="str">
        <f t="shared" ref="N6:N33" si="2">IFERROR(IF(K6="","",$M6*S6*44/12),"----------")</f>
        <v/>
      </c>
      <c r="O6" s="288"/>
      <c r="P6" s="548" t="s">
        <v>120</v>
      </c>
      <c r="Q6" s="548" t="s">
        <v>120</v>
      </c>
      <c r="R6" s="548">
        <f t="shared" ref="R6:R34" si="3">IF($T$1=2022,VLOOKUP($P6,係数2022,7,0),VLOOKUP($Q6,係数2023,7,0))</f>
        <v>38.299999999999997</v>
      </c>
      <c r="S6" s="549">
        <f t="shared" ref="S6:S34" si="4">IF($T$1=2022,VLOOKUP($P6,係数2022,9,0),VLOOKUP($Q6,係数2023,9,0))</f>
        <v>1.9E-2</v>
      </c>
      <c r="T6" s="288"/>
      <c r="U6" s="291" t="s">
        <v>132</v>
      </c>
      <c r="V6" s="292">
        <f>ROUNDDOWN(SUM(N36,N57,N78,N90),0)</f>
        <v>0</v>
      </c>
      <c r="W6" s="293" t="s">
        <v>5185</v>
      </c>
    </row>
    <row r="7" spans="1:37" ht="19.350000000000001" customHeight="1">
      <c r="C7" s="294"/>
      <c r="D7" s="17" t="s">
        <v>5259</v>
      </c>
      <c r="E7" s="16"/>
      <c r="F7" s="295"/>
      <c r="G7" s="295"/>
      <c r="H7" s="296"/>
      <c r="I7" s="14"/>
      <c r="J7" s="15"/>
      <c r="K7" s="297" t="str">
        <f>IF(AND(I7="",J7=""),"",SUM(I7)-SUM(J7))</f>
        <v/>
      </c>
      <c r="L7" s="298" t="s">
        <v>5036</v>
      </c>
      <c r="M7" s="1073" t="str">
        <f t="shared" si="1"/>
        <v/>
      </c>
      <c r="N7" s="299" t="str">
        <f t="shared" si="2"/>
        <v/>
      </c>
      <c r="O7" s="288"/>
      <c r="P7" s="289" t="s">
        <v>121</v>
      </c>
      <c r="Q7" s="289" t="s">
        <v>121</v>
      </c>
      <c r="R7" s="289">
        <f t="shared" si="3"/>
        <v>34.799999999999997</v>
      </c>
      <c r="S7" s="290">
        <f t="shared" si="4"/>
        <v>1.83E-2</v>
      </c>
      <c r="T7" s="288"/>
    </row>
    <row r="8" spans="1:37" ht="19.350000000000001" customHeight="1">
      <c r="C8" s="294"/>
      <c r="D8" s="17" t="s">
        <v>5210</v>
      </c>
      <c r="E8" s="16"/>
      <c r="F8" s="295"/>
      <c r="G8" s="295"/>
      <c r="H8" s="296"/>
      <c r="I8" s="14"/>
      <c r="J8" s="15"/>
      <c r="K8" s="297" t="str">
        <f t="shared" si="0"/>
        <v/>
      </c>
      <c r="L8" s="298" t="s">
        <v>5036</v>
      </c>
      <c r="M8" s="1073" t="str">
        <f t="shared" si="1"/>
        <v/>
      </c>
      <c r="N8" s="299" t="str">
        <f t="shared" si="2"/>
        <v/>
      </c>
      <c r="O8" s="288"/>
      <c r="P8" s="289" t="s">
        <v>5210</v>
      </c>
      <c r="Q8" s="289" t="s">
        <v>5210</v>
      </c>
      <c r="R8" s="289">
        <f t="shared" si="3"/>
        <v>33.4</v>
      </c>
      <c r="S8" s="290">
        <f t="shared" si="4"/>
        <v>1.8700000000000001E-2</v>
      </c>
      <c r="T8" s="288"/>
      <c r="U8" s="752" t="s">
        <v>5013</v>
      </c>
      <c r="V8" s="719" t="s">
        <v>5014</v>
      </c>
      <c r="W8" s="967"/>
      <c r="X8" s="300"/>
      <c r="Y8" s="301"/>
      <c r="Z8" s="302"/>
      <c r="AA8" s="303"/>
      <c r="AB8" s="303"/>
      <c r="AC8" s="8"/>
      <c r="AD8" s="8"/>
      <c r="AE8" s="8"/>
      <c r="AF8" s="8"/>
    </row>
    <row r="9" spans="1:37" ht="19.350000000000001" customHeight="1">
      <c r="C9" s="294"/>
      <c r="D9" s="17" t="s">
        <v>44</v>
      </c>
      <c r="E9" s="16"/>
      <c r="F9" s="295"/>
      <c r="G9" s="295"/>
      <c r="H9" s="296"/>
      <c r="I9" s="14"/>
      <c r="J9" s="15"/>
      <c r="K9" s="297" t="str">
        <f t="shared" si="0"/>
        <v/>
      </c>
      <c r="L9" s="298" t="s">
        <v>5036</v>
      </c>
      <c r="M9" s="1073" t="str">
        <f t="shared" si="1"/>
        <v/>
      </c>
      <c r="N9" s="299" t="str">
        <f t="shared" si="2"/>
        <v/>
      </c>
      <c r="O9" s="288"/>
      <c r="P9" s="289" t="s">
        <v>44</v>
      </c>
      <c r="Q9" s="289" t="s">
        <v>44</v>
      </c>
      <c r="R9" s="289">
        <f t="shared" si="3"/>
        <v>33.299999999999997</v>
      </c>
      <c r="S9" s="290">
        <f t="shared" si="4"/>
        <v>1.8599999999999998E-2</v>
      </c>
      <c r="T9" s="288"/>
      <c r="U9" s="753"/>
      <c r="V9" s="721"/>
      <c r="W9" s="968"/>
      <c r="X9" s="717" t="s">
        <v>5015</v>
      </c>
      <c r="Y9" s="718"/>
      <c r="Z9" s="305" t="s">
        <v>5016</v>
      </c>
      <c r="AA9" s="303"/>
      <c r="AB9" s="303"/>
      <c r="AC9" s="8"/>
      <c r="AD9" s="8"/>
      <c r="AE9" s="8"/>
      <c r="AF9" s="8"/>
      <c r="AG9" s="8"/>
    </row>
    <row r="10" spans="1:37" ht="19.350000000000001" customHeight="1">
      <c r="C10" s="294"/>
      <c r="D10" s="17" t="s">
        <v>5211</v>
      </c>
      <c r="E10" s="16"/>
      <c r="F10" s="295"/>
      <c r="G10" s="295"/>
      <c r="H10" s="296"/>
      <c r="I10" s="14"/>
      <c r="J10" s="15"/>
      <c r="K10" s="297" t="str">
        <f t="shared" si="0"/>
        <v/>
      </c>
      <c r="L10" s="298" t="s">
        <v>5036</v>
      </c>
      <c r="M10" s="1073" t="str">
        <f t="shared" si="1"/>
        <v/>
      </c>
      <c r="N10" s="299" t="str">
        <f t="shared" si="2"/>
        <v/>
      </c>
      <c r="O10" s="288"/>
      <c r="P10" s="289" t="s">
        <v>5211</v>
      </c>
      <c r="Q10" s="289" t="s">
        <v>5211</v>
      </c>
      <c r="R10" s="289">
        <f t="shared" si="3"/>
        <v>36.299999999999997</v>
      </c>
      <c r="S10" s="290">
        <f t="shared" si="4"/>
        <v>1.8599999999999998E-2</v>
      </c>
      <c r="T10" s="288"/>
      <c r="U10" s="306" t="s">
        <v>5017</v>
      </c>
      <c r="V10" s="310">
        <f>M36</f>
        <v>0</v>
      </c>
      <c r="W10" s="311" t="s">
        <v>4186</v>
      </c>
      <c r="X10" s="758"/>
      <c r="Y10" s="759"/>
      <c r="Z10" s="309"/>
      <c r="AA10" s="303"/>
      <c r="AB10" s="303"/>
      <c r="AC10" s="8"/>
      <c r="AD10" s="8"/>
      <c r="AE10" s="8"/>
      <c r="AF10" s="8"/>
      <c r="AG10" s="8"/>
      <c r="AH10" s="268"/>
    </row>
    <row r="11" spans="1:37" ht="19.350000000000001" customHeight="1">
      <c r="C11" s="294"/>
      <c r="D11" s="17" t="s">
        <v>45</v>
      </c>
      <c r="E11" s="16"/>
      <c r="F11" s="295"/>
      <c r="G11" s="295"/>
      <c r="H11" s="296"/>
      <c r="I11" s="14"/>
      <c r="J11" s="15"/>
      <c r="K11" s="297" t="str">
        <f t="shared" si="0"/>
        <v/>
      </c>
      <c r="L11" s="298" t="s">
        <v>5036</v>
      </c>
      <c r="M11" s="1073" t="str">
        <f t="shared" si="1"/>
        <v/>
      </c>
      <c r="N11" s="299" t="str">
        <f t="shared" si="2"/>
        <v/>
      </c>
      <c r="O11" s="288"/>
      <c r="P11" s="289" t="s">
        <v>45</v>
      </c>
      <c r="Q11" s="289" t="s">
        <v>45</v>
      </c>
      <c r="R11" s="289">
        <f t="shared" si="3"/>
        <v>36.5</v>
      </c>
      <c r="S11" s="290">
        <f t="shared" si="4"/>
        <v>1.8700000000000001E-2</v>
      </c>
      <c r="T11" s="288"/>
      <c r="U11" s="306" t="s">
        <v>5018</v>
      </c>
      <c r="V11" s="310">
        <f>IF(T1=2022,"-------------------",SUM(M57))</f>
        <v>0</v>
      </c>
      <c r="W11" s="311" t="s">
        <v>4186</v>
      </c>
      <c r="X11" s="310">
        <f>IF(T1=2022,"-------------------",SUM(M57))</f>
        <v>0</v>
      </c>
      <c r="Y11" s="311" t="s">
        <v>4186</v>
      </c>
      <c r="Z11" s="312" t="str">
        <f>IF(T1=2022,"---------------",IF(V11&lt;&gt;0,X11/V11,"---------------"))</f>
        <v>---------------</v>
      </c>
      <c r="AA11" s="303"/>
      <c r="AB11" s="303"/>
      <c r="AC11" s="8"/>
      <c r="AD11" s="8"/>
      <c r="AE11" s="8"/>
      <c r="AF11" s="8"/>
      <c r="AI11" s="268"/>
      <c r="AJ11" s="268"/>
    </row>
    <row r="12" spans="1:37" ht="19.350000000000001" customHeight="1" thickBot="1">
      <c r="C12" s="294"/>
      <c r="D12" s="17" t="s">
        <v>46</v>
      </c>
      <c r="E12" s="16"/>
      <c r="F12" s="295"/>
      <c r="G12" s="295"/>
      <c r="H12" s="296"/>
      <c r="I12" s="14"/>
      <c r="J12" s="15"/>
      <c r="K12" s="297" t="str">
        <f t="shared" si="0"/>
        <v/>
      </c>
      <c r="L12" s="298" t="s">
        <v>5036</v>
      </c>
      <c r="M12" s="1073" t="str">
        <f t="shared" si="1"/>
        <v/>
      </c>
      <c r="N12" s="299" t="str">
        <f t="shared" si="2"/>
        <v/>
      </c>
      <c r="O12" s="288"/>
      <c r="P12" s="289" t="s">
        <v>46</v>
      </c>
      <c r="Q12" s="289" t="s">
        <v>46</v>
      </c>
      <c r="R12" s="289">
        <f t="shared" si="3"/>
        <v>38</v>
      </c>
      <c r="S12" s="290">
        <f t="shared" si="4"/>
        <v>1.8800000000000001E-2</v>
      </c>
      <c r="T12" s="288"/>
      <c r="U12" s="306" t="s">
        <v>5042</v>
      </c>
      <c r="V12" s="315">
        <f>SUM(M78)</f>
        <v>0</v>
      </c>
      <c r="W12" s="316" t="s">
        <v>4186</v>
      </c>
      <c r="X12" s="315">
        <f>IF(T1=2022,"-------------------",SUM(M77))</f>
        <v>0</v>
      </c>
      <c r="Y12" s="316" t="s">
        <v>4186</v>
      </c>
      <c r="Z12" s="317" t="str">
        <f>IF(T1=2022,"---------------",IF(V12=0,"---------------",X12/V12))</f>
        <v>---------------</v>
      </c>
      <c r="AA12" s="303"/>
      <c r="AB12" s="303"/>
      <c r="AC12" s="8"/>
      <c r="AD12" s="8"/>
      <c r="AE12" s="8"/>
      <c r="AF12" s="318"/>
      <c r="AG12" s="8"/>
      <c r="AI12" s="268"/>
      <c r="AJ12" s="268"/>
      <c r="AK12" s="268"/>
    </row>
    <row r="13" spans="1:37" ht="19.350000000000001" customHeight="1" thickTop="1">
      <c r="C13" s="319"/>
      <c r="D13" s="17" t="s">
        <v>47</v>
      </c>
      <c r="E13" s="16"/>
      <c r="F13" s="295"/>
      <c r="G13" s="295"/>
      <c r="H13" s="296"/>
      <c r="I13" s="14"/>
      <c r="J13" s="15"/>
      <c r="K13" s="297" t="str">
        <f t="shared" si="0"/>
        <v/>
      </c>
      <c r="L13" s="298" t="s">
        <v>5036</v>
      </c>
      <c r="M13" s="1073" t="str">
        <f t="shared" si="1"/>
        <v/>
      </c>
      <c r="N13" s="299" t="str">
        <f t="shared" si="2"/>
        <v/>
      </c>
      <c r="O13" s="288"/>
      <c r="P13" s="289" t="s">
        <v>47</v>
      </c>
      <c r="Q13" s="289" t="s">
        <v>47</v>
      </c>
      <c r="R13" s="289">
        <f t="shared" si="3"/>
        <v>38.9</v>
      </c>
      <c r="S13" s="290">
        <f t="shared" si="4"/>
        <v>1.9300000000000001E-2</v>
      </c>
      <c r="T13" s="288"/>
      <c r="U13" s="306" t="s">
        <v>5320</v>
      </c>
      <c r="V13" s="322">
        <f>SUM(V10:V12)</f>
        <v>0</v>
      </c>
      <c r="W13" s="323" t="s">
        <v>4186</v>
      </c>
      <c r="X13" s="322">
        <f>IF($T$1=2022,"-------------------",SUM(X11,X12))</f>
        <v>0</v>
      </c>
      <c r="Y13" s="323" t="s">
        <v>4186</v>
      </c>
      <c r="Z13" s="324">
        <f>IF($T$1=2022,"---------------",IF(X13=0,0,X13/V13))</f>
        <v>0</v>
      </c>
      <c r="AA13" s="303"/>
      <c r="AB13" s="303"/>
      <c r="AC13" s="8"/>
      <c r="AD13" s="8"/>
      <c r="AE13" s="8"/>
      <c r="AF13" s="318"/>
    </row>
    <row r="14" spans="1:37" ht="19.350000000000001" customHeight="1">
      <c r="C14" s="319"/>
      <c r="D14" s="325" t="s">
        <v>48</v>
      </c>
      <c r="E14" s="326"/>
      <c r="F14" s="327"/>
      <c r="G14" s="327"/>
      <c r="H14" s="328"/>
      <c r="I14" s="185"/>
      <c r="J14" s="15"/>
      <c r="K14" s="297" t="str">
        <f t="shared" si="0"/>
        <v/>
      </c>
      <c r="L14" s="298" t="s">
        <v>5036</v>
      </c>
      <c r="M14" s="1073" t="str">
        <f t="shared" si="1"/>
        <v/>
      </c>
      <c r="N14" s="299" t="str">
        <f t="shared" si="2"/>
        <v/>
      </c>
      <c r="O14" s="288"/>
      <c r="P14" s="289" t="s">
        <v>48</v>
      </c>
      <c r="Q14" s="289" t="s">
        <v>48</v>
      </c>
      <c r="R14" s="289">
        <f t="shared" si="3"/>
        <v>41.8</v>
      </c>
      <c r="S14" s="290">
        <f t="shared" si="4"/>
        <v>2.0199999999999999E-2</v>
      </c>
      <c r="T14" s="288"/>
      <c r="U14"/>
      <c r="V14" s="329"/>
      <c r="W14" s="329"/>
      <c r="X14" s="329"/>
      <c r="Y14" s="329"/>
      <c r="Z14" s="329"/>
      <c r="AA14" s="329"/>
      <c r="AB14" s="303"/>
      <c r="AC14" s="8"/>
      <c r="AD14" s="8"/>
      <c r="AE14" s="8"/>
    </row>
    <row r="15" spans="1:37" ht="19.350000000000001" customHeight="1">
      <c r="C15" s="319"/>
      <c r="D15" s="17" t="s">
        <v>49</v>
      </c>
      <c r="E15" s="16"/>
      <c r="F15" s="295"/>
      <c r="G15" s="295"/>
      <c r="H15" s="296"/>
      <c r="I15" s="185"/>
      <c r="J15" s="15"/>
      <c r="K15" s="297" t="str">
        <f t="shared" si="0"/>
        <v/>
      </c>
      <c r="L15" s="298" t="s">
        <v>5035</v>
      </c>
      <c r="M15" s="1073" t="str">
        <f t="shared" si="1"/>
        <v/>
      </c>
      <c r="N15" s="299" t="str">
        <f t="shared" si="2"/>
        <v/>
      </c>
      <c r="O15" s="288"/>
      <c r="P15" s="289" t="s">
        <v>49</v>
      </c>
      <c r="Q15" s="289" t="s">
        <v>49</v>
      </c>
      <c r="R15" s="289">
        <f t="shared" si="3"/>
        <v>40</v>
      </c>
      <c r="S15" s="290">
        <f t="shared" si="4"/>
        <v>2.0400000000000001E-2</v>
      </c>
      <c r="T15" s="288"/>
      <c r="U15" s="752" t="s">
        <v>5013</v>
      </c>
      <c r="V15" s="719" t="s">
        <v>5260</v>
      </c>
      <c r="W15" s="967"/>
      <c r="X15" s="300"/>
      <c r="Y15" s="301"/>
      <c r="Z15" s="302"/>
      <c r="AA15" s="329"/>
      <c r="AB15" s="303"/>
      <c r="AC15" s="8"/>
      <c r="AD15" s="8"/>
      <c r="AE15" s="8"/>
      <c r="AF15" s="8"/>
      <c r="AH15" s="268"/>
    </row>
    <row r="16" spans="1:37" ht="19.350000000000001" customHeight="1">
      <c r="C16" s="294"/>
      <c r="D16" s="330" t="s">
        <v>52</v>
      </c>
      <c r="E16" s="331"/>
      <c r="F16" s="295"/>
      <c r="G16" s="295"/>
      <c r="H16" s="296"/>
      <c r="I16" s="185"/>
      <c r="J16" s="15"/>
      <c r="K16" s="297" t="str">
        <f t="shared" si="0"/>
        <v/>
      </c>
      <c r="L16" s="298" t="s">
        <v>5035</v>
      </c>
      <c r="M16" s="1073" t="str">
        <f t="shared" si="1"/>
        <v/>
      </c>
      <c r="N16" s="299" t="str">
        <f t="shared" si="2"/>
        <v/>
      </c>
      <c r="O16" s="288"/>
      <c r="P16" s="289" t="s">
        <v>52</v>
      </c>
      <c r="Q16" s="289" t="s">
        <v>52</v>
      </c>
      <c r="R16" s="289">
        <f t="shared" si="3"/>
        <v>34.1</v>
      </c>
      <c r="S16" s="290">
        <f t="shared" si="4"/>
        <v>2.4500000000000001E-2</v>
      </c>
      <c r="T16" s="288"/>
      <c r="U16" s="753"/>
      <c r="V16" s="721"/>
      <c r="W16" s="968"/>
      <c r="X16" s="717" t="s">
        <v>5262</v>
      </c>
      <c r="Y16" s="718"/>
      <c r="Z16" s="305" t="s">
        <v>5016</v>
      </c>
      <c r="AA16" s="263"/>
      <c r="AB16" s="263"/>
    </row>
    <row r="17" spans="3:36" ht="19.350000000000001" customHeight="1">
      <c r="C17" s="319"/>
      <c r="D17" s="777" t="s">
        <v>53</v>
      </c>
      <c r="E17" s="778"/>
      <c r="F17" s="333" t="s">
        <v>5212</v>
      </c>
      <c r="G17" s="339"/>
      <c r="H17" s="335"/>
      <c r="I17" s="185"/>
      <c r="J17" s="15"/>
      <c r="K17" s="297" t="str">
        <f t="shared" si="0"/>
        <v/>
      </c>
      <c r="L17" s="298" t="s">
        <v>5035</v>
      </c>
      <c r="M17" s="1073" t="str">
        <f t="shared" si="1"/>
        <v/>
      </c>
      <c r="N17" s="299" t="str">
        <f t="shared" si="2"/>
        <v/>
      </c>
      <c r="O17" s="288"/>
      <c r="P17" s="289" t="s">
        <v>5212</v>
      </c>
      <c r="Q17" s="289" t="s">
        <v>5212</v>
      </c>
      <c r="R17" s="289">
        <f t="shared" si="3"/>
        <v>50.1</v>
      </c>
      <c r="S17" s="290">
        <f t="shared" si="4"/>
        <v>1.6299999999999999E-2</v>
      </c>
      <c r="T17" s="288"/>
      <c r="U17" s="306" t="s">
        <v>5019</v>
      </c>
      <c r="V17" s="550">
        <f>K90</f>
        <v>0</v>
      </c>
      <c r="W17" s="301" t="s">
        <v>5390</v>
      </c>
      <c r="X17" s="338">
        <f>K89</f>
        <v>0</v>
      </c>
      <c r="Y17" s="311" t="s">
        <v>5264</v>
      </c>
      <c r="Z17" s="312">
        <f>IF($T$1=2022,"----------",IF(V17=0,0,X17/V17))</f>
        <v>0</v>
      </c>
      <c r="AA17" s="263"/>
      <c r="AB17" s="263"/>
      <c r="AH17" s="268"/>
    </row>
    <row r="18" spans="3:36" ht="19.350000000000001" customHeight="1">
      <c r="C18" s="319"/>
      <c r="D18" s="779"/>
      <c r="E18" s="780"/>
      <c r="F18" s="268" t="s">
        <v>5404</v>
      </c>
      <c r="G18" s="16"/>
      <c r="H18" s="335"/>
      <c r="I18" s="185"/>
      <c r="J18" s="15"/>
      <c r="K18" s="297" t="str">
        <f t="shared" si="0"/>
        <v/>
      </c>
      <c r="L18" s="340" t="s">
        <v>5261</v>
      </c>
      <c r="M18" s="1073" t="str">
        <f t="shared" si="1"/>
        <v/>
      </c>
      <c r="N18" s="299" t="str">
        <f t="shared" si="2"/>
        <v/>
      </c>
      <c r="O18" s="288"/>
      <c r="P18" s="289" t="s">
        <v>5213</v>
      </c>
      <c r="Q18" s="289" t="s">
        <v>5213</v>
      </c>
      <c r="R18" s="289">
        <f t="shared" si="3"/>
        <v>46.1</v>
      </c>
      <c r="S18" s="290">
        <f t="shared" si="4"/>
        <v>1.44E-2</v>
      </c>
      <c r="T18" s="288"/>
      <c r="V18" s="263"/>
      <c r="W18" s="263"/>
      <c r="X18" s="263"/>
      <c r="Y18" s="263"/>
      <c r="Z18" s="263"/>
      <c r="AA18" s="263"/>
      <c r="AB18" s="263"/>
      <c r="AH18" s="268"/>
    </row>
    <row r="19" spans="3:36" ht="19.350000000000001" customHeight="1">
      <c r="C19" s="319" t="s">
        <v>5020</v>
      </c>
      <c r="D19" s="777" t="s">
        <v>56</v>
      </c>
      <c r="E19" s="778"/>
      <c r="F19" s="341" t="s">
        <v>5214</v>
      </c>
      <c r="G19" s="17"/>
      <c r="H19" s="335"/>
      <c r="I19" s="185"/>
      <c r="J19" s="15"/>
      <c r="K19" s="297" t="str">
        <f t="shared" si="0"/>
        <v/>
      </c>
      <c r="L19" s="298" t="s">
        <v>5035</v>
      </c>
      <c r="M19" s="1073" t="str">
        <f t="shared" si="1"/>
        <v/>
      </c>
      <c r="N19" s="299" t="str">
        <f t="shared" si="2"/>
        <v/>
      </c>
      <c r="O19" s="288"/>
      <c r="P19" s="289" t="s">
        <v>5214</v>
      </c>
      <c r="Q19" s="289" t="s">
        <v>5214</v>
      </c>
      <c r="R19" s="289">
        <f t="shared" si="3"/>
        <v>54.7</v>
      </c>
      <c r="S19" s="290">
        <f t="shared" si="4"/>
        <v>1.3899999999999999E-2</v>
      </c>
      <c r="T19" s="288"/>
      <c r="U19" s="342"/>
      <c r="V19" s="345" t="s">
        <v>5021</v>
      </c>
      <c r="W19" s="346"/>
      <c r="X19" s="345" t="s">
        <v>5022</v>
      </c>
      <c r="Y19" s="346"/>
      <c r="Z19" s="263"/>
      <c r="AA19" s="263"/>
      <c r="AB19" s="263"/>
      <c r="AH19" s="268"/>
    </row>
    <row r="20" spans="3:36" ht="19.350000000000001" customHeight="1">
      <c r="C20" s="319" t="s">
        <v>5023</v>
      </c>
      <c r="D20" s="779"/>
      <c r="E20" s="780"/>
      <c r="F20" s="339" t="s">
        <v>58</v>
      </c>
      <c r="G20" s="16"/>
      <c r="H20" s="335"/>
      <c r="I20" s="185"/>
      <c r="J20" s="15"/>
      <c r="K20" s="297" t="str">
        <f t="shared" si="0"/>
        <v/>
      </c>
      <c r="L20" s="340" t="s">
        <v>5261</v>
      </c>
      <c r="M20" s="1073" t="str">
        <f t="shared" si="1"/>
        <v/>
      </c>
      <c r="N20" s="299" t="str">
        <f t="shared" si="2"/>
        <v/>
      </c>
      <c r="O20" s="288"/>
      <c r="P20" s="289" t="s">
        <v>58</v>
      </c>
      <c r="Q20" s="289" t="s">
        <v>58</v>
      </c>
      <c r="R20" s="289">
        <f t="shared" si="3"/>
        <v>38.4</v>
      </c>
      <c r="S20" s="290">
        <f t="shared" si="4"/>
        <v>1.3899999999999999E-2</v>
      </c>
      <c r="T20" s="288"/>
      <c r="U20" s="306" t="s">
        <v>5265</v>
      </c>
      <c r="V20" s="751">
        <f>IF($T$1=2022,"----------",IF(X17=0,0,X17/V17))</f>
        <v>0</v>
      </c>
      <c r="W20" s="964"/>
      <c r="X20" s="751">
        <f>Z13</f>
        <v>0</v>
      </c>
      <c r="Y20" s="718"/>
      <c r="Z20" s="263"/>
      <c r="AA20" s="263"/>
      <c r="AB20" s="263"/>
      <c r="AH20" s="268"/>
    </row>
    <row r="21" spans="3:36" ht="19.350000000000001" customHeight="1">
      <c r="C21" s="319" t="s">
        <v>5024</v>
      </c>
      <c r="D21" s="347" t="s">
        <v>60</v>
      </c>
      <c r="E21" s="332"/>
      <c r="F21" s="348"/>
      <c r="G21" s="17" t="s">
        <v>5025</v>
      </c>
      <c r="H21" s="335"/>
      <c r="I21" s="185"/>
      <c r="J21" s="15"/>
      <c r="K21" s="297" t="str">
        <f t="shared" ref="K21" si="5">IF(AND(I21="",J21=""),"",SUM(I21)-SUM(J21))</f>
        <v/>
      </c>
      <c r="L21" s="298" t="s">
        <v>5035</v>
      </c>
      <c r="M21" s="1073" t="str">
        <f t="shared" si="1"/>
        <v/>
      </c>
      <c r="N21" s="299" t="str">
        <f t="shared" si="2"/>
        <v/>
      </c>
      <c r="O21" s="288"/>
      <c r="P21" s="289" t="s">
        <v>61</v>
      </c>
      <c r="Q21" s="289" t="s">
        <v>5025</v>
      </c>
      <c r="R21" s="289">
        <f t="shared" si="3"/>
        <v>28.7</v>
      </c>
      <c r="S21" s="290">
        <f t="shared" si="4"/>
        <v>2.46E-2</v>
      </c>
      <c r="T21" s="288"/>
      <c r="V21" s="263"/>
      <c r="W21" s="263"/>
      <c r="X21" s="263"/>
      <c r="Y21" s="263"/>
      <c r="Z21" s="263"/>
      <c r="AA21" s="263"/>
      <c r="AB21" s="263"/>
      <c r="AH21" s="268"/>
    </row>
    <row r="22" spans="3:36" ht="19.350000000000001" customHeight="1" thickBot="1">
      <c r="C22" s="319" t="s">
        <v>5026</v>
      </c>
      <c r="D22" s="349"/>
      <c r="E22" s="350"/>
      <c r="F22" s="351" t="s">
        <v>5027</v>
      </c>
      <c r="G22" s="17" t="s">
        <v>5028</v>
      </c>
      <c r="H22" s="335"/>
      <c r="I22" s="185"/>
      <c r="J22" s="15"/>
      <c r="K22" s="297" t="str">
        <f t="shared" si="0"/>
        <v/>
      </c>
      <c r="L22" s="298" t="s">
        <v>5035</v>
      </c>
      <c r="M22" s="1073" t="str">
        <f>IFERROR(IF(K22="","",$K22*R22),"----------")</f>
        <v/>
      </c>
      <c r="N22" s="299" t="str">
        <f t="shared" si="2"/>
        <v/>
      </c>
      <c r="O22" s="288"/>
      <c r="P22" s="551"/>
      <c r="Q22" s="289" t="s">
        <v>5028</v>
      </c>
      <c r="R22" s="289">
        <f t="shared" si="3"/>
        <v>28.9</v>
      </c>
      <c r="S22" s="290">
        <f t="shared" si="4"/>
        <v>2.4500000000000001E-2</v>
      </c>
      <c r="T22" s="288"/>
      <c r="U22" s="272" t="s">
        <v>5187</v>
      </c>
      <c r="V22" s="263"/>
      <c r="W22" s="263"/>
      <c r="X22" s="263"/>
      <c r="Y22" s="263"/>
      <c r="Z22" s="263"/>
      <c r="AA22" s="263"/>
      <c r="AB22" s="263"/>
      <c r="AH22" s="268"/>
    </row>
    <row r="23" spans="3:36" ht="19.350000000000001" customHeight="1" thickBot="1">
      <c r="C23" s="294"/>
      <c r="D23" s="349"/>
      <c r="E23" s="350"/>
      <c r="F23" s="352"/>
      <c r="G23" s="17" t="s">
        <v>5029</v>
      </c>
      <c r="H23" s="335"/>
      <c r="I23" s="185"/>
      <c r="J23" s="15"/>
      <c r="K23" s="297" t="str">
        <f t="shared" ref="K23:K26" si="6">IF(AND(I23="",J23=""),"",SUM(I23)-SUM(J23))</f>
        <v/>
      </c>
      <c r="L23" s="298" t="s">
        <v>5035</v>
      </c>
      <c r="M23" s="1073" t="str">
        <f t="shared" si="1"/>
        <v/>
      </c>
      <c r="N23" s="299" t="str">
        <f t="shared" si="2"/>
        <v/>
      </c>
      <c r="O23" s="288"/>
      <c r="P23" s="551"/>
      <c r="Q23" s="289" t="s">
        <v>5029</v>
      </c>
      <c r="R23" s="289">
        <f t="shared" si="3"/>
        <v>28.3</v>
      </c>
      <c r="S23" s="290">
        <f t="shared" si="4"/>
        <v>2.5100000000000001E-2</v>
      </c>
      <c r="T23" s="288"/>
      <c r="U23" s="353" t="s">
        <v>132</v>
      </c>
      <c r="V23" s="354">
        <f>SUM(G103)</f>
        <v>0</v>
      </c>
      <c r="W23" s="579" t="s">
        <v>5391</v>
      </c>
      <c r="X23" s="263"/>
      <c r="Y23" s="263"/>
      <c r="Z23" s="263"/>
      <c r="AA23" s="263"/>
      <c r="AB23" s="263"/>
      <c r="AH23" s="268"/>
    </row>
    <row r="24" spans="3:36" ht="19.350000000000001" customHeight="1">
      <c r="C24" s="294"/>
      <c r="D24" s="349"/>
      <c r="E24" s="350"/>
      <c r="F24" s="775" t="s">
        <v>5030</v>
      </c>
      <c r="G24" s="17" t="s">
        <v>5031</v>
      </c>
      <c r="H24" s="335"/>
      <c r="I24" s="185"/>
      <c r="J24" s="15"/>
      <c r="K24" s="297" t="str">
        <f t="shared" si="6"/>
        <v/>
      </c>
      <c r="L24" s="298" t="s">
        <v>5035</v>
      </c>
      <c r="M24" s="1073" t="str">
        <f t="shared" si="1"/>
        <v/>
      </c>
      <c r="N24" s="299" t="str">
        <f t="shared" si="2"/>
        <v/>
      </c>
      <c r="O24" s="288"/>
      <c r="P24" s="289" t="s">
        <v>5218</v>
      </c>
      <c r="Q24" s="289" t="s">
        <v>5031</v>
      </c>
      <c r="R24" s="289">
        <f t="shared" si="3"/>
        <v>26.1</v>
      </c>
      <c r="S24" s="290">
        <f t="shared" si="4"/>
        <v>2.4299999999999999E-2</v>
      </c>
      <c r="T24" s="288"/>
      <c r="V24" s="263"/>
      <c r="W24" s="263"/>
      <c r="X24" s="263"/>
      <c r="Y24" s="263"/>
      <c r="Z24" s="263"/>
      <c r="AA24" s="263"/>
      <c r="AB24" s="263"/>
      <c r="AH24" s="268"/>
    </row>
    <row r="25" spans="3:36" ht="19.350000000000001" customHeight="1" thickBot="1">
      <c r="C25" s="294"/>
      <c r="D25" s="349"/>
      <c r="E25" s="350"/>
      <c r="F25" s="776"/>
      <c r="G25" s="356" t="s">
        <v>5032</v>
      </c>
      <c r="H25" s="335"/>
      <c r="I25" s="185"/>
      <c r="J25" s="15"/>
      <c r="K25" s="297" t="str">
        <f t="shared" si="6"/>
        <v/>
      </c>
      <c r="L25" s="298" t="s">
        <v>5035</v>
      </c>
      <c r="M25" s="1073" t="str">
        <f t="shared" si="1"/>
        <v/>
      </c>
      <c r="N25" s="299" t="str">
        <f t="shared" si="2"/>
        <v/>
      </c>
      <c r="O25" s="288"/>
      <c r="P25" s="551"/>
      <c r="Q25" s="289" t="s">
        <v>5032</v>
      </c>
      <c r="R25" s="289">
        <f t="shared" si="3"/>
        <v>24.2</v>
      </c>
      <c r="S25" s="290">
        <f t="shared" si="4"/>
        <v>2.4199999999999999E-2</v>
      </c>
      <c r="T25" s="288"/>
      <c r="U25" s="272" t="s">
        <v>141</v>
      </c>
      <c r="V25" s="263"/>
      <c r="W25" s="263"/>
      <c r="X25" s="263"/>
      <c r="Y25" s="263"/>
      <c r="Z25" s="263"/>
      <c r="AA25" s="263"/>
      <c r="AB25" s="263"/>
      <c r="AH25" s="268"/>
    </row>
    <row r="26" spans="3:36" ht="19.350000000000001" customHeight="1" thickBot="1">
      <c r="C26" s="294"/>
      <c r="D26" s="349"/>
      <c r="E26" s="350"/>
      <c r="F26" s="357" t="s">
        <v>5033</v>
      </c>
      <c r="G26" s="358"/>
      <c r="H26" s="359"/>
      <c r="I26" s="185"/>
      <c r="J26" s="15"/>
      <c r="K26" s="297" t="str">
        <f t="shared" si="6"/>
        <v/>
      </c>
      <c r="L26" s="298" t="s">
        <v>5035</v>
      </c>
      <c r="M26" s="1073" t="str">
        <f t="shared" si="1"/>
        <v/>
      </c>
      <c r="N26" s="299" t="str">
        <f t="shared" si="2"/>
        <v/>
      </c>
      <c r="O26" s="288"/>
      <c r="P26" s="289" t="s">
        <v>5220</v>
      </c>
      <c r="Q26" s="289" t="s">
        <v>5033</v>
      </c>
      <c r="R26" s="289">
        <f t="shared" si="3"/>
        <v>27.8</v>
      </c>
      <c r="S26" s="290">
        <f t="shared" si="4"/>
        <v>2.5899999999999999E-2</v>
      </c>
      <c r="T26" s="288"/>
      <c r="U26" s="353" t="s">
        <v>165</v>
      </c>
      <c r="V26" s="354">
        <f>SUM(G116)</f>
        <v>0</v>
      </c>
      <c r="W26" s="579" t="s">
        <v>5391</v>
      </c>
      <c r="X26" s="263"/>
      <c r="Y26" s="263"/>
      <c r="Z26" s="263"/>
      <c r="AA26" s="263"/>
      <c r="AB26" s="263"/>
      <c r="AH26" s="268"/>
    </row>
    <row r="27" spans="3:36" ht="19.350000000000001" customHeight="1" thickBot="1">
      <c r="C27" s="294"/>
      <c r="D27" s="17" t="s">
        <v>62</v>
      </c>
      <c r="E27" s="360"/>
      <c r="F27" s="16"/>
      <c r="G27" s="16"/>
      <c r="H27" s="335"/>
      <c r="I27" s="185"/>
      <c r="J27" s="15"/>
      <c r="K27" s="297" t="str">
        <f t="shared" si="0"/>
        <v/>
      </c>
      <c r="L27" s="298" t="s">
        <v>5035</v>
      </c>
      <c r="M27" s="1073" t="str">
        <f t="shared" si="1"/>
        <v/>
      </c>
      <c r="N27" s="299" t="str">
        <f t="shared" si="2"/>
        <v/>
      </c>
      <c r="O27" s="288"/>
      <c r="P27" s="289" t="s">
        <v>62</v>
      </c>
      <c r="Q27" s="289" t="s">
        <v>62</v>
      </c>
      <c r="R27" s="289">
        <f t="shared" si="3"/>
        <v>29</v>
      </c>
      <c r="S27" s="290">
        <f t="shared" si="4"/>
        <v>2.9899999999999999E-2</v>
      </c>
      <c r="T27" s="288"/>
      <c r="V27" s="263"/>
      <c r="W27" s="263"/>
      <c r="X27" s="263"/>
      <c r="Y27" s="263"/>
      <c r="Z27" s="263"/>
      <c r="AA27" s="263"/>
      <c r="AB27" s="263"/>
      <c r="AH27" s="268"/>
    </row>
    <row r="28" spans="3:36" ht="19.350000000000001" customHeight="1" thickBot="1">
      <c r="C28" s="294"/>
      <c r="D28" s="17" t="s">
        <v>63</v>
      </c>
      <c r="E28" s="16"/>
      <c r="F28" s="361"/>
      <c r="G28" s="16"/>
      <c r="H28" s="335"/>
      <c r="I28" s="185"/>
      <c r="J28" s="15"/>
      <c r="K28" s="297" t="str">
        <f t="shared" si="0"/>
        <v/>
      </c>
      <c r="L28" s="298" t="s">
        <v>5035</v>
      </c>
      <c r="M28" s="1073" t="str">
        <f t="shared" si="1"/>
        <v/>
      </c>
      <c r="N28" s="299" t="str">
        <f t="shared" si="2"/>
        <v/>
      </c>
      <c r="O28" s="288"/>
      <c r="P28" s="289" t="s">
        <v>63</v>
      </c>
      <c r="Q28" s="289" t="s">
        <v>63</v>
      </c>
      <c r="R28" s="289">
        <f t="shared" si="3"/>
        <v>37.299999999999997</v>
      </c>
      <c r="S28" s="290">
        <f t="shared" si="4"/>
        <v>2.0899999999999998E-2</v>
      </c>
      <c r="T28" s="288"/>
      <c r="U28" s="362" t="s">
        <v>166</v>
      </c>
      <c r="V28" s="580">
        <f>SUM(V6,V23)-V26</f>
        <v>0</v>
      </c>
      <c r="W28" s="579" t="s">
        <v>5391</v>
      </c>
      <c r="X28" s="263"/>
      <c r="Y28" s="263"/>
      <c r="Z28" s="263"/>
      <c r="AA28" s="263"/>
      <c r="AB28" s="263"/>
      <c r="AH28" s="268"/>
    </row>
    <row r="29" spans="3:36" ht="19.350000000000001" customHeight="1">
      <c r="C29" s="294"/>
      <c r="D29" s="17" t="s">
        <v>64</v>
      </c>
      <c r="E29" s="16"/>
      <c r="F29" s="361"/>
      <c r="G29" s="16"/>
      <c r="H29" s="335"/>
      <c r="I29" s="185"/>
      <c r="J29" s="15"/>
      <c r="K29" s="297" t="str">
        <f t="shared" si="0"/>
        <v/>
      </c>
      <c r="L29" s="340" t="s">
        <v>5261</v>
      </c>
      <c r="M29" s="1073" t="str">
        <f t="shared" si="1"/>
        <v/>
      </c>
      <c r="N29" s="299" t="str">
        <f t="shared" si="2"/>
        <v/>
      </c>
      <c r="O29" s="288"/>
      <c r="P29" s="289" t="s">
        <v>64</v>
      </c>
      <c r="Q29" s="289" t="s">
        <v>64</v>
      </c>
      <c r="R29" s="289">
        <f t="shared" si="3"/>
        <v>18.399999999999999</v>
      </c>
      <c r="S29" s="290">
        <f t="shared" si="4"/>
        <v>1.09E-2</v>
      </c>
      <c r="T29" s="288"/>
      <c r="V29" s="263"/>
      <c r="W29" s="263"/>
      <c r="X29" s="263"/>
      <c r="Y29" s="263"/>
      <c r="Z29" s="263"/>
      <c r="AA29" s="263"/>
      <c r="AB29" s="263"/>
      <c r="AH29" s="268"/>
      <c r="AJ29" s="268"/>
    </row>
    <row r="30" spans="3:36" ht="19.350000000000001" customHeight="1" thickBot="1">
      <c r="C30" s="294"/>
      <c r="D30" s="364" t="s">
        <v>65</v>
      </c>
      <c r="E30" s="13"/>
      <c r="F30" s="365"/>
      <c r="G30" s="13"/>
      <c r="H30" s="366"/>
      <c r="I30" s="185"/>
      <c r="J30" s="15"/>
      <c r="K30" s="297" t="str">
        <f t="shared" si="0"/>
        <v/>
      </c>
      <c r="L30" s="340" t="s">
        <v>5261</v>
      </c>
      <c r="M30" s="1073" t="str">
        <f t="shared" si="1"/>
        <v/>
      </c>
      <c r="N30" s="299" t="str">
        <f t="shared" si="2"/>
        <v/>
      </c>
      <c r="O30" s="288"/>
      <c r="P30" s="289" t="s">
        <v>65</v>
      </c>
      <c r="Q30" s="289" t="s">
        <v>65</v>
      </c>
      <c r="R30" s="289">
        <f t="shared" si="3"/>
        <v>3.23</v>
      </c>
      <c r="S30" s="290">
        <f t="shared" si="4"/>
        <v>2.64E-2</v>
      </c>
      <c r="T30" s="288"/>
      <c r="U30" s="272" t="s">
        <v>143</v>
      </c>
      <c r="V30" s="263"/>
      <c r="W30" s="263"/>
      <c r="X30" s="263"/>
      <c r="Y30" s="263"/>
      <c r="Z30" s="263"/>
      <c r="AA30" s="263"/>
      <c r="AB30" s="263"/>
      <c r="AH30" s="268"/>
      <c r="AJ30" s="268"/>
    </row>
    <row r="31" spans="3:36" ht="19.350000000000001" customHeight="1" thickBot="1">
      <c r="C31" s="294"/>
      <c r="D31" s="17" t="s">
        <v>5034</v>
      </c>
      <c r="E31" s="16"/>
      <c r="F31" s="365"/>
      <c r="G31" s="16"/>
      <c r="H31" s="295"/>
      <c r="I31" s="185"/>
      <c r="J31" s="15"/>
      <c r="K31" s="297" t="str">
        <f t="shared" si="0"/>
        <v/>
      </c>
      <c r="L31" s="340" t="s">
        <v>5261</v>
      </c>
      <c r="M31" s="1073" t="str">
        <f t="shared" si="1"/>
        <v/>
      </c>
      <c r="N31" s="299" t="str">
        <f t="shared" si="2"/>
        <v/>
      </c>
      <c r="O31" s="288"/>
      <c r="P31" s="551"/>
      <c r="Q31" s="289" t="s">
        <v>5034</v>
      </c>
      <c r="R31" s="289">
        <f t="shared" si="3"/>
        <v>3.45</v>
      </c>
      <c r="S31" s="290">
        <f t="shared" si="4"/>
        <v>2.64E-2</v>
      </c>
      <c r="T31" s="288"/>
      <c r="U31" s="367" t="s">
        <v>3100</v>
      </c>
      <c r="V31" s="581">
        <f>IF(V28="","",IFERROR(ROUND(V28/G123,3-INT(LOG(V28/G123))),))</f>
        <v>0</v>
      </c>
      <c r="W31" s="965" t="str">
        <f>"t-CO2/"&amp;G122</f>
        <v>t-CO2/</v>
      </c>
      <c r="X31" s="966"/>
      <c r="Y31" s="263"/>
      <c r="Z31" s="263"/>
      <c r="AA31" s="263"/>
      <c r="AB31" s="263"/>
      <c r="AI31" s="268"/>
    </row>
    <row r="32" spans="3:36" ht="19.350000000000001" customHeight="1">
      <c r="C32" s="294"/>
      <c r="D32" s="17" t="s">
        <v>66</v>
      </c>
      <c r="E32" s="16"/>
      <c r="F32" s="365"/>
      <c r="G32" s="16"/>
      <c r="H32" s="335"/>
      <c r="I32" s="14"/>
      <c r="J32" s="15"/>
      <c r="K32" s="297" t="str">
        <f t="shared" si="0"/>
        <v/>
      </c>
      <c r="L32" s="340" t="s">
        <v>5261</v>
      </c>
      <c r="M32" s="1073" t="str">
        <f t="shared" si="1"/>
        <v/>
      </c>
      <c r="N32" s="299" t="str">
        <f t="shared" si="2"/>
        <v/>
      </c>
      <c r="O32" s="288"/>
      <c r="P32" s="289" t="s">
        <v>66</v>
      </c>
      <c r="Q32" s="289" t="s">
        <v>66</v>
      </c>
      <c r="R32" s="289">
        <f t="shared" si="3"/>
        <v>7.53</v>
      </c>
      <c r="S32" s="290">
        <f t="shared" si="4"/>
        <v>4.2000000000000003E-2</v>
      </c>
      <c r="T32" s="288"/>
      <c r="V32" s="263"/>
      <c r="W32" s="263"/>
      <c r="X32" s="263"/>
      <c r="Y32" s="263"/>
      <c r="Z32" s="263"/>
      <c r="AA32" s="263"/>
      <c r="AB32" s="263"/>
      <c r="AH32" s="268"/>
      <c r="AJ32" s="268"/>
    </row>
    <row r="33" spans="3:36" ht="19.350000000000001" customHeight="1">
      <c r="C33" s="294"/>
      <c r="D33" s="17" t="s">
        <v>5221</v>
      </c>
      <c r="E33" s="16"/>
      <c r="F33" s="365"/>
      <c r="G33" s="16"/>
      <c r="H33" s="335"/>
      <c r="I33" s="14"/>
      <c r="J33" s="15"/>
      <c r="K33" s="297" t="str">
        <f t="shared" si="0"/>
        <v/>
      </c>
      <c r="L33" s="340" t="s">
        <v>5266</v>
      </c>
      <c r="M33" s="1073" t="str">
        <f t="shared" si="1"/>
        <v/>
      </c>
      <c r="N33" s="299" t="str">
        <f t="shared" si="2"/>
        <v/>
      </c>
      <c r="O33" s="288"/>
      <c r="P33" s="289" t="s">
        <v>5221</v>
      </c>
      <c r="Q33" s="289" t="s">
        <v>5221</v>
      </c>
      <c r="R33" s="289">
        <f t="shared" si="3"/>
        <v>45</v>
      </c>
      <c r="S33" s="290">
        <f t="shared" si="4"/>
        <v>1.4E-2</v>
      </c>
      <c r="T33" s="288"/>
      <c r="U33" s="305" t="s">
        <v>5316</v>
      </c>
      <c r="V33" s="369" t="s">
        <v>87</v>
      </c>
      <c r="W33" s="369" t="s">
        <v>119</v>
      </c>
      <c r="X33" s="263"/>
      <c r="Y33" s="263"/>
      <c r="Z33" s="263"/>
      <c r="AA33" s="263"/>
      <c r="AB33" s="263"/>
      <c r="AF33" s="22"/>
      <c r="AH33" s="268"/>
      <c r="AJ33" s="268"/>
    </row>
    <row r="34" spans="3:36" ht="19.350000000000001" customHeight="1">
      <c r="C34" s="294"/>
      <c r="D34" s="17" t="s">
        <v>5316</v>
      </c>
      <c r="E34" s="16"/>
      <c r="F34" s="365"/>
      <c r="G34" s="16"/>
      <c r="H34" s="335"/>
      <c r="I34" s="14"/>
      <c r="J34" s="15"/>
      <c r="K34" s="297" t="str">
        <f t="shared" ref="K34:K35" si="7">IF(AND(I34="",J34=""),"",SUM(I34)-SUM(J34))</f>
        <v/>
      </c>
      <c r="L34" s="298" t="s">
        <v>130</v>
      </c>
      <c r="M34" s="1073" t="str">
        <f>IFERROR(IF(K34="","",$K34*R34),"----------")</f>
        <v/>
      </c>
      <c r="N34" s="590"/>
      <c r="O34" s="288"/>
      <c r="P34" s="289" t="s">
        <v>5222</v>
      </c>
      <c r="Q34" s="289" t="s">
        <v>5222</v>
      </c>
      <c r="R34" s="289">
        <f t="shared" si="3"/>
        <v>1.19</v>
      </c>
      <c r="S34" s="290" t="str">
        <f t="shared" si="4"/>
        <v>ー</v>
      </c>
      <c r="T34" s="288"/>
      <c r="U34" s="26"/>
      <c r="V34" s="309"/>
      <c r="W34" s="221"/>
      <c r="X34" s="263"/>
      <c r="Y34" s="263"/>
      <c r="Z34" s="263"/>
      <c r="AA34" s="263"/>
      <c r="AB34" s="263"/>
      <c r="AC34" s="22"/>
      <c r="AF34" s="22"/>
      <c r="AG34" s="22"/>
      <c r="AJ34" s="268"/>
    </row>
    <row r="35" spans="3:36" ht="18" thickBot="1">
      <c r="C35" s="370"/>
      <c r="D35" s="17" t="str">
        <f>"その他（"&amp;U37&amp;"）"</f>
        <v>その他（）</v>
      </c>
      <c r="E35" s="16"/>
      <c r="F35" s="365"/>
      <c r="G35" s="16"/>
      <c r="H35" s="335"/>
      <c r="I35" s="20"/>
      <c r="J35" s="21"/>
      <c r="K35" s="371" t="str">
        <f t="shared" si="7"/>
        <v/>
      </c>
      <c r="L35" s="589"/>
      <c r="M35" s="1074"/>
      <c r="N35" s="231"/>
      <c r="O35" s="22"/>
      <c r="P35"/>
      <c r="Q35"/>
      <c r="R35"/>
      <c r="S35"/>
      <c r="T35" s="22"/>
      <c r="U35" s="263"/>
      <c r="V35" s="263"/>
      <c r="W35" s="263"/>
      <c r="AA35" s="22"/>
      <c r="AB35" s="22"/>
      <c r="AC35" s="22"/>
      <c r="AD35" s="22"/>
      <c r="AE35" s="22"/>
      <c r="AG35" s="22"/>
      <c r="AJ35" s="268"/>
    </row>
    <row r="36" spans="3:36" ht="18.600000000000001" customHeight="1" thickTop="1" thickBot="1">
      <c r="C36" s="691" t="s">
        <v>72</v>
      </c>
      <c r="D36" s="692"/>
      <c r="E36" s="692"/>
      <c r="F36" s="692"/>
      <c r="G36" s="692"/>
      <c r="H36" s="693"/>
      <c r="I36" s="372" t="s">
        <v>73</v>
      </c>
      <c r="J36" s="373" t="s">
        <v>73</v>
      </c>
      <c r="K36" s="373" t="s">
        <v>73</v>
      </c>
      <c r="L36" s="374" t="s">
        <v>73</v>
      </c>
      <c r="M36" s="1075">
        <f>SUM(M6:M35)</f>
        <v>0</v>
      </c>
      <c r="N36" s="375">
        <f>SUM(N6:N35)</f>
        <v>0</v>
      </c>
      <c r="O36" s="288"/>
      <c r="P36"/>
      <c r="Q36"/>
      <c r="R36"/>
      <c r="S36"/>
      <c r="T36" s="288"/>
      <c r="U36" s="305" t="s">
        <v>5267</v>
      </c>
      <c r="V36" s="369" t="s">
        <v>87</v>
      </c>
      <c r="W36" s="369" t="s">
        <v>119</v>
      </c>
      <c r="X36" s="22"/>
      <c r="Y36" s="22"/>
      <c r="Z36" s="22"/>
      <c r="AF36" s="377"/>
    </row>
    <row r="37" spans="3:36" ht="19.350000000000001" customHeight="1" thickBot="1">
      <c r="C37" s="762" t="s">
        <v>5268</v>
      </c>
      <c r="D37" s="763"/>
      <c r="E37" s="763"/>
      <c r="F37" s="763"/>
      <c r="G37" s="763"/>
      <c r="H37" s="764"/>
      <c r="I37" s="735" t="s">
        <v>127</v>
      </c>
      <c r="J37" s="737" t="s">
        <v>40</v>
      </c>
      <c r="K37" s="739" t="s">
        <v>41</v>
      </c>
      <c r="L37" s="741" t="s">
        <v>42</v>
      </c>
      <c r="M37" s="747" t="s">
        <v>5183</v>
      </c>
      <c r="N37" s="794" t="s">
        <v>5184</v>
      </c>
      <c r="O37" s="288"/>
      <c r="P37"/>
      <c r="Q37"/>
      <c r="R37"/>
      <c r="S37"/>
      <c r="T37" s="288"/>
      <c r="U37" s="26"/>
      <c r="V37" s="222"/>
      <c r="W37" s="221"/>
      <c r="Y37" s="22"/>
      <c r="Z37" s="22"/>
      <c r="AC37" s="377"/>
      <c r="AF37" s="377"/>
      <c r="AG37" s="377"/>
    </row>
    <row r="38" spans="3:36" ht="19.350000000000001" customHeight="1" thickBot="1">
      <c r="C38" s="768"/>
      <c r="D38" s="769"/>
      <c r="E38" s="769"/>
      <c r="F38" s="769"/>
      <c r="G38" s="769"/>
      <c r="H38" s="770"/>
      <c r="I38" s="736"/>
      <c r="J38" s="738"/>
      <c r="K38" s="740"/>
      <c r="L38" s="742"/>
      <c r="M38" s="748"/>
      <c r="N38" s="795"/>
      <c r="O38" s="288"/>
      <c r="P38" s="547" t="s">
        <v>5255</v>
      </c>
      <c r="Q38" s="547" t="s">
        <v>5256</v>
      </c>
      <c r="R38" s="547" t="s">
        <v>5059</v>
      </c>
      <c r="S38" s="547" t="s">
        <v>5209</v>
      </c>
      <c r="T38" s="288"/>
      <c r="U38" s="263"/>
      <c r="V38" s="263"/>
      <c r="W38" s="263"/>
      <c r="Y38" s="22"/>
      <c r="Z38" s="22"/>
      <c r="AA38" s="377"/>
      <c r="AB38" s="377"/>
      <c r="AC38" s="377"/>
      <c r="AD38" s="377"/>
      <c r="AE38" s="377"/>
      <c r="AF38" s="377"/>
      <c r="AG38" s="377"/>
    </row>
    <row r="39" spans="3:36" ht="19.350000000000001" customHeight="1">
      <c r="C39" s="378"/>
      <c r="D39" s="379" t="s">
        <v>5269</v>
      </c>
      <c r="E39" s="379"/>
      <c r="F39" s="380"/>
      <c r="G39" s="381"/>
      <c r="H39" s="382"/>
      <c r="I39" s="23"/>
      <c r="J39" s="24"/>
      <c r="K39" s="383" t="str">
        <f t="shared" ref="K39:K56" si="8">IF(AND(I39="",J39=""),"",SUM(I39)-SUM(J39))</f>
        <v/>
      </c>
      <c r="L39" s="384" t="s">
        <v>5035</v>
      </c>
      <c r="M39" s="1076" t="str">
        <f t="shared" ref="M39:M55" si="9">IFERROR(IF(K39="","",$K39*R39),"----------")</f>
        <v/>
      </c>
      <c r="N39" s="635"/>
      <c r="P39" s="552"/>
      <c r="Q39" s="552" t="s">
        <v>5062</v>
      </c>
      <c r="R39" s="552">
        <f t="shared" ref="R39:R55" si="10">IF($T$1=2022,VLOOKUP($P39,係数2023,7,0),VLOOKUP($Q39,係数2023,7,0))</f>
        <v>13.6</v>
      </c>
      <c r="S39" s="553" t="str">
        <f t="shared" ref="S39:S55" si="11">IF($T$1=2022,VLOOKUP($P39,係数2023,9,0),VLOOKUP($Q39,係数2023,9,0))</f>
        <v>ー</v>
      </c>
      <c r="X39" s="22"/>
      <c r="Y39" s="22"/>
      <c r="Z39" s="22"/>
      <c r="AA39" s="377"/>
      <c r="AB39" s="377"/>
      <c r="AC39" s="377"/>
      <c r="AD39" s="377"/>
      <c r="AE39" s="377"/>
      <c r="AF39" s="377"/>
      <c r="AG39" s="377"/>
    </row>
    <row r="40" spans="3:36" ht="19.350000000000001" customHeight="1">
      <c r="C40" s="370"/>
      <c r="D40" s="16" t="s">
        <v>5270</v>
      </c>
      <c r="E40" s="16"/>
      <c r="F40" s="365"/>
      <c r="G40" s="19"/>
      <c r="H40" s="387"/>
      <c r="I40" s="20"/>
      <c r="J40" s="21"/>
      <c r="K40" s="371" t="str">
        <f t="shared" si="8"/>
        <v/>
      </c>
      <c r="L40" s="388" t="s">
        <v>5035</v>
      </c>
      <c r="M40" s="1073" t="str">
        <f t="shared" si="9"/>
        <v/>
      </c>
      <c r="N40" s="636"/>
      <c r="P40" s="389"/>
      <c r="Q40" s="389" t="s">
        <v>5064</v>
      </c>
      <c r="R40" s="385">
        <f t="shared" si="10"/>
        <v>13.2</v>
      </c>
      <c r="S40" s="386" t="str">
        <f t="shared" si="11"/>
        <v>ー</v>
      </c>
      <c r="U40" s="22"/>
      <c r="V40" s="22"/>
      <c r="W40" s="22"/>
      <c r="X40" s="22"/>
      <c r="Y40" s="22"/>
      <c r="Z40" s="22"/>
      <c r="AA40" s="377"/>
      <c r="AB40" s="377"/>
      <c r="AC40" s="377"/>
      <c r="AD40" s="377"/>
      <c r="AE40" s="377"/>
      <c r="AF40" s="377"/>
      <c r="AG40" s="377"/>
    </row>
    <row r="41" spans="3:36" ht="19.350000000000001" customHeight="1">
      <c r="C41" s="294"/>
      <c r="D41" s="16" t="s">
        <v>5271</v>
      </c>
      <c r="E41" s="16"/>
      <c r="F41" s="365"/>
      <c r="G41" s="19"/>
      <c r="H41" s="387"/>
      <c r="I41" s="20"/>
      <c r="J41" s="21"/>
      <c r="K41" s="371" t="str">
        <f t="shared" si="8"/>
        <v/>
      </c>
      <c r="L41" s="388" t="s">
        <v>5035</v>
      </c>
      <c r="M41" s="1073" t="str">
        <f t="shared" si="9"/>
        <v/>
      </c>
      <c r="N41" s="636"/>
      <c r="P41" s="385"/>
      <c r="Q41" s="385" t="s">
        <v>5065</v>
      </c>
      <c r="R41" s="385">
        <f t="shared" si="10"/>
        <v>17.100000000000001</v>
      </c>
      <c r="S41" s="386" t="str">
        <f t="shared" si="11"/>
        <v>ー</v>
      </c>
      <c r="X41" s="22"/>
      <c r="Y41" s="22"/>
      <c r="Z41" s="22"/>
      <c r="AA41" s="377"/>
      <c r="AB41" s="377"/>
      <c r="AC41" s="377"/>
      <c r="AD41" s="377"/>
      <c r="AE41" s="377"/>
      <c r="AF41" s="377"/>
      <c r="AG41" s="377"/>
    </row>
    <row r="42" spans="3:36" ht="19.350000000000001" customHeight="1">
      <c r="C42" s="294"/>
      <c r="D42" s="16" t="s">
        <v>5066</v>
      </c>
      <c r="E42" s="16"/>
      <c r="F42" s="365"/>
      <c r="G42" s="19"/>
      <c r="H42" s="387"/>
      <c r="I42" s="20"/>
      <c r="J42" s="21"/>
      <c r="K42" s="371" t="str">
        <f t="shared" si="8"/>
        <v/>
      </c>
      <c r="L42" s="388" t="s">
        <v>5036</v>
      </c>
      <c r="M42" s="1073" t="str">
        <f t="shared" si="9"/>
        <v/>
      </c>
      <c r="N42" s="636"/>
      <c r="P42" s="385"/>
      <c r="Q42" s="385" t="s">
        <v>5066</v>
      </c>
      <c r="R42" s="385">
        <f t="shared" si="10"/>
        <v>23.4</v>
      </c>
      <c r="S42" s="386" t="str">
        <f t="shared" si="11"/>
        <v>ー</v>
      </c>
      <c r="X42" s="22"/>
      <c r="Y42" s="22"/>
      <c r="Z42" s="22"/>
      <c r="AA42" s="377"/>
      <c r="AB42" s="377"/>
      <c r="AC42" s="377"/>
      <c r="AD42" s="377"/>
      <c r="AE42" s="377"/>
      <c r="AF42" s="377"/>
      <c r="AG42" s="377"/>
    </row>
    <row r="43" spans="3:36" ht="19.350000000000001" customHeight="1">
      <c r="C43" s="319"/>
      <c r="D43" s="16" t="s">
        <v>5068</v>
      </c>
      <c r="E43" s="16"/>
      <c r="F43" s="365"/>
      <c r="G43" s="19"/>
      <c r="H43" s="387"/>
      <c r="I43" s="20"/>
      <c r="J43" s="21"/>
      <c r="K43" s="371" t="str">
        <f t="shared" si="8"/>
        <v/>
      </c>
      <c r="L43" s="388" t="s">
        <v>5036</v>
      </c>
      <c r="M43" s="1073" t="str">
        <f t="shared" si="9"/>
        <v/>
      </c>
      <c r="N43" s="636"/>
      <c r="P43" s="385"/>
      <c r="Q43" s="385" t="s">
        <v>5068</v>
      </c>
      <c r="R43" s="385">
        <f t="shared" si="10"/>
        <v>35.6</v>
      </c>
      <c r="S43" s="386" t="str">
        <f t="shared" si="11"/>
        <v>ー</v>
      </c>
      <c r="U43" s="22"/>
      <c r="V43" s="22"/>
      <c r="W43" s="22"/>
      <c r="X43" s="22"/>
      <c r="Y43" s="22"/>
      <c r="Z43" s="22"/>
      <c r="AA43" s="377"/>
      <c r="AB43" s="377"/>
      <c r="AC43" s="377"/>
      <c r="AD43" s="377"/>
      <c r="AE43" s="377"/>
      <c r="AF43" s="377"/>
      <c r="AG43" s="377"/>
    </row>
    <row r="44" spans="3:36" ht="19.350000000000001" customHeight="1">
      <c r="C44" s="319"/>
      <c r="D44" s="16" t="s">
        <v>5069</v>
      </c>
      <c r="E44" s="16"/>
      <c r="F44" s="365"/>
      <c r="G44" s="19"/>
      <c r="H44" s="387"/>
      <c r="I44" s="20"/>
      <c r="J44" s="21"/>
      <c r="K44" s="371" t="str">
        <f t="shared" si="8"/>
        <v/>
      </c>
      <c r="L44" s="388" t="s">
        <v>5038</v>
      </c>
      <c r="M44" s="1073" t="str">
        <f t="shared" si="9"/>
        <v/>
      </c>
      <c r="N44" s="636"/>
      <c r="P44" s="385"/>
      <c r="Q44" s="385" t="s">
        <v>5069</v>
      </c>
      <c r="R44" s="385">
        <f t="shared" si="10"/>
        <v>21.2</v>
      </c>
      <c r="S44" s="386" t="str">
        <f t="shared" si="11"/>
        <v>ー</v>
      </c>
      <c r="U44" s="22"/>
      <c r="V44" s="22"/>
      <c r="W44" s="22"/>
      <c r="X44" s="22"/>
      <c r="Y44" s="22"/>
      <c r="Z44" s="22"/>
      <c r="AA44" s="377"/>
      <c r="AB44" s="377"/>
      <c r="AC44" s="377"/>
      <c r="AD44" s="377"/>
      <c r="AE44" s="377"/>
      <c r="AF44" s="377"/>
      <c r="AG44" s="377"/>
    </row>
    <row r="45" spans="3:36" ht="19.350000000000001" customHeight="1">
      <c r="C45" s="319" t="s">
        <v>5037</v>
      </c>
      <c r="D45" s="16" t="s">
        <v>5272</v>
      </c>
      <c r="E45" s="16"/>
      <c r="F45" s="365"/>
      <c r="G45" s="19"/>
      <c r="H45" s="387"/>
      <c r="I45" s="20"/>
      <c r="J45" s="21"/>
      <c r="K45" s="371" t="str">
        <f t="shared" si="8"/>
        <v/>
      </c>
      <c r="L45" s="388" t="s">
        <v>5035</v>
      </c>
      <c r="M45" s="1073" t="str">
        <f t="shared" si="9"/>
        <v/>
      </c>
      <c r="N45" s="636"/>
      <c r="P45" s="385"/>
      <c r="Q45" s="385" t="s">
        <v>5071</v>
      </c>
      <c r="R45" s="385">
        <f t="shared" si="10"/>
        <v>13.2</v>
      </c>
      <c r="S45" s="386" t="str">
        <f t="shared" si="11"/>
        <v>ー</v>
      </c>
      <c r="U45" s="22"/>
      <c r="V45" s="22"/>
      <c r="W45" s="22"/>
      <c r="X45" s="22"/>
      <c r="Y45" s="22"/>
      <c r="Z45" s="22"/>
      <c r="AA45" s="377"/>
      <c r="AB45" s="377"/>
      <c r="AC45" s="377"/>
      <c r="AD45" s="377"/>
      <c r="AE45" s="377"/>
      <c r="AF45" s="377"/>
      <c r="AG45" s="377"/>
    </row>
    <row r="46" spans="3:36" ht="19.350000000000001" customHeight="1">
      <c r="C46" s="319" t="s">
        <v>5020</v>
      </c>
      <c r="D46" s="16" t="s">
        <v>5072</v>
      </c>
      <c r="E46" s="16"/>
      <c r="F46" s="365"/>
      <c r="G46" s="19"/>
      <c r="H46" s="387"/>
      <c r="I46" s="20"/>
      <c r="J46" s="21"/>
      <c r="K46" s="371" t="str">
        <f t="shared" si="8"/>
        <v/>
      </c>
      <c r="L46" s="388" t="s">
        <v>5035</v>
      </c>
      <c r="M46" s="1073" t="str">
        <f t="shared" si="9"/>
        <v/>
      </c>
      <c r="N46" s="299" t="str">
        <f t="shared" ref="N46:N51" si="12">IFERROR(IF(K46="","",$M46*S46*44/12),"----------")</f>
        <v/>
      </c>
      <c r="P46" s="385"/>
      <c r="Q46" s="385" t="s">
        <v>5072</v>
      </c>
      <c r="R46" s="385">
        <f t="shared" si="10"/>
        <v>18</v>
      </c>
      <c r="S46" s="386">
        <f t="shared" si="11"/>
        <v>1.6199999999999999E-2</v>
      </c>
      <c r="U46" s="22"/>
      <c r="V46" s="22"/>
      <c r="W46" s="22"/>
      <c r="X46" s="22"/>
      <c r="Y46" s="22"/>
      <c r="Z46" s="22"/>
      <c r="AA46" s="377"/>
      <c r="AB46" s="377"/>
      <c r="AC46" s="377"/>
      <c r="AD46" s="377"/>
      <c r="AE46" s="377"/>
      <c r="AF46" s="377"/>
      <c r="AG46" s="377"/>
    </row>
    <row r="47" spans="3:36" ht="19.350000000000001" customHeight="1">
      <c r="C47" s="319" t="s">
        <v>5023</v>
      </c>
      <c r="D47" s="16" t="s">
        <v>5073</v>
      </c>
      <c r="E47" s="16"/>
      <c r="F47" s="365"/>
      <c r="G47" s="19"/>
      <c r="H47" s="387"/>
      <c r="I47" s="20"/>
      <c r="J47" s="21"/>
      <c r="K47" s="371" t="str">
        <f t="shared" si="8"/>
        <v/>
      </c>
      <c r="L47" s="388" t="s">
        <v>5035</v>
      </c>
      <c r="M47" s="1073" t="str">
        <f t="shared" si="9"/>
        <v/>
      </c>
      <c r="N47" s="299" t="str">
        <f t="shared" si="12"/>
        <v/>
      </c>
      <c r="P47" s="385"/>
      <c r="Q47" s="385" t="s">
        <v>5073</v>
      </c>
      <c r="R47" s="385">
        <f t="shared" si="10"/>
        <v>26.9</v>
      </c>
      <c r="S47" s="386">
        <f t="shared" si="11"/>
        <v>1.66E-2</v>
      </c>
      <c r="U47" s="22"/>
      <c r="V47" s="22"/>
      <c r="W47" s="22"/>
      <c r="X47" s="22"/>
      <c r="Y47" s="22"/>
      <c r="Z47" s="22"/>
      <c r="AA47" s="377"/>
      <c r="AB47" s="377"/>
      <c r="AC47" s="377"/>
      <c r="AD47" s="377"/>
      <c r="AE47" s="377"/>
      <c r="AF47" s="377"/>
      <c r="AG47" s="377"/>
    </row>
    <row r="48" spans="3:36" ht="19.350000000000001" customHeight="1">
      <c r="C48" s="319" t="s">
        <v>5024</v>
      </c>
      <c r="D48" s="16" t="s">
        <v>5273</v>
      </c>
      <c r="E48" s="16"/>
      <c r="F48" s="365"/>
      <c r="G48" s="19"/>
      <c r="H48" s="387"/>
      <c r="I48" s="20"/>
      <c r="J48" s="21"/>
      <c r="K48" s="371" t="str">
        <f t="shared" si="8"/>
        <v/>
      </c>
      <c r="L48" s="388" t="s">
        <v>5035</v>
      </c>
      <c r="M48" s="1073" t="str">
        <f t="shared" si="9"/>
        <v/>
      </c>
      <c r="N48" s="299" t="str">
        <f t="shared" si="12"/>
        <v/>
      </c>
      <c r="P48" s="385"/>
      <c r="Q48" s="385" t="s">
        <v>5074</v>
      </c>
      <c r="R48" s="385">
        <f t="shared" si="10"/>
        <v>33.200000000000003</v>
      </c>
      <c r="S48" s="386">
        <f t="shared" si="11"/>
        <v>1.35E-2</v>
      </c>
      <c r="U48" s="22"/>
      <c r="V48" s="22"/>
      <c r="W48" s="22"/>
      <c r="X48" s="22"/>
      <c r="Y48" s="22"/>
      <c r="Z48" s="22"/>
      <c r="AA48" s="377"/>
      <c r="AB48" s="377"/>
      <c r="AC48" s="377"/>
      <c r="AD48" s="377"/>
      <c r="AE48" s="377"/>
      <c r="AG48" s="377"/>
    </row>
    <row r="49" spans="3:31" ht="19.350000000000001" customHeight="1">
      <c r="C49" s="319" t="s">
        <v>5026</v>
      </c>
      <c r="D49" s="771" t="s">
        <v>5275</v>
      </c>
      <c r="E49" s="772"/>
      <c r="F49" s="365" t="s">
        <v>5076</v>
      </c>
      <c r="G49" s="19"/>
      <c r="H49" s="387"/>
      <c r="I49" s="20"/>
      <c r="J49" s="21"/>
      <c r="K49" s="371" t="str">
        <f t="shared" si="8"/>
        <v/>
      </c>
      <c r="L49" s="388" t="s">
        <v>5035</v>
      </c>
      <c r="M49" s="1073" t="str">
        <f t="shared" si="9"/>
        <v/>
      </c>
      <c r="N49" s="299" t="str">
        <f t="shared" si="12"/>
        <v/>
      </c>
      <c r="P49" s="385"/>
      <c r="Q49" s="385" t="s">
        <v>5274</v>
      </c>
      <c r="R49" s="385">
        <f t="shared" si="10"/>
        <v>29.3</v>
      </c>
      <c r="S49" s="386">
        <f t="shared" si="11"/>
        <v>2.5700000000000001E-2</v>
      </c>
      <c r="U49" s="22"/>
      <c r="V49" s="22"/>
      <c r="W49" s="22"/>
      <c r="X49" s="22"/>
      <c r="Y49" s="22"/>
      <c r="Z49" s="22"/>
      <c r="AA49" s="377"/>
      <c r="AB49" s="377"/>
      <c r="AD49" s="377"/>
      <c r="AE49" s="377"/>
    </row>
    <row r="50" spans="3:31" ht="19.350000000000001" customHeight="1">
      <c r="C50" s="319"/>
      <c r="D50" s="773"/>
      <c r="E50" s="774"/>
      <c r="F50" s="365" t="s">
        <v>5077</v>
      </c>
      <c r="G50" s="19"/>
      <c r="H50" s="387"/>
      <c r="I50" s="20"/>
      <c r="J50" s="21"/>
      <c r="K50" s="371" t="str">
        <f t="shared" si="8"/>
        <v/>
      </c>
      <c r="L50" s="388" t="s">
        <v>5035</v>
      </c>
      <c r="M50" s="1073" t="str">
        <f t="shared" si="9"/>
        <v/>
      </c>
      <c r="N50" s="299" t="str">
        <f t="shared" si="12"/>
        <v/>
      </c>
      <c r="P50" s="385"/>
      <c r="Q50" s="385" t="s">
        <v>5276</v>
      </c>
      <c r="R50" s="385">
        <f t="shared" si="10"/>
        <v>29.3</v>
      </c>
      <c r="S50" s="386">
        <f t="shared" si="11"/>
        <v>2.3900000000000001E-2</v>
      </c>
      <c r="U50" s="376"/>
      <c r="V50" s="376"/>
      <c r="W50" s="376"/>
      <c r="X50" s="22"/>
      <c r="Y50" s="22"/>
      <c r="Z50" s="22"/>
    </row>
    <row r="51" spans="3:31" ht="19.350000000000001" customHeight="1">
      <c r="C51" s="319"/>
      <c r="D51" s="16" t="s">
        <v>5277</v>
      </c>
      <c r="E51" s="16"/>
      <c r="F51" s="365"/>
      <c r="G51" s="19"/>
      <c r="H51" s="387"/>
      <c r="I51" s="20"/>
      <c r="J51" s="21"/>
      <c r="K51" s="371" t="str">
        <f t="shared" si="8"/>
        <v/>
      </c>
      <c r="L51" s="388" t="s">
        <v>5036</v>
      </c>
      <c r="M51" s="1073" t="str">
        <f t="shared" si="9"/>
        <v/>
      </c>
      <c r="N51" s="299" t="str">
        <f t="shared" si="12"/>
        <v/>
      </c>
      <c r="P51" s="385"/>
      <c r="Q51" s="385" t="s">
        <v>5078</v>
      </c>
      <c r="R51" s="385">
        <f t="shared" si="10"/>
        <v>40.200000000000003</v>
      </c>
      <c r="S51" s="386">
        <f t="shared" si="11"/>
        <v>1.7899999999999999E-2</v>
      </c>
      <c r="U51" s="376"/>
      <c r="V51" s="376"/>
      <c r="W51" s="376"/>
      <c r="X51" s="22"/>
      <c r="Y51" s="22"/>
      <c r="Z51" s="22"/>
    </row>
    <row r="52" spans="3:31" ht="19.350000000000001" customHeight="1">
      <c r="C52" s="319"/>
      <c r="D52" s="16" t="s">
        <v>5278</v>
      </c>
      <c r="E52" s="16"/>
      <c r="F52" s="365"/>
      <c r="G52" s="19"/>
      <c r="H52" s="387"/>
      <c r="I52" s="20"/>
      <c r="J52" s="21"/>
      <c r="K52" s="371" t="str">
        <f t="shared" si="8"/>
        <v/>
      </c>
      <c r="L52" s="388" t="s">
        <v>5038</v>
      </c>
      <c r="M52" s="1073" t="str">
        <f t="shared" si="9"/>
        <v/>
      </c>
      <c r="N52" s="636"/>
      <c r="P52" s="385"/>
      <c r="Q52" s="385" t="s">
        <v>5079</v>
      </c>
      <c r="R52" s="385">
        <f t="shared" si="10"/>
        <v>21.2</v>
      </c>
      <c r="S52" s="386" t="str">
        <f t="shared" si="11"/>
        <v>ー</v>
      </c>
      <c r="U52" s="376"/>
      <c r="V52" s="376"/>
      <c r="W52" s="376"/>
      <c r="X52" s="22"/>
      <c r="Y52" s="22"/>
      <c r="Z52" s="22"/>
    </row>
    <row r="53" spans="3:31" ht="19.350000000000001" customHeight="1">
      <c r="C53" s="319"/>
      <c r="D53" s="16" t="s">
        <v>5279</v>
      </c>
      <c r="E53" s="16"/>
      <c r="F53" s="365"/>
      <c r="G53" s="19"/>
      <c r="H53" s="387"/>
      <c r="I53" s="20"/>
      <c r="J53" s="21"/>
      <c r="K53" s="371" t="str">
        <f t="shared" si="8"/>
        <v/>
      </c>
      <c r="L53" s="388" t="s">
        <v>5035</v>
      </c>
      <c r="M53" s="1073" t="str">
        <f t="shared" si="9"/>
        <v/>
      </c>
      <c r="N53" s="636"/>
      <c r="P53" s="385"/>
      <c r="Q53" s="385" t="s">
        <v>5080</v>
      </c>
      <c r="R53" s="385">
        <f t="shared" si="10"/>
        <v>17.100000000000001</v>
      </c>
      <c r="S53" s="386" t="str">
        <f t="shared" si="11"/>
        <v>ー</v>
      </c>
      <c r="U53" s="263"/>
      <c r="V53" s="263"/>
      <c r="W53" s="263"/>
      <c r="X53" s="22"/>
      <c r="Y53" s="22"/>
      <c r="Z53" s="22"/>
    </row>
    <row r="54" spans="3:31" ht="19.350000000000001" customHeight="1">
      <c r="C54" s="294"/>
      <c r="D54" s="16" t="s">
        <v>5280</v>
      </c>
      <c r="E54" s="16"/>
      <c r="F54" s="365"/>
      <c r="G54" s="19"/>
      <c r="H54" s="387"/>
      <c r="I54" s="20"/>
      <c r="J54" s="21"/>
      <c r="K54" s="371" t="str">
        <f t="shared" si="8"/>
        <v/>
      </c>
      <c r="L54" s="388" t="s">
        <v>5035</v>
      </c>
      <c r="M54" s="1073" t="str">
        <f t="shared" si="9"/>
        <v/>
      </c>
      <c r="N54" s="636"/>
      <c r="P54" s="385"/>
      <c r="Q54" s="385" t="s">
        <v>5081</v>
      </c>
      <c r="R54" s="385">
        <f t="shared" si="10"/>
        <v>142</v>
      </c>
      <c r="S54" s="386" t="str">
        <f t="shared" si="11"/>
        <v>ー</v>
      </c>
      <c r="U54" s="329"/>
      <c r="V54" s="329"/>
      <c r="W54" s="329"/>
      <c r="X54" s="22"/>
      <c r="Y54" s="22"/>
      <c r="Z54" s="22"/>
    </row>
    <row r="55" spans="3:31">
      <c r="C55" s="294"/>
      <c r="D55" s="16" t="s">
        <v>5309</v>
      </c>
      <c r="E55" s="390"/>
      <c r="F55" s="365"/>
      <c r="G55" s="19"/>
      <c r="H55" s="387"/>
      <c r="I55" s="20"/>
      <c r="J55" s="21"/>
      <c r="K55" s="371" t="str">
        <f t="shared" si="8"/>
        <v/>
      </c>
      <c r="L55" s="388" t="s">
        <v>5035</v>
      </c>
      <c r="M55" s="1073" t="str">
        <f t="shared" si="9"/>
        <v/>
      </c>
      <c r="N55" s="636"/>
      <c r="P55" s="385"/>
      <c r="Q55" s="385" t="s">
        <v>5309</v>
      </c>
      <c r="R55" s="385">
        <f t="shared" si="10"/>
        <v>22.5</v>
      </c>
      <c r="S55" s="386" t="str">
        <f t="shared" si="11"/>
        <v>ー</v>
      </c>
      <c r="U55" s="305" t="s">
        <v>5281</v>
      </c>
      <c r="V55" s="369" t="s">
        <v>87</v>
      </c>
      <c r="W55" s="369" t="s">
        <v>119</v>
      </c>
      <c r="X55" s="22"/>
      <c r="Y55" s="22"/>
      <c r="Z55" s="22"/>
    </row>
    <row r="56" spans="3:31" ht="18" thickBot="1">
      <c r="C56" s="391"/>
      <c r="D56" s="16" t="str">
        <f>"その他（"&amp;U56&amp;"）"</f>
        <v>その他（）</v>
      </c>
      <c r="E56" s="16"/>
      <c r="F56" s="365"/>
      <c r="G56" s="19"/>
      <c r="H56" s="387"/>
      <c r="I56" s="20"/>
      <c r="J56" s="21"/>
      <c r="K56" s="371" t="str">
        <f t="shared" si="8"/>
        <v/>
      </c>
      <c r="L56" s="589"/>
      <c r="M56" s="1074"/>
      <c r="N56" s="231"/>
      <c r="P56" s="385"/>
      <c r="Q56" s="385"/>
      <c r="R56" s="385"/>
      <c r="S56" s="385"/>
      <c r="U56" s="26"/>
      <c r="V56" s="222"/>
      <c r="W56" s="221"/>
      <c r="X56" s="22"/>
      <c r="Y56" s="22"/>
      <c r="Z56" s="22"/>
    </row>
    <row r="57" spans="3:31" ht="19.350000000000001" customHeight="1" thickTop="1" thickBot="1">
      <c r="C57" s="691" t="s">
        <v>72</v>
      </c>
      <c r="D57" s="692"/>
      <c r="E57" s="692"/>
      <c r="F57" s="692"/>
      <c r="G57" s="692"/>
      <c r="H57" s="693"/>
      <c r="I57" s="372" t="s">
        <v>73</v>
      </c>
      <c r="J57" s="373" t="s">
        <v>73</v>
      </c>
      <c r="K57" s="373" t="s">
        <v>73</v>
      </c>
      <c r="L57" s="374" t="s">
        <v>73</v>
      </c>
      <c r="M57" s="1075">
        <f>SUM(M39:M56)</f>
        <v>0</v>
      </c>
      <c r="N57" s="375">
        <f>SUM(N39:N56)</f>
        <v>0</v>
      </c>
      <c r="P57"/>
      <c r="Q57"/>
      <c r="R57"/>
      <c r="S57"/>
      <c r="U57" s="376"/>
      <c r="V57" s="376"/>
      <c r="W57" s="376"/>
      <c r="X57" s="22"/>
      <c r="Y57" s="22"/>
      <c r="Z57" s="22"/>
    </row>
    <row r="58" spans="3:31" ht="19.350000000000001" customHeight="1" thickBot="1">
      <c r="C58" s="762" t="s">
        <v>5282</v>
      </c>
      <c r="D58" s="763"/>
      <c r="E58" s="763"/>
      <c r="F58" s="763"/>
      <c r="G58" s="763"/>
      <c r="H58" s="764"/>
      <c r="I58" s="735" t="s">
        <v>127</v>
      </c>
      <c r="J58" s="737" t="s">
        <v>40</v>
      </c>
      <c r="K58" s="739" t="s">
        <v>41</v>
      </c>
      <c r="L58" s="741" t="s">
        <v>42</v>
      </c>
      <c r="M58" s="743" t="s">
        <v>5183</v>
      </c>
      <c r="N58" s="745" t="s">
        <v>5184</v>
      </c>
      <c r="P58"/>
      <c r="Q58"/>
      <c r="R58"/>
      <c r="S58"/>
      <c r="U58" s="22"/>
      <c r="V58" s="22"/>
      <c r="W58" s="22"/>
      <c r="X58" s="22"/>
      <c r="Y58" s="22"/>
      <c r="Z58" s="22"/>
    </row>
    <row r="59" spans="3:31" ht="19.350000000000001" customHeight="1">
      <c r="C59" s="765"/>
      <c r="D59" s="766"/>
      <c r="E59" s="766"/>
      <c r="F59" s="766"/>
      <c r="G59" s="766"/>
      <c r="H59" s="767"/>
      <c r="I59" s="736"/>
      <c r="J59" s="738"/>
      <c r="K59" s="740"/>
      <c r="L59" s="742"/>
      <c r="M59" s="744"/>
      <c r="N59" s="746"/>
      <c r="P59" s="547" t="s">
        <v>5255</v>
      </c>
      <c r="Q59" s="547" t="s">
        <v>5256</v>
      </c>
      <c r="R59" s="547" t="s">
        <v>5059</v>
      </c>
      <c r="S59" s="547" t="s">
        <v>5209</v>
      </c>
      <c r="U59"/>
      <c r="V59"/>
      <c r="W59"/>
      <c r="X59" s="22"/>
      <c r="Y59" s="22"/>
      <c r="Z59" s="22"/>
    </row>
    <row r="60" spans="3:31" ht="19.350000000000001" customHeight="1">
      <c r="C60" s="392"/>
      <c r="D60" s="796" t="s">
        <v>5284</v>
      </c>
      <c r="E60" s="393" t="s">
        <v>123</v>
      </c>
      <c r="F60" s="394"/>
      <c r="G60" s="284"/>
      <c r="H60" s="395"/>
      <c r="I60" s="11"/>
      <c r="J60" s="12"/>
      <c r="K60" s="297" t="str">
        <f>IF(I60="","",SUM(I60)-SUM(J60))</f>
        <v/>
      </c>
      <c r="L60" s="286" t="s">
        <v>68</v>
      </c>
      <c r="M60" s="1072" t="str">
        <f>IFERROR(IF(K60="","",$K60*R60),"----------")</f>
        <v/>
      </c>
      <c r="N60" s="287" t="str">
        <f>IFERROR(IF(K60="","",K60*S60),"----------")</f>
        <v/>
      </c>
      <c r="P60" s="555" t="s">
        <v>123</v>
      </c>
      <c r="Q60" s="555" t="s">
        <v>5283</v>
      </c>
      <c r="R60" s="556">
        <f t="shared" ref="R60:R67" si="13">IF($T$1=2022,VLOOKUP($P60,係数2022,7,0),VLOOKUP($Q60,係数2023,7,0))</f>
        <v>1.17</v>
      </c>
      <c r="S60" s="556">
        <f t="shared" ref="S60:S67" si="14">IF($T$1=2022,VLOOKUP($P60,係数2022,9,0),VLOOKUP($Q60,係数2023,9,0))</f>
        <v>6.54E-2</v>
      </c>
      <c r="U60" s="329"/>
      <c r="V60" s="329"/>
      <c r="W60" s="329"/>
      <c r="X60" s="376"/>
      <c r="Y60" s="22"/>
      <c r="Z60" s="22"/>
    </row>
    <row r="61" spans="3:31" ht="19.350000000000001" customHeight="1">
      <c r="C61" s="370"/>
      <c r="D61" s="797"/>
      <c r="E61" s="397"/>
      <c r="F61" s="398" t="s">
        <v>5285</v>
      </c>
      <c r="G61" s="361"/>
      <c r="H61" s="399"/>
      <c r="I61" s="186"/>
      <c r="J61" s="187"/>
      <c r="K61" s="297" t="str">
        <f t="shared" ref="K61:K69" si="15">IF(I61="","",SUM(I61)-SUM(J61))</f>
        <v/>
      </c>
      <c r="L61" s="298" t="s">
        <v>68</v>
      </c>
      <c r="M61" s="1077" t="str">
        <f>IFERROR(IF(K61="","",$K61*R61),"----------")</f>
        <v/>
      </c>
      <c r="N61" s="400"/>
      <c r="P61" s="558"/>
      <c r="Q61" s="558" t="s">
        <v>5229</v>
      </c>
      <c r="R61" s="556">
        <f t="shared" si="13"/>
        <v>1.17</v>
      </c>
      <c r="S61" s="556" t="str">
        <f t="shared" si="14"/>
        <v>ー</v>
      </c>
      <c r="U61" s="305" t="s">
        <v>126</v>
      </c>
      <c r="V61" s="369" t="s">
        <v>87</v>
      </c>
      <c r="W61" s="369" t="s">
        <v>119</v>
      </c>
      <c r="X61" s="376"/>
      <c r="Y61" s="22"/>
      <c r="Z61" s="22"/>
    </row>
    <row r="62" spans="3:31" ht="19.350000000000001" customHeight="1">
      <c r="C62" s="370"/>
      <c r="D62" s="797"/>
      <c r="E62" s="401" t="s">
        <v>133</v>
      </c>
      <c r="F62" s="402"/>
      <c r="G62" s="361"/>
      <c r="H62" s="296"/>
      <c r="I62" s="14"/>
      <c r="J62" s="15"/>
      <c r="K62" s="297" t="str">
        <f t="shared" si="15"/>
        <v/>
      </c>
      <c r="L62" s="298" t="s">
        <v>68</v>
      </c>
      <c r="M62" s="1073" t="str">
        <f t="shared" ref="M62:M67" si="16">IFERROR(IF(K62="","",$K62*R62),"----------")</f>
        <v/>
      </c>
      <c r="N62" s="299" t="str">
        <f>IF(K62="","",
      IF($T$1=2022,K62*S62,
                  IF(OR(W62="",K62=""),"",K62*W62)))</f>
        <v/>
      </c>
      <c r="P62" s="558" t="s">
        <v>133</v>
      </c>
      <c r="Q62" s="558" t="s">
        <v>5226</v>
      </c>
      <c r="R62" s="556">
        <f t="shared" si="13"/>
        <v>1.19</v>
      </c>
      <c r="S62" s="556" t="str">
        <f t="shared" si="14"/>
        <v>ー</v>
      </c>
      <c r="U62" s="403" t="s">
        <v>5286</v>
      </c>
      <c r="V62" s="404"/>
      <c r="W62" s="221"/>
      <c r="X62" s="376"/>
      <c r="Y62" s="22"/>
      <c r="Z62" s="22"/>
    </row>
    <row r="63" spans="3:31" ht="19.350000000000001" customHeight="1">
      <c r="C63" s="370"/>
      <c r="D63" s="797"/>
      <c r="E63" s="397"/>
      <c r="F63" s="398" t="s">
        <v>5285</v>
      </c>
      <c r="G63" s="361"/>
      <c r="H63" s="296"/>
      <c r="I63" s="14"/>
      <c r="J63" s="15"/>
      <c r="K63" s="297" t="str">
        <f t="shared" si="15"/>
        <v/>
      </c>
      <c r="L63" s="298" t="s">
        <v>68</v>
      </c>
      <c r="M63" s="1073" t="str">
        <f>IFERROR(IF(K63="","",$K63*R63),"----------")</f>
        <v/>
      </c>
      <c r="N63" s="400"/>
      <c r="P63" s="558"/>
      <c r="Q63" s="558" t="s">
        <v>5230</v>
      </c>
      <c r="R63" s="556">
        <f t="shared" si="13"/>
        <v>1.19</v>
      </c>
      <c r="S63" s="556" t="str">
        <f t="shared" si="14"/>
        <v>ー</v>
      </c>
      <c r="U63" s="403" t="s">
        <v>5287</v>
      </c>
      <c r="V63" s="404"/>
      <c r="W63" s="221"/>
      <c r="X63" s="376"/>
      <c r="Y63" s="22"/>
      <c r="Z63" s="22"/>
    </row>
    <row r="64" spans="3:31" ht="19.350000000000001" customHeight="1">
      <c r="C64" s="370"/>
      <c r="D64" s="797"/>
      <c r="E64" s="401" t="s">
        <v>70</v>
      </c>
      <c r="F64" s="361"/>
      <c r="G64" s="361"/>
      <c r="H64" s="296"/>
      <c r="I64" s="14"/>
      <c r="J64" s="15"/>
      <c r="K64" s="297" t="str">
        <f t="shared" si="15"/>
        <v/>
      </c>
      <c r="L64" s="298" t="s">
        <v>68</v>
      </c>
      <c r="M64" s="1073" t="str">
        <f>IFERROR(IF(K64="","",$K64*R64),"----------")</f>
        <v/>
      </c>
      <c r="N64" s="299" t="str">
        <f>IF(K64="","",
      IF($T$1=2022,K64*S64,
                  IF(OR(W63="",K64=""),"",K64*W63)))</f>
        <v/>
      </c>
      <c r="P64" s="558" t="s">
        <v>70</v>
      </c>
      <c r="Q64" s="558" t="s">
        <v>5227</v>
      </c>
      <c r="R64" s="556">
        <f t="shared" si="13"/>
        <v>1.19</v>
      </c>
      <c r="S64" s="556" t="str">
        <f t="shared" si="14"/>
        <v>ー</v>
      </c>
      <c r="U64" s="171" t="s">
        <v>5288</v>
      </c>
      <c r="V64" s="309"/>
      <c r="W64" s="221"/>
      <c r="X64" s="376"/>
      <c r="Y64" s="22"/>
      <c r="Z64" s="22"/>
    </row>
    <row r="65" spans="2:38" ht="19.350000000000001" customHeight="1">
      <c r="C65" s="405"/>
      <c r="D65" s="797"/>
      <c r="E65" s="397"/>
      <c r="F65" s="398" t="s">
        <v>5285</v>
      </c>
      <c r="G65" s="361"/>
      <c r="H65" s="406"/>
      <c r="I65" s="14"/>
      <c r="J65" s="15"/>
      <c r="K65" s="297" t="str">
        <f t="shared" si="15"/>
        <v/>
      </c>
      <c r="L65" s="298" t="s">
        <v>68</v>
      </c>
      <c r="M65" s="1073" t="str">
        <f t="shared" si="16"/>
        <v/>
      </c>
      <c r="N65" s="400"/>
      <c r="P65" s="558"/>
      <c r="Q65" s="558" t="s">
        <v>5231</v>
      </c>
      <c r="R65" s="556">
        <f t="shared" si="13"/>
        <v>1.19</v>
      </c>
      <c r="S65" s="556" t="str">
        <f t="shared" si="14"/>
        <v>ー</v>
      </c>
      <c r="U65" s="329"/>
      <c r="V65" s="329"/>
      <c r="W65" s="329"/>
      <c r="X65" s="376"/>
      <c r="Y65" s="22"/>
      <c r="Z65" s="22"/>
    </row>
    <row r="66" spans="2:38" ht="19.350000000000001" customHeight="1">
      <c r="C66" s="405"/>
      <c r="D66" s="797"/>
      <c r="E66" s="401" t="s">
        <v>71</v>
      </c>
      <c r="F66" s="361"/>
      <c r="G66" s="361"/>
      <c r="H66" s="296"/>
      <c r="I66" s="14"/>
      <c r="J66" s="15"/>
      <c r="K66" s="297" t="str">
        <f t="shared" si="15"/>
        <v/>
      </c>
      <c r="L66" s="298" t="s">
        <v>68</v>
      </c>
      <c r="M66" s="1073" t="str">
        <f>IFERROR(IF(K66="","",$K66*R66),"----------")</f>
        <v/>
      </c>
      <c r="N66" s="299" t="str">
        <f>IF(K66="","",
      IF($T$1=2022,K66*S66,
                  IF(OR(W64="",K66=""),"",K66*W64)))</f>
        <v/>
      </c>
      <c r="P66" s="558" t="s">
        <v>71</v>
      </c>
      <c r="Q66" s="558" t="s">
        <v>5228</v>
      </c>
      <c r="R66" s="556">
        <f t="shared" si="13"/>
        <v>1.19</v>
      </c>
      <c r="S66" s="556" t="str">
        <f t="shared" si="14"/>
        <v>ー</v>
      </c>
      <c r="U66" s="329"/>
      <c r="V66" s="329"/>
      <c r="W66" s="329"/>
      <c r="X66" s="376"/>
      <c r="Y66" s="22"/>
      <c r="Z66" s="22"/>
    </row>
    <row r="67" spans="2:38" ht="19.350000000000001" customHeight="1">
      <c r="C67" s="405" t="s">
        <v>5083</v>
      </c>
      <c r="D67" s="797"/>
      <c r="E67" s="397"/>
      <c r="F67" s="398" t="s">
        <v>5285</v>
      </c>
      <c r="G67" s="361"/>
      <c r="H67" s="296"/>
      <c r="I67" s="186"/>
      <c r="J67" s="187"/>
      <c r="K67" s="407" t="str">
        <f t="shared" si="15"/>
        <v/>
      </c>
      <c r="L67" s="408" t="s">
        <v>68</v>
      </c>
      <c r="M67" s="1077" t="str">
        <f t="shared" si="16"/>
        <v/>
      </c>
      <c r="N67" s="400"/>
      <c r="P67" s="560"/>
      <c r="Q67" s="558" t="s">
        <v>5232</v>
      </c>
      <c r="R67" s="561">
        <f t="shared" si="13"/>
        <v>1.19</v>
      </c>
      <c r="S67" s="556" t="str">
        <f t="shared" si="14"/>
        <v>ー</v>
      </c>
      <c r="U67" s="305" t="s">
        <v>5289</v>
      </c>
      <c r="V67" s="369" t="s">
        <v>87</v>
      </c>
      <c r="W67" s="369" t="s">
        <v>119</v>
      </c>
      <c r="X67" s="376"/>
      <c r="Y67" s="22"/>
      <c r="Z67" s="22"/>
    </row>
    <row r="68" spans="2:38" s="268" customFormat="1" ht="19.350000000000001" customHeight="1">
      <c r="B68" s="263"/>
      <c r="C68" s="370"/>
      <c r="D68" s="797"/>
      <c r="E68" s="401" t="str">
        <f>"その他（"&amp;U68&amp;"）"</f>
        <v>その他（）</v>
      </c>
      <c r="F68" s="361"/>
      <c r="G68" s="361"/>
      <c r="H68" s="296"/>
      <c r="I68" s="14"/>
      <c r="J68" s="15"/>
      <c r="K68" s="297" t="str">
        <f t="shared" si="15"/>
        <v/>
      </c>
      <c r="L68" s="298" t="s">
        <v>68</v>
      </c>
      <c r="M68" s="1078"/>
      <c r="N68" s="590"/>
      <c r="P68" s="560"/>
      <c r="Q68" s="560"/>
      <c r="R68" s="561"/>
      <c r="S68" s="561"/>
      <c r="U68" s="26"/>
      <c r="V68" s="222"/>
      <c r="W68" s="221"/>
      <c r="X68" s="376"/>
      <c r="Y68" s="22"/>
      <c r="Z68" s="22"/>
      <c r="AH68" s="8"/>
      <c r="AI68" s="8"/>
      <c r="AJ68" s="8"/>
      <c r="AK68" s="8"/>
      <c r="AL68" s="8"/>
    </row>
    <row r="69" spans="2:38" s="268" customFormat="1" ht="19.350000000000001" customHeight="1">
      <c r="B69" s="263"/>
      <c r="C69" s="370"/>
      <c r="D69" s="798"/>
      <c r="E69" s="410"/>
      <c r="F69" s="411" t="s">
        <v>5285</v>
      </c>
      <c r="G69" s="328"/>
      <c r="H69" s="406"/>
      <c r="I69" s="188"/>
      <c r="J69" s="189"/>
      <c r="K69" s="412" t="str">
        <f t="shared" si="15"/>
        <v/>
      </c>
      <c r="L69" s="413" t="s">
        <v>68</v>
      </c>
      <c r="M69" s="1079"/>
      <c r="N69" s="414"/>
      <c r="P69" s="561"/>
      <c r="Q69" s="560"/>
      <c r="R69" s="561"/>
      <c r="S69" s="561"/>
      <c r="U69" s="415" t="s">
        <v>5285</v>
      </c>
      <c r="V69" s="416" t="str">
        <f>IF(V68="","",V68)</f>
        <v/>
      </c>
      <c r="W69" s="417"/>
      <c r="X69" s="376"/>
      <c r="Y69" s="22"/>
      <c r="Z69" s="22"/>
      <c r="AH69" s="8"/>
      <c r="AI69" s="8"/>
      <c r="AJ69" s="8"/>
      <c r="AK69" s="8"/>
    </row>
    <row r="70" spans="2:38" s="268" customFormat="1" ht="14.1" customHeight="1">
      <c r="B70" s="263"/>
      <c r="C70" s="370"/>
      <c r="D70" s="418"/>
      <c r="E70" s="419"/>
      <c r="F70" s="419"/>
      <c r="G70" s="419"/>
      <c r="H70" s="419"/>
      <c r="I70" s="419"/>
      <c r="J70" s="419"/>
      <c r="K70" s="419"/>
      <c r="L70" s="419"/>
      <c r="M70" s="562"/>
      <c r="N70" s="563"/>
      <c r="P70" s="561"/>
      <c r="Q70" s="560"/>
      <c r="R70" s="561"/>
      <c r="S70" s="561"/>
      <c r="U70" s="329"/>
      <c r="V70" s="329"/>
      <c r="W70" s="329"/>
      <c r="X70" s="376"/>
      <c r="Y70" s="22"/>
      <c r="Z70" s="22"/>
      <c r="AH70" s="8"/>
      <c r="AI70" s="8"/>
      <c r="AJ70" s="8"/>
      <c r="AK70" s="8"/>
    </row>
    <row r="71" spans="2:38" s="268" customFormat="1" ht="19.350000000000001" customHeight="1">
      <c r="B71" s="263"/>
      <c r="C71" s="370"/>
      <c r="D71" s="421"/>
      <c r="E71" s="422"/>
      <c r="F71" s="422"/>
      <c r="G71" s="422"/>
      <c r="H71" s="422"/>
      <c r="I71" s="422"/>
      <c r="J71" s="422"/>
      <c r="K71" s="565"/>
      <c r="L71" s="565"/>
      <c r="M71" s="566"/>
      <c r="N71" s="567"/>
      <c r="O71" s="564"/>
      <c r="P71" s="561"/>
      <c r="Q71" s="560"/>
      <c r="R71" s="561"/>
      <c r="S71" s="561"/>
      <c r="T71" s="568"/>
      <c r="U71" s="305" t="s">
        <v>5313</v>
      </c>
      <c r="V71" s="369" t="s">
        <v>87</v>
      </c>
      <c r="W71" s="263"/>
      <c r="X71" s="376"/>
      <c r="Y71" s="22"/>
      <c r="Z71" s="22"/>
      <c r="AH71" s="8"/>
      <c r="AI71" s="8"/>
      <c r="AJ71" s="8"/>
      <c r="AK71" s="8"/>
    </row>
    <row r="72" spans="2:38" s="268" customFormat="1" ht="32.1" customHeight="1">
      <c r="B72" s="263"/>
      <c r="C72" s="405"/>
      <c r="D72" s="781" t="s">
        <v>5312</v>
      </c>
      <c r="E72" s="394" t="s">
        <v>5043</v>
      </c>
      <c r="F72" s="284"/>
      <c r="G72" s="284"/>
      <c r="H72" s="395"/>
      <c r="I72" s="11"/>
      <c r="J72" s="12"/>
      <c r="K72" s="424" t="str">
        <f t="shared" ref="K72:K75" si="17">IF(I72="","",SUM(I72)-SUM(J72))</f>
        <v/>
      </c>
      <c r="L72" s="286" t="s">
        <v>68</v>
      </c>
      <c r="M72" s="1072" t="str">
        <f>IF($T$1=2022,"----------",IFERROR(IF(V72="","",$K72*V72),""))</f>
        <v/>
      </c>
      <c r="N72" s="569"/>
      <c r="P72" s="556"/>
      <c r="Q72" s="558"/>
      <c r="R72" s="556"/>
      <c r="S72" s="556"/>
      <c r="U72" s="171" t="s">
        <v>5043</v>
      </c>
      <c r="V72" s="222"/>
      <c r="W72" s="376"/>
      <c r="X72" s="376"/>
      <c r="Y72" s="22"/>
      <c r="Z72" s="22"/>
      <c r="AH72" s="8"/>
      <c r="AI72" s="8"/>
      <c r="AJ72" s="8"/>
      <c r="AK72" s="8"/>
    </row>
    <row r="73" spans="2:38" ht="32.1" customHeight="1">
      <c r="C73" s="370"/>
      <c r="D73" s="782"/>
      <c r="E73" s="402" t="s">
        <v>5044</v>
      </c>
      <c r="F73" s="361"/>
      <c r="G73" s="361"/>
      <c r="H73" s="296"/>
      <c r="I73" s="14"/>
      <c r="J73" s="15"/>
      <c r="K73" s="297" t="str">
        <f t="shared" si="17"/>
        <v/>
      </c>
      <c r="L73" s="298" t="s">
        <v>68</v>
      </c>
      <c r="M73" s="1073" t="str">
        <f>IF($T$1=2022,"----------",IFERROR(IF(V73="","",$K73*V73),""))</f>
        <v/>
      </c>
      <c r="N73" s="400"/>
      <c r="P73" s="558"/>
      <c r="Q73" s="558"/>
      <c r="R73" s="556"/>
      <c r="S73" s="556"/>
      <c r="U73" s="171" t="s">
        <v>5044</v>
      </c>
      <c r="V73" s="222"/>
      <c r="W73" s="263"/>
      <c r="X73" s="376"/>
      <c r="AL73" s="268"/>
    </row>
    <row r="74" spans="2:38" ht="32.1" customHeight="1">
      <c r="C74" s="370"/>
      <c r="D74" s="782"/>
      <c r="E74" s="402" t="s">
        <v>5045</v>
      </c>
      <c r="F74" s="361"/>
      <c r="G74" s="361"/>
      <c r="H74" s="296"/>
      <c r="I74" s="14"/>
      <c r="J74" s="15"/>
      <c r="K74" s="297" t="str">
        <f t="shared" si="17"/>
        <v/>
      </c>
      <c r="L74" s="298" t="s">
        <v>68</v>
      </c>
      <c r="M74" s="1073" t="str">
        <f>IF($T$1=2022,"----------",IFERROR(IF(V74="","",$K74*V74),""))</f>
        <v/>
      </c>
      <c r="N74" s="400"/>
      <c r="P74" s="558"/>
      <c r="Q74" s="558"/>
      <c r="R74" s="556"/>
      <c r="S74" s="556"/>
      <c r="U74" s="171" t="s">
        <v>5045</v>
      </c>
      <c r="V74" s="222"/>
      <c r="W74" s="263"/>
      <c r="X74" s="376"/>
      <c r="AL74" s="268"/>
    </row>
    <row r="75" spans="2:38" ht="32.1" customHeight="1">
      <c r="C75" s="370"/>
      <c r="D75" s="782"/>
      <c r="E75" s="402" t="s">
        <v>5046</v>
      </c>
      <c r="F75" s="361"/>
      <c r="G75" s="361"/>
      <c r="H75" s="296"/>
      <c r="I75" s="14"/>
      <c r="J75" s="15"/>
      <c r="K75" s="297" t="str">
        <f t="shared" si="17"/>
        <v/>
      </c>
      <c r="L75" s="298" t="s">
        <v>68</v>
      </c>
      <c r="M75" s="1073" t="str">
        <f>IF($T$1=2022,"----------",IFERROR(IF(V75="","",$K75*V75),""))</f>
        <v/>
      </c>
      <c r="N75" s="400"/>
      <c r="P75" s="558"/>
      <c r="Q75" s="558"/>
      <c r="R75" s="556"/>
      <c r="S75" s="556"/>
      <c r="U75" s="171" t="s">
        <v>5046</v>
      </c>
      <c r="V75" s="222"/>
      <c r="W75" s="263"/>
      <c r="X75" s="376"/>
      <c r="AC75" s="427"/>
      <c r="AF75" s="427"/>
      <c r="AG75" s="427"/>
    </row>
    <row r="76" spans="2:38" ht="32.1" customHeight="1" thickBot="1">
      <c r="C76" s="370"/>
      <c r="D76" s="783"/>
      <c r="E76" s="428" t="str">
        <f>"その他 （"&amp;U76&amp;"）"</f>
        <v>その他 （）</v>
      </c>
      <c r="F76" s="429"/>
      <c r="G76" s="429"/>
      <c r="H76" s="430"/>
      <c r="I76" s="27"/>
      <c r="J76" s="28"/>
      <c r="K76" s="431" t="str">
        <f>IF(I76="","",SUM(I76)-SUM(J76))</f>
        <v/>
      </c>
      <c r="L76" s="298" t="s">
        <v>68</v>
      </c>
      <c r="M76" s="1073" t="str">
        <f>IF($T$1=2022,"----------",IFERROR(IF(V76="","",$K76*V76),""))</f>
        <v/>
      </c>
      <c r="N76" s="472"/>
      <c r="P76" s="558"/>
      <c r="Q76" s="556"/>
      <c r="R76" s="556"/>
      <c r="S76" s="556"/>
      <c r="U76" s="26"/>
      <c r="V76" s="222"/>
      <c r="W76" s="263"/>
      <c r="X76" s="376"/>
      <c r="AC76" s="377"/>
      <c r="AF76" s="377"/>
      <c r="AG76" s="377"/>
    </row>
    <row r="77" spans="2:38" ht="19.350000000000001" customHeight="1" thickTop="1">
      <c r="C77" s="433"/>
      <c r="D77" s="434"/>
      <c r="E77" s="435"/>
      <c r="F77" s="436" t="s">
        <v>5047</v>
      </c>
      <c r="G77" s="437"/>
      <c r="H77" s="438"/>
      <c r="I77" s="439">
        <f>SUM(I61,I63,I65,I67,I69,I72:I76)</f>
        <v>0</v>
      </c>
      <c r="J77" s="440">
        <f>SUM(J61,J63,J65,J67,J69,J72:J76)</f>
        <v>0</v>
      </c>
      <c r="K77" s="440">
        <f>SUM(K61,K63,K65,K67,K69,K72:K76)</f>
        <v>0</v>
      </c>
      <c r="L77" s="441" t="s">
        <v>68</v>
      </c>
      <c r="M77" s="1080">
        <f>SUM(M61,M63,M65,M67,M69,M72:M76)</f>
        <v>0</v>
      </c>
      <c r="N77" s="442"/>
      <c r="P77" s="570"/>
      <c r="Q77" s="570"/>
      <c r="R77" s="570"/>
      <c r="S77" s="570"/>
      <c r="U77" s="376"/>
      <c r="V77" s="376"/>
      <c r="W77" s="263"/>
      <c r="X77" s="376"/>
      <c r="AC77" s="377"/>
      <c r="AD77" s="427"/>
      <c r="AE77" s="427"/>
      <c r="AF77" s="377"/>
      <c r="AG77" s="377"/>
    </row>
    <row r="78" spans="2:38" ht="19.350000000000001" customHeight="1" thickBot="1">
      <c r="C78" s="784" t="s">
        <v>72</v>
      </c>
      <c r="D78" s="785"/>
      <c r="E78" s="785"/>
      <c r="F78" s="785"/>
      <c r="G78" s="785"/>
      <c r="H78" s="786"/>
      <c r="I78" s="443">
        <f>SUM(I60,I62,I64,I66,I68,I72:I76)</f>
        <v>0</v>
      </c>
      <c r="J78" s="444">
        <f>SUM(J60,J62,J64,J66,J68,J72:J76)</f>
        <v>0</v>
      </c>
      <c r="K78" s="444">
        <f>SUM(K60,K62,K64,K66,K68,K72:K76)</f>
        <v>0</v>
      </c>
      <c r="L78" s="445" t="s">
        <v>68</v>
      </c>
      <c r="M78" s="1081">
        <f>SUM(M60,M62,M64,M66,M68,M72:M76)</f>
        <v>0</v>
      </c>
      <c r="N78" s="446">
        <f>SUM(N60:N69)</f>
        <v>0</v>
      </c>
      <c r="P78"/>
      <c r="Q78"/>
      <c r="R78"/>
      <c r="S78"/>
      <c r="U78" s="263"/>
      <c r="V78" s="263"/>
      <c r="W78" s="263"/>
      <c r="X78" s="263"/>
      <c r="AC78" s="377"/>
      <c r="AD78" s="377"/>
      <c r="AE78" s="377"/>
      <c r="AF78" s="377"/>
      <c r="AG78" s="377"/>
    </row>
    <row r="79" spans="2:38" ht="19.350000000000001" customHeight="1" thickBot="1">
      <c r="C79" s="762" t="s">
        <v>5290</v>
      </c>
      <c r="D79" s="763"/>
      <c r="E79" s="763"/>
      <c r="F79" s="763"/>
      <c r="G79" s="763"/>
      <c r="H79" s="764"/>
      <c r="I79" s="735" t="s">
        <v>127</v>
      </c>
      <c r="J79" s="737" t="s">
        <v>40</v>
      </c>
      <c r="K79" s="739" t="s">
        <v>41</v>
      </c>
      <c r="L79" s="741" t="s">
        <v>42</v>
      </c>
      <c r="M79" s="760" t="s">
        <v>5183</v>
      </c>
      <c r="N79" s="745" t="s">
        <v>5184</v>
      </c>
      <c r="P79"/>
      <c r="Q79"/>
      <c r="R79"/>
      <c r="S79"/>
      <c r="U79" s="731" t="s">
        <v>5048</v>
      </c>
      <c r="V79" s="715" t="s">
        <v>5291</v>
      </c>
      <c r="W79" s="715" t="s">
        <v>5292</v>
      </c>
      <c r="X79" s="715" t="s">
        <v>5049</v>
      </c>
      <c r="Y79" s="962" t="s">
        <v>5189</v>
      </c>
      <c r="Z79" s="962" t="s">
        <v>5293</v>
      </c>
      <c r="AA79" s="962" t="s">
        <v>5294</v>
      </c>
      <c r="AB79" s="427"/>
      <c r="AC79" s="377"/>
      <c r="AD79" s="377"/>
      <c r="AE79" s="377"/>
      <c r="AF79" s="377"/>
      <c r="AG79" s="377"/>
    </row>
    <row r="80" spans="2:38" ht="19.350000000000001" customHeight="1">
      <c r="C80" s="790"/>
      <c r="D80" s="791"/>
      <c r="E80" s="791"/>
      <c r="F80" s="791"/>
      <c r="G80" s="791"/>
      <c r="H80" s="792"/>
      <c r="I80" s="736"/>
      <c r="J80" s="738"/>
      <c r="K80" s="740"/>
      <c r="L80" s="742"/>
      <c r="M80" s="744"/>
      <c r="N80" s="746"/>
      <c r="P80" s="547" t="s">
        <v>5255</v>
      </c>
      <c r="Q80" s="547" t="s">
        <v>5256</v>
      </c>
      <c r="R80" s="547" t="s">
        <v>5059</v>
      </c>
      <c r="S80" s="547" t="s">
        <v>5209</v>
      </c>
      <c r="U80" s="732"/>
      <c r="V80" s="716"/>
      <c r="W80" s="716"/>
      <c r="X80" s="716"/>
      <c r="Y80" s="963"/>
      <c r="Z80" s="963"/>
      <c r="AA80" s="963"/>
      <c r="AB80" s="427"/>
      <c r="AC80" s="377"/>
      <c r="AD80" s="377"/>
      <c r="AE80" s="377"/>
      <c r="AF80" s="377"/>
      <c r="AG80" s="377"/>
    </row>
    <row r="81" spans="1:34" ht="19.350000000000001" customHeight="1">
      <c r="C81" s="449"/>
      <c r="D81" s="410" t="s">
        <v>5295</v>
      </c>
      <c r="E81" s="273"/>
      <c r="F81" s="419"/>
      <c r="G81" s="419"/>
      <c r="H81" s="395"/>
      <c r="I81" s="450" t="str">
        <f>IF(COUNTBLANK(V81:W85)=10,"",SUM(I82:I83))</f>
        <v/>
      </c>
      <c r="J81" s="451"/>
      <c r="K81" s="452" t="str">
        <f>I81</f>
        <v/>
      </c>
      <c r="L81" s="453" t="s">
        <v>5190</v>
      </c>
      <c r="M81" s="1082" t="str">
        <f>IF(COUNTBLANK(V81:W85)=10,"",SUM(M82,M83))</f>
        <v/>
      </c>
      <c r="N81" s="287" t="str">
        <f>IF(COUNTBLANK(V81:W85)=10,"",SUM(N82,N83))</f>
        <v/>
      </c>
      <c r="P81" s="454"/>
      <c r="Q81" s="454"/>
      <c r="R81" s="454"/>
      <c r="S81" s="454"/>
      <c r="U81" s="29"/>
      <c r="V81" s="31"/>
      <c r="W81" s="31"/>
      <c r="X81" s="32"/>
      <c r="Y81" s="30"/>
      <c r="Z81" s="582" t="str">
        <f>IF(V81="","",V81*Y81)</f>
        <v/>
      </c>
      <c r="AA81" s="582" t="str">
        <f>IF(W81="","",W81*Y81)</f>
        <v/>
      </c>
      <c r="AB81" s="377"/>
      <c r="AC81" s="457"/>
      <c r="AD81" s="377"/>
      <c r="AE81" s="377"/>
      <c r="AF81" s="457"/>
      <c r="AG81" s="457"/>
    </row>
    <row r="82" spans="1:34" ht="19.350000000000001" customHeight="1">
      <c r="C82" s="449"/>
      <c r="D82" s="410"/>
      <c r="E82" s="334" t="s">
        <v>5318</v>
      </c>
      <c r="F82" s="334"/>
      <c r="G82" s="458"/>
      <c r="H82" s="335"/>
      <c r="I82" s="459" t="str">
        <f>IF(COUNTBLANK(V81:W85)=10,"",V86)</f>
        <v/>
      </c>
      <c r="J82" s="460"/>
      <c r="K82" s="461" t="str">
        <f t="shared" ref="K82:K85" si="18">I82</f>
        <v/>
      </c>
      <c r="L82" s="571" t="s">
        <v>5296</v>
      </c>
      <c r="M82" s="1083" t="str">
        <f>IFERROR(IF(K82="","",$K82*R82),"-------------")</f>
        <v/>
      </c>
      <c r="N82" s="299" t="str">
        <f>IF(COUNTBLANK(V81:W85)=10,"",Z86)</f>
        <v/>
      </c>
      <c r="P82" s="454" t="s">
        <v>5234</v>
      </c>
      <c r="Q82" s="454" t="s">
        <v>5234</v>
      </c>
      <c r="R82" s="454">
        <f t="shared" ref="R82:R86" si="19">IF($T$1=2022,VLOOKUP($P82,係数2022,7,0),VLOOKUP($Q82,係数2023,7,0))</f>
        <v>8.64</v>
      </c>
      <c r="S82" s="454"/>
      <c r="U82" s="29"/>
      <c r="V82" s="31"/>
      <c r="W82" s="31"/>
      <c r="X82" s="32"/>
      <c r="Y82" s="30"/>
      <c r="Z82" s="582" t="str">
        <f t="shared" ref="Z82:Z85" si="20">IF(V82="","",V82*Y82)</f>
        <v/>
      </c>
      <c r="AA82" s="582" t="str">
        <f t="shared" ref="AA82:AA85" si="21">IF(W82="","",W82*Y82)</f>
        <v/>
      </c>
      <c r="AB82" s="377"/>
      <c r="AC82" s="457"/>
      <c r="AD82" s="377"/>
      <c r="AE82" s="377"/>
      <c r="AF82" s="457"/>
      <c r="AG82" s="457"/>
    </row>
    <row r="83" spans="1:34" ht="19.350000000000001" customHeight="1">
      <c r="C83" s="449"/>
      <c r="D83" s="410"/>
      <c r="E83" s="334" t="s">
        <v>5319</v>
      </c>
      <c r="F83" s="334"/>
      <c r="G83" s="458"/>
      <c r="H83" s="463"/>
      <c r="I83" s="459" t="str">
        <f>IF(COUNTBLANK(V81:W85)=10,"",W86)</f>
        <v/>
      </c>
      <c r="J83" s="460"/>
      <c r="K83" s="461" t="str">
        <f t="shared" si="18"/>
        <v/>
      </c>
      <c r="L83" s="571" t="s">
        <v>5297</v>
      </c>
      <c r="M83" s="1083" t="str">
        <f>IFERROR(IF(K83="","",$K83*R83),"-------------")</f>
        <v/>
      </c>
      <c r="N83" s="299" t="str">
        <f>IF(COUNTBLANK(V81:W85)=10,"",AA86)</f>
        <v/>
      </c>
      <c r="P83" s="454" t="s">
        <v>5235</v>
      </c>
      <c r="Q83" s="454" t="s">
        <v>5235</v>
      </c>
      <c r="R83" s="454">
        <f t="shared" si="19"/>
        <v>8.64</v>
      </c>
      <c r="S83" s="454"/>
      <c r="U83" s="29"/>
      <c r="V83" s="31"/>
      <c r="W83" s="31"/>
      <c r="X83" s="32"/>
      <c r="Y83" s="30"/>
      <c r="Z83" s="582" t="str">
        <f t="shared" si="20"/>
        <v/>
      </c>
      <c r="AA83" s="582" t="str">
        <f t="shared" si="21"/>
        <v/>
      </c>
      <c r="AB83" s="377"/>
      <c r="AC83" s="8"/>
      <c r="AD83" s="457"/>
      <c r="AE83" s="457"/>
      <c r="AF83" s="8"/>
      <c r="AG83" s="8"/>
    </row>
    <row r="84" spans="1:34" ht="19.350000000000001" customHeight="1">
      <c r="C84" s="464" t="s">
        <v>5050</v>
      </c>
      <c r="D84" s="465"/>
      <c r="E84" s="39"/>
      <c r="F84" s="466" t="s">
        <v>5041</v>
      </c>
      <c r="G84" s="467"/>
      <c r="H84" s="430"/>
      <c r="I84" s="468" t="str">
        <f>IF($T$1=2022,"----------",IF(COUNTBLANK(V81:W85)=10,"",SUMPRODUCT(V81:V85,X81:X85)+SUMPRODUCT(W81:W85,X81:X85)))</f>
        <v/>
      </c>
      <c r="J84" s="469"/>
      <c r="K84" s="470" t="str">
        <f>I84</f>
        <v/>
      </c>
      <c r="L84" s="572" t="s">
        <v>5190</v>
      </c>
      <c r="M84" s="1084" t="str">
        <f>IF($T$1=2022,"----------",IF(M81&lt;&gt;"",K84*R84,""))</f>
        <v/>
      </c>
      <c r="N84" s="472"/>
      <c r="P84" s="454"/>
      <c r="Q84" s="454" t="s">
        <v>5298</v>
      </c>
      <c r="R84" s="454">
        <f t="shared" si="19"/>
        <v>8.64</v>
      </c>
      <c r="S84" s="454"/>
      <c r="U84" s="34"/>
      <c r="V84" s="31"/>
      <c r="W84" s="31"/>
      <c r="X84" s="32"/>
      <c r="Y84" s="30"/>
      <c r="Z84" s="582" t="str">
        <f t="shared" si="20"/>
        <v/>
      </c>
      <c r="AA84" s="582" t="str">
        <f t="shared" si="21"/>
        <v/>
      </c>
      <c r="AB84" s="377"/>
      <c r="AC84" s="8"/>
      <c r="AD84" s="8"/>
      <c r="AE84" s="8"/>
      <c r="AF84" s="8"/>
      <c r="AG84" s="8"/>
      <c r="AH84" s="268"/>
    </row>
    <row r="85" spans="1:34" ht="19.350000000000001" customHeight="1" thickBot="1">
      <c r="C85" s="464" t="s">
        <v>5299</v>
      </c>
      <c r="D85" s="410" t="s">
        <v>5301</v>
      </c>
      <c r="E85" s="273"/>
      <c r="F85" s="419"/>
      <c r="G85" s="419"/>
      <c r="H85" s="473"/>
      <c r="I85" s="474" t="str">
        <f>IF(COUNTBLANK(W91:W93)+COUNTBLANK(W97:W98)=5,"",W99)</f>
        <v/>
      </c>
      <c r="J85" s="475"/>
      <c r="K85" s="476" t="str">
        <f t="shared" si="18"/>
        <v/>
      </c>
      <c r="L85" s="573" t="s">
        <v>5190</v>
      </c>
      <c r="M85" s="1082" t="str">
        <f>IF(K85="","",IF(COUNTBLANK(W91:W93)+COUNTBLANK(W97:W98)=5,"",SUM(AB99)))</f>
        <v/>
      </c>
      <c r="N85" s="478" t="str">
        <f>IF(I85="","",SUMPRODUCT(W91:W93,Y91:Y93)+SUMPRODUCT(W97:W98,Y97:Y98))</f>
        <v/>
      </c>
      <c r="P85" s="479" t="s">
        <v>5300</v>
      </c>
      <c r="Q85" s="479" t="s">
        <v>5300</v>
      </c>
      <c r="R85" s="454">
        <f t="shared" si="19"/>
        <v>8.64</v>
      </c>
      <c r="S85" s="480"/>
      <c r="U85" s="35"/>
      <c r="V85" s="36"/>
      <c r="W85" s="36"/>
      <c r="X85" s="32"/>
      <c r="Y85" s="30"/>
      <c r="Z85" s="582" t="str">
        <f t="shared" si="20"/>
        <v/>
      </c>
      <c r="AA85" s="582" t="str">
        <f t="shared" si="21"/>
        <v/>
      </c>
      <c r="AB85" s="377"/>
      <c r="AC85" s="8"/>
      <c r="AD85" s="8"/>
      <c r="AE85" s="8"/>
      <c r="AF85" s="8"/>
      <c r="AG85" s="8"/>
      <c r="AH85" s="268"/>
    </row>
    <row r="86" spans="1:34" ht="19.350000000000001" customHeight="1" thickTop="1">
      <c r="C86" s="464"/>
      <c r="D86" s="465"/>
      <c r="E86" s="39"/>
      <c r="F86" s="466" t="s">
        <v>5041</v>
      </c>
      <c r="G86" s="467"/>
      <c r="H86" s="430"/>
      <c r="I86" s="468" t="str">
        <f>IF($T$1=2022,"----------",IF(COUNTBLANK(W91:W93)+COUNTBLANK(W97:W98)=5,"",SUMPRODUCT(W91:W98,X91:X98)))</f>
        <v/>
      </c>
      <c r="J86" s="469"/>
      <c r="K86" s="470" t="str">
        <f>I86</f>
        <v/>
      </c>
      <c r="L86" s="572" t="s">
        <v>5190</v>
      </c>
      <c r="M86" s="1084" t="str">
        <f>IF($T$1=2022,"----------",IF(COUNTBLANK(W91:W93)+COUNTBLANK(W97:W98)=5,"",SUM(AB99)*X99))</f>
        <v/>
      </c>
      <c r="N86" s="472"/>
      <c r="P86" s="479"/>
      <c r="Q86" s="479" t="s">
        <v>5300</v>
      </c>
      <c r="R86" s="454">
        <f t="shared" si="19"/>
        <v>8.64</v>
      </c>
      <c r="S86" s="480"/>
      <c r="U86" s="583" t="s">
        <v>118</v>
      </c>
      <c r="V86" s="584" t="str">
        <f>IF(COUNTBLANK(V81:V85)=5,"",SUM(V81:V85))</f>
        <v/>
      </c>
      <c r="W86" s="584" t="str">
        <f>IF(COUNTBLANK(W81:W85)=5,"",SUM(W81:W85))</f>
        <v/>
      </c>
      <c r="X86" s="585" t="str">
        <f>IF(COUNTBLANK(U81:U85)=5,"",
         IFERROR(
                 IF($T$1=2022,"---------------",
                        (SUMPRODUCT(V81:V85,X81:X85)+SUMPRODUCT(W81:W85,X81:X85))/SUM(V86,W86)),"使用量未入力"))</f>
        <v/>
      </c>
      <c r="Y86" s="586"/>
      <c r="Z86" s="587" t="str">
        <f>IF(COUNTBLANK(V81:V85)=5,"",SUM(Z81:Z85))</f>
        <v/>
      </c>
      <c r="AA86" s="587" t="str">
        <f>IF(COUNTBLANK(W81:W85)=5,"",SUM(AA81:AA85))</f>
        <v/>
      </c>
      <c r="AB86" s="457"/>
      <c r="AC86" s="8"/>
      <c r="AD86" s="8"/>
      <c r="AE86" s="8"/>
      <c r="AF86" s="8"/>
      <c r="AG86" s="8"/>
      <c r="AH86" s="268"/>
    </row>
    <row r="87" spans="1:34" ht="19.350000000000001" customHeight="1">
      <c r="C87" s="464"/>
      <c r="D87" s="486" t="s">
        <v>124</v>
      </c>
      <c r="E87" s="487"/>
      <c r="F87" s="488"/>
      <c r="G87" s="488"/>
      <c r="H87" s="489"/>
      <c r="I87" s="490"/>
      <c r="J87" s="491" t="str">
        <f>IF(W103="","",SUM(W103))</f>
        <v/>
      </c>
      <c r="K87" s="491" t="str">
        <f>IF(J87="","",-SUM(J87))</f>
        <v/>
      </c>
      <c r="L87" s="574" t="s">
        <v>5190</v>
      </c>
      <c r="M87" s="1085" t="str">
        <f>IF(K87="","",$K87*X103)</f>
        <v/>
      </c>
      <c r="N87" s="493" t="str">
        <f>IF(J87="","",-SUM(Z103))</f>
        <v/>
      </c>
      <c r="P87" s="454"/>
      <c r="Q87" s="454"/>
      <c r="R87" s="454"/>
      <c r="S87" s="480"/>
      <c r="U87" s="494"/>
      <c r="V87" s="447"/>
      <c r="W87" s="447"/>
      <c r="X87" s="495"/>
      <c r="Y87" s="447"/>
      <c r="Z87" s="456"/>
      <c r="AA87" s="456"/>
      <c r="AB87" s="456"/>
      <c r="AC87" s="8"/>
      <c r="AD87" s="8"/>
      <c r="AE87" s="8"/>
      <c r="AF87" s="8"/>
      <c r="AG87" s="8"/>
      <c r="AH87" s="268"/>
    </row>
    <row r="88" spans="1:34" ht="19.350000000000001" customHeight="1" thickBot="1">
      <c r="C88" s="496"/>
      <c r="D88" s="497" t="s">
        <v>5051</v>
      </c>
      <c r="E88" s="498"/>
      <c r="F88" s="498"/>
      <c r="G88" s="498"/>
      <c r="H88" s="499"/>
      <c r="I88" s="474" t="str">
        <f>IF($T$1=2022,"----------",IF(COUNTBLANK(W107:W110)=4,"",W111))</f>
        <v/>
      </c>
      <c r="J88" s="475"/>
      <c r="K88" s="476" t="str">
        <f>IF(T1=2022,"----------",IF(I88="","",SUM(I88)))</f>
        <v/>
      </c>
      <c r="L88" s="573" t="s">
        <v>5190</v>
      </c>
      <c r="M88" s="1086" t="str">
        <f>IF(COUNTBLANK(W107:W110)=4,"",K88*3.6)</f>
        <v/>
      </c>
      <c r="N88" s="500"/>
      <c r="P88" s="501"/>
      <c r="Q88" s="501"/>
      <c r="R88" s="501"/>
      <c r="S88" s="501"/>
      <c r="U88" s="494"/>
      <c r="V88" s="447"/>
      <c r="W88" s="447"/>
      <c r="X88" s="263"/>
      <c r="Y88" s="263"/>
      <c r="Z88" s="303"/>
      <c r="AA88" s="303"/>
      <c r="AB88" s="303"/>
      <c r="AC88" s="8"/>
      <c r="AD88" s="8"/>
      <c r="AE88" s="8"/>
      <c r="AF88" s="8"/>
      <c r="AG88" s="8"/>
      <c r="AH88" s="268"/>
    </row>
    <row r="89" spans="1:34" ht="19.350000000000001" customHeight="1" thickTop="1">
      <c r="C89" s="502"/>
      <c r="D89" s="434"/>
      <c r="E89" s="503"/>
      <c r="F89" s="787" t="s">
        <v>5047</v>
      </c>
      <c r="G89" s="788"/>
      <c r="H89" s="789"/>
      <c r="I89" s="504">
        <f>IF($T$1=2022,"----------",SUM(I84,I86,I88))</f>
        <v>0</v>
      </c>
      <c r="J89" s="505"/>
      <c r="K89" s="506">
        <f>IF($T$1=2022,"----------",SUM(K84,K86,K88))</f>
        <v>0</v>
      </c>
      <c r="L89" s="507" t="s">
        <v>5317</v>
      </c>
      <c r="M89" s="1088">
        <f>SUM(M84,M86,M88)</f>
        <v>0</v>
      </c>
      <c r="N89" s="508"/>
      <c r="P89" s="570"/>
      <c r="Q89" s="570"/>
      <c r="R89" s="570"/>
      <c r="S89" s="570"/>
      <c r="U89" s="723" t="s">
        <v>5302</v>
      </c>
      <c r="V89" s="725"/>
      <c r="W89" s="715" t="s">
        <v>3110</v>
      </c>
      <c r="X89" s="715" t="s">
        <v>5049</v>
      </c>
      <c r="Y89" s="715" t="s">
        <v>5392</v>
      </c>
      <c r="Z89" s="715" t="s">
        <v>5393</v>
      </c>
      <c r="AA89" s="715" t="s">
        <v>3108</v>
      </c>
      <c r="AB89" s="727" t="s">
        <v>5303</v>
      </c>
      <c r="AC89" s="8"/>
      <c r="AD89" s="8"/>
      <c r="AE89" s="8"/>
      <c r="AF89" s="8"/>
      <c r="AG89" s="8"/>
      <c r="AH89" s="268"/>
    </row>
    <row r="90" spans="1:34" ht="19.350000000000001" customHeight="1" thickBot="1">
      <c r="C90" s="784" t="s">
        <v>72</v>
      </c>
      <c r="D90" s="785"/>
      <c r="E90" s="785"/>
      <c r="F90" s="785"/>
      <c r="G90" s="785"/>
      <c r="H90" s="786"/>
      <c r="I90" s="509">
        <f>SUM(I81,I85,I87,I88)</f>
        <v>0</v>
      </c>
      <c r="J90" s="510">
        <f>SUM(J87)</f>
        <v>0</v>
      </c>
      <c r="K90" s="510">
        <f>SUM(K81,K85,K87,K88)</f>
        <v>0</v>
      </c>
      <c r="L90" s="511" t="s">
        <v>5317</v>
      </c>
      <c r="M90" s="1089">
        <f>SUM(M81,M85,M87,M88)</f>
        <v>0</v>
      </c>
      <c r="N90" s="512">
        <f>SUM(N81,N85,N87)</f>
        <v>0</v>
      </c>
      <c r="P90"/>
      <c r="Q90"/>
      <c r="R90"/>
      <c r="S90"/>
      <c r="U90" s="724"/>
      <c r="V90" s="726"/>
      <c r="W90" s="716"/>
      <c r="X90" s="716"/>
      <c r="Y90" s="716"/>
      <c r="Z90" s="716"/>
      <c r="AA90" s="716"/>
      <c r="AB90" s="728"/>
      <c r="AC90" s="8"/>
      <c r="AD90" s="8"/>
      <c r="AE90" s="8"/>
      <c r="AF90" s="8"/>
      <c r="AG90" s="8"/>
      <c r="AH90" s="268"/>
    </row>
    <row r="91" spans="1:34" ht="19.350000000000001" customHeight="1">
      <c r="C91" s="588"/>
      <c r="D91" s="588"/>
      <c r="E91" s="588"/>
      <c r="F91" s="588"/>
      <c r="G91" s="588"/>
      <c r="H91" s="588"/>
      <c r="I91" s="588"/>
      <c r="J91" s="588"/>
      <c r="K91" s="513"/>
      <c r="L91" s="513"/>
      <c r="M91" s="513"/>
      <c r="N91" s="513"/>
      <c r="P91"/>
      <c r="Q91"/>
      <c r="R91"/>
      <c r="S91"/>
      <c r="U91" s="514" t="s">
        <v>5304</v>
      </c>
      <c r="V91" s="515"/>
      <c r="W91" s="223"/>
      <c r="X91" s="516">
        <v>1</v>
      </c>
      <c r="Y91" s="517"/>
      <c r="Z91" s="455" t="str">
        <f>IF(W91="","",W91*Y91)</f>
        <v/>
      </c>
      <c r="AA91" s="518">
        <v>3.6</v>
      </c>
      <c r="AB91" s="519" t="str">
        <f>IF(W91="","",W91*AA91)</f>
        <v/>
      </c>
      <c r="AC91" s="8"/>
      <c r="AD91" s="8"/>
      <c r="AE91" s="8"/>
      <c r="AF91" s="8"/>
      <c r="AG91" s="8"/>
      <c r="AH91" s="268"/>
    </row>
    <row r="92" spans="1:34" ht="19.350000000000001" customHeight="1">
      <c r="C92" s="520"/>
      <c r="D92" s="520"/>
      <c r="E92" s="520"/>
      <c r="F92" s="520"/>
      <c r="G92" s="520"/>
      <c r="H92" s="520"/>
      <c r="I92" s="520"/>
      <c r="J92" s="520"/>
      <c r="K92" s="520"/>
      <c r="L92" s="520"/>
      <c r="M92" s="520"/>
      <c r="N92" s="520"/>
      <c r="P92"/>
      <c r="Q92"/>
      <c r="R92"/>
      <c r="S92"/>
      <c r="U92" s="514" t="s">
        <v>5305</v>
      </c>
      <c r="V92" s="515"/>
      <c r="W92" s="223"/>
      <c r="X92" s="516">
        <v>1</v>
      </c>
      <c r="Y92" s="517"/>
      <c r="Z92" s="455" t="str">
        <f>IF(W92="","",W92*Y92)</f>
        <v/>
      </c>
      <c r="AA92" s="518">
        <v>3.6</v>
      </c>
      <c r="AB92" s="519" t="str">
        <f t="shared" ref="AB92" si="22">IF(W92="","",W92*AA92)</f>
        <v/>
      </c>
      <c r="AC92" s="8"/>
      <c r="AD92" s="8"/>
      <c r="AE92" s="8"/>
      <c r="AF92" s="8"/>
      <c r="AG92" s="8"/>
      <c r="AH92" s="268"/>
    </row>
    <row r="93" spans="1:34" ht="19.350000000000001" customHeight="1" thickBot="1">
      <c r="C93" s="272" t="s">
        <v>5187</v>
      </c>
      <c r="D93" s="272"/>
      <c r="I93" s="520"/>
      <c r="J93" s="520"/>
      <c r="K93" s="520"/>
      <c r="L93" s="520"/>
      <c r="M93" s="520"/>
      <c r="N93" s="520"/>
      <c r="P93"/>
      <c r="Q93"/>
      <c r="R93"/>
      <c r="S93"/>
      <c r="U93" s="514" t="s">
        <v>5306</v>
      </c>
      <c r="V93" s="515"/>
      <c r="W93" s="224"/>
      <c r="X93" s="225"/>
      <c r="Y93" s="226"/>
      <c r="Z93" s="455" t="str">
        <f>IF(W93="","",W93*Y93)</f>
        <v/>
      </c>
      <c r="AA93" s="518">
        <v>8.64</v>
      </c>
      <c r="AB93" s="519" t="str">
        <f>IF(W93="","",W93*AA93)</f>
        <v/>
      </c>
      <c r="AC93" s="8"/>
      <c r="AD93" s="8"/>
      <c r="AE93" s="8"/>
      <c r="AF93" s="8"/>
      <c r="AG93" s="8"/>
      <c r="AH93" s="268"/>
    </row>
    <row r="94" spans="1:34" ht="19.350000000000001" customHeight="1">
      <c r="C94" s="700" t="s">
        <v>5307</v>
      </c>
      <c r="D94" s="701"/>
      <c r="E94" s="701"/>
      <c r="F94" s="799"/>
      <c r="G94" s="801" t="s">
        <v>5184</v>
      </c>
      <c r="H94" s="802"/>
      <c r="I94" s="520"/>
      <c r="J94" s="520"/>
      <c r="K94" s="761"/>
      <c r="L94" s="520"/>
      <c r="M94" s="520"/>
      <c r="N94" s="520"/>
      <c r="P94"/>
      <c r="Q94"/>
      <c r="R94"/>
      <c r="S94"/>
      <c r="U94" s="521"/>
      <c r="V94" s="522"/>
      <c r="W94" s="523"/>
      <c r="X94" s="524"/>
      <c r="Y94" s="525"/>
      <c r="Z94" s="523"/>
      <c r="AA94" s="523"/>
      <c r="AB94" s="526"/>
      <c r="AC94" s="8"/>
      <c r="AD94" s="8"/>
      <c r="AE94" s="8"/>
      <c r="AH94" s="268"/>
    </row>
    <row r="95" spans="1:34" ht="19.350000000000001" customHeight="1" thickBot="1">
      <c r="C95" s="703"/>
      <c r="D95" s="704"/>
      <c r="E95" s="704"/>
      <c r="F95" s="800"/>
      <c r="G95" s="803"/>
      <c r="H95" s="804"/>
      <c r="I95" s="520"/>
      <c r="J95" s="520"/>
      <c r="K95" s="761"/>
      <c r="L95" s="520"/>
      <c r="M95" s="520"/>
      <c r="N95" s="520"/>
      <c r="P95"/>
      <c r="Q95"/>
      <c r="R95"/>
      <c r="S95"/>
      <c r="U95" s="527"/>
      <c r="V95" s="729" t="s">
        <v>79</v>
      </c>
      <c r="W95" s="715" t="s">
        <v>3110</v>
      </c>
      <c r="X95" s="715" t="s">
        <v>5049</v>
      </c>
      <c r="Y95" s="715" t="s">
        <v>5392</v>
      </c>
      <c r="Z95" s="715" t="s">
        <v>5393</v>
      </c>
      <c r="AA95" s="715" t="s">
        <v>3108</v>
      </c>
      <c r="AB95" s="727" t="s">
        <v>5303</v>
      </c>
    </row>
    <row r="96" spans="1:34" ht="19.350000000000001" customHeight="1">
      <c r="A96" s="520"/>
      <c r="B96" s="520"/>
      <c r="C96" s="528" t="s">
        <v>5191</v>
      </c>
      <c r="D96" s="528"/>
      <c r="E96" s="380"/>
      <c r="F96" s="380"/>
      <c r="G96" s="811"/>
      <c r="H96" s="812"/>
      <c r="P96"/>
      <c r="Q96"/>
      <c r="R96"/>
      <c r="S96"/>
      <c r="U96" s="527" t="s">
        <v>125</v>
      </c>
      <c r="V96" s="730"/>
      <c r="W96" s="716"/>
      <c r="X96" s="716"/>
      <c r="Y96" s="716"/>
      <c r="Z96" s="716"/>
      <c r="AA96" s="716"/>
      <c r="AB96" s="728"/>
    </row>
    <row r="97" spans="2:38" ht="19.350000000000001" customHeight="1">
      <c r="C97" s="529" t="s">
        <v>5192</v>
      </c>
      <c r="D97" s="529"/>
      <c r="E97" s="361"/>
      <c r="F97" s="361"/>
      <c r="G97" s="809"/>
      <c r="H97" s="810"/>
      <c r="P97"/>
      <c r="Q97"/>
      <c r="R97"/>
      <c r="S97"/>
      <c r="U97" s="530"/>
      <c r="V97" s="224"/>
      <c r="W97" s="224"/>
      <c r="X97" s="225"/>
      <c r="Y97" s="226"/>
      <c r="Z97" s="455" t="str">
        <f t="shared" ref="Z97:Z98" si="23">IF(W97="","",X97*Y97)</f>
        <v/>
      </c>
      <c r="AA97" s="518">
        <f>IFERROR(IF($T$1=2022,VLOOKUP($U$96,係数2022,7,0),8.64),"-")</f>
        <v>8.64</v>
      </c>
      <c r="AB97" s="519" t="str">
        <f t="shared" ref="AB97:AB98" si="24">IF(W97="","",W97*AA97)</f>
        <v/>
      </c>
    </row>
    <row r="98" spans="2:38" ht="19.350000000000001" customHeight="1" thickBot="1">
      <c r="C98" s="529" t="s">
        <v>5193</v>
      </c>
      <c r="D98" s="529"/>
      <c r="E98" s="361"/>
      <c r="F98" s="361"/>
      <c r="G98" s="809"/>
      <c r="H98" s="810"/>
      <c r="P98"/>
      <c r="Q98"/>
      <c r="R98"/>
      <c r="S98"/>
      <c r="U98" s="531"/>
      <c r="V98" s="224"/>
      <c r="W98" s="224"/>
      <c r="X98" s="225"/>
      <c r="Y98" s="226"/>
      <c r="Z98" s="455" t="str">
        <f t="shared" si="23"/>
        <v/>
      </c>
      <c r="AA98" s="518">
        <f>IFERROR(IF($T$1=2022,VLOOKUP($U$96,係数2022,7,0),8.64),"-")</f>
        <v>8.64</v>
      </c>
      <c r="AB98" s="532" t="str">
        <f t="shared" si="24"/>
        <v/>
      </c>
    </row>
    <row r="99" spans="2:38" ht="19.350000000000001" customHeight="1" thickTop="1">
      <c r="C99" s="529" t="s">
        <v>137</v>
      </c>
      <c r="D99" s="529"/>
      <c r="E99" s="361"/>
      <c r="F99" s="361"/>
      <c r="G99" s="809"/>
      <c r="H99" s="810"/>
      <c r="P99"/>
      <c r="Q99"/>
      <c r="R99"/>
      <c r="S99"/>
      <c r="U99" s="533" t="s">
        <v>118</v>
      </c>
      <c r="V99" s="484"/>
      <c r="W99" s="534" t="str">
        <f>IF(COUNTBLANK(W91:W93)+COUNTBLANK(W97:W98)=5,"",SUM(W91:W93,W97:W98))</f>
        <v/>
      </c>
      <c r="X99" s="535" t="str">
        <f>IF(W99="","",SUM(SUMPRODUCT(W91:W93,X91:X93),SUMPRODUCT(W97:W98,X97:X98))/W99)</f>
        <v/>
      </c>
      <c r="Y99" s="484"/>
      <c r="Z99" s="536" t="str">
        <f>IF(W99="","",SUM(Z91:Z93,Z97:Z98))</f>
        <v/>
      </c>
      <c r="AA99" s="484"/>
      <c r="AB99" s="537" t="str">
        <f>IF(W99="","",SUM(AB91:AB93,AB97:AB98))</f>
        <v/>
      </c>
    </row>
    <row r="100" spans="2:38" ht="19.350000000000001" customHeight="1">
      <c r="C100" s="529" t="s">
        <v>138</v>
      </c>
      <c r="D100" s="529"/>
      <c r="E100" s="361"/>
      <c r="F100" s="361"/>
      <c r="G100" s="809"/>
      <c r="H100" s="810"/>
      <c r="P100"/>
      <c r="Q100"/>
      <c r="R100"/>
      <c r="S100"/>
      <c r="U100" s="263"/>
      <c r="V100" s="263"/>
      <c r="W100" s="263"/>
      <c r="X100" s="263"/>
      <c r="Y100" s="303"/>
      <c r="Z100" s="263"/>
      <c r="AA100" s="263"/>
      <c r="AB100" s="263"/>
      <c r="AH100" s="268"/>
    </row>
    <row r="101" spans="2:38" ht="19.350000000000001" customHeight="1">
      <c r="C101" s="529" t="s">
        <v>5194</v>
      </c>
      <c r="D101" s="529"/>
      <c r="E101" s="361"/>
      <c r="F101" s="361"/>
      <c r="G101" s="809"/>
      <c r="H101" s="810"/>
      <c r="P101"/>
      <c r="Q101"/>
      <c r="R101"/>
      <c r="S101"/>
      <c r="U101" s="719"/>
      <c r="V101" s="538"/>
      <c r="W101" s="715" t="s">
        <v>3109</v>
      </c>
      <c r="X101" s="715" t="s">
        <v>3108</v>
      </c>
      <c r="Y101" s="715" t="s">
        <v>5392</v>
      </c>
      <c r="Z101" s="715" t="s">
        <v>5394</v>
      </c>
      <c r="AA101" s="263"/>
      <c r="AB101" s="263"/>
      <c r="AH101" s="268"/>
    </row>
    <row r="102" spans="2:38" ht="19.350000000000001" customHeight="1" thickBot="1">
      <c r="C102" s="539" t="s">
        <v>5195</v>
      </c>
      <c r="D102" s="539"/>
      <c r="E102" s="429"/>
      <c r="F102" s="429"/>
      <c r="G102" s="807"/>
      <c r="H102" s="808"/>
      <c r="P102"/>
      <c r="Q102"/>
      <c r="R102"/>
      <c r="S102"/>
      <c r="U102" s="721"/>
      <c r="V102" s="540"/>
      <c r="W102" s="716"/>
      <c r="X102" s="716"/>
      <c r="Y102" s="716"/>
      <c r="Z102" s="716"/>
      <c r="AA102" s="263"/>
      <c r="AB102" s="263"/>
      <c r="AH102" s="268"/>
    </row>
    <row r="103" spans="2:38" ht="19.350000000000001" customHeight="1" thickTop="1" thickBot="1">
      <c r="C103" s="691" t="s">
        <v>140</v>
      </c>
      <c r="D103" s="692"/>
      <c r="E103" s="692"/>
      <c r="F103" s="693"/>
      <c r="G103" s="805" t="str">
        <f>IF(COUNTBLANK(G96:H102)=14,"",SUM(G96:H102))</f>
        <v/>
      </c>
      <c r="H103" s="806"/>
      <c r="P103"/>
      <c r="Q103"/>
      <c r="R103"/>
      <c r="S103"/>
      <c r="U103" s="717" t="s">
        <v>76</v>
      </c>
      <c r="V103" s="718"/>
      <c r="W103" s="223"/>
      <c r="X103" s="222"/>
      <c r="Y103" s="221"/>
      <c r="Z103" s="455" t="str">
        <f>IF(W103="","",W103*Y103)</f>
        <v/>
      </c>
      <c r="AA103" s="263"/>
      <c r="AB103" s="263"/>
      <c r="AH103" s="268"/>
    </row>
    <row r="104" spans="2:38" ht="19.350000000000001" customHeight="1">
      <c r="C104" s="273"/>
      <c r="D104" s="273"/>
      <c r="E104" s="273"/>
      <c r="F104" s="273"/>
      <c r="G104" s="541"/>
      <c r="H104" s="541"/>
      <c r="P104"/>
      <c r="Q104"/>
      <c r="R104"/>
      <c r="S104"/>
      <c r="U104" s="494"/>
      <c r="V104" s="494"/>
      <c r="W104" s="494"/>
      <c r="X104" s="494"/>
      <c r="Y104" s="494"/>
      <c r="Z104" s="494"/>
      <c r="AA104" s="494"/>
      <c r="AB104" s="263"/>
      <c r="AH104" s="268"/>
    </row>
    <row r="105" spans="2:38" s="268" customFormat="1" ht="19.350000000000001" customHeight="1">
      <c r="B105" s="263"/>
      <c r="P105"/>
      <c r="Q105"/>
      <c r="R105"/>
      <c r="S105"/>
      <c r="U105" s="719" t="s">
        <v>5052</v>
      </c>
      <c r="V105" s="720"/>
      <c r="W105" s="715" t="s">
        <v>5053</v>
      </c>
      <c r="X105" s="715" t="s">
        <v>3108</v>
      </c>
      <c r="Y105" s="263"/>
      <c r="Z105" s="303"/>
      <c r="AA105" s="263"/>
      <c r="AB105" s="263"/>
      <c r="AI105" s="8"/>
      <c r="AJ105" s="8"/>
      <c r="AK105" s="8"/>
      <c r="AL105" s="8"/>
    </row>
    <row r="106" spans="2:38" s="268" customFormat="1" ht="19.350000000000001" customHeight="1" thickBot="1">
      <c r="B106" s="263"/>
      <c r="C106" s="272" t="s">
        <v>141</v>
      </c>
      <c r="D106" s="272"/>
      <c r="P106"/>
      <c r="Q106"/>
      <c r="R106"/>
      <c r="S106"/>
      <c r="U106" s="721"/>
      <c r="V106" s="722"/>
      <c r="W106" s="716"/>
      <c r="X106" s="716"/>
      <c r="Y106" s="263"/>
      <c r="Z106" s="263"/>
      <c r="AA106" s="263"/>
      <c r="AB106" s="263"/>
      <c r="AI106" s="8"/>
      <c r="AJ106" s="8"/>
      <c r="AK106" s="8"/>
      <c r="AL106" s="8"/>
    </row>
    <row r="107" spans="2:38" s="268" customFormat="1" ht="19.350000000000001" customHeight="1">
      <c r="B107" s="263"/>
      <c r="C107" s="700" t="s">
        <v>5308</v>
      </c>
      <c r="D107" s="701"/>
      <c r="E107" s="701"/>
      <c r="F107" s="799"/>
      <c r="G107" s="801" t="s">
        <v>5184</v>
      </c>
      <c r="H107" s="802"/>
      <c r="P107"/>
      <c r="Q107"/>
      <c r="R107"/>
      <c r="S107"/>
      <c r="U107" s="542" t="s">
        <v>5054</v>
      </c>
      <c r="V107" s="543"/>
      <c r="W107" s="223"/>
      <c r="X107" s="544">
        <v>3.6</v>
      </c>
      <c r="Y107" s="447"/>
      <c r="Z107" s="263"/>
      <c r="AA107" s="263"/>
      <c r="AB107" s="263"/>
      <c r="AI107" s="8"/>
      <c r="AJ107" s="8"/>
      <c r="AK107" s="8"/>
      <c r="AL107" s="8"/>
    </row>
    <row r="108" spans="2:38" s="268" customFormat="1" ht="19.350000000000001" customHeight="1" thickBot="1">
      <c r="B108" s="263"/>
      <c r="C108" s="703"/>
      <c r="D108" s="704"/>
      <c r="E108" s="704"/>
      <c r="F108" s="800"/>
      <c r="G108" s="803"/>
      <c r="H108" s="804"/>
      <c r="P108"/>
      <c r="Q108"/>
      <c r="R108"/>
      <c r="S108"/>
      <c r="U108" s="542" t="s">
        <v>5055</v>
      </c>
      <c r="V108" s="543"/>
      <c r="W108" s="223"/>
      <c r="X108" s="544">
        <v>3.6</v>
      </c>
      <c r="Y108" s="447"/>
      <c r="Z108" s="263"/>
      <c r="AA108" s="263"/>
      <c r="AB108" s="263"/>
      <c r="AI108" s="8"/>
      <c r="AJ108" s="8"/>
      <c r="AK108" s="8"/>
      <c r="AL108" s="8"/>
    </row>
    <row r="109" spans="2:38" s="268" customFormat="1" ht="19.350000000000001" customHeight="1">
      <c r="B109" s="263"/>
      <c r="C109" s="819"/>
      <c r="D109" s="820"/>
      <c r="E109" s="820"/>
      <c r="F109" s="821"/>
      <c r="G109" s="811"/>
      <c r="H109" s="812"/>
      <c r="P109"/>
      <c r="Q109"/>
      <c r="R109"/>
      <c r="S109"/>
      <c r="U109" s="542" t="s">
        <v>5056</v>
      </c>
      <c r="V109" s="543"/>
      <c r="W109" s="223"/>
      <c r="X109" s="544">
        <v>3.6</v>
      </c>
      <c r="Y109" s="447"/>
      <c r="Z109" s="263"/>
      <c r="AA109" s="263"/>
      <c r="AB109" s="263"/>
      <c r="AI109" s="8"/>
      <c r="AJ109" s="8"/>
      <c r="AK109" s="8"/>
      <c r="AL109" s="8"/>
    </row>
    <row r="110" spans="2:38" s="268" customFormat="1" ht="19.350000000000001" customHeight="1" thickBot="1">
      <c r="B110" s="263"/>
      <c r="C110" s="816"/>
      <c r="D110" s="817"/>
      <c r="E110" s="817"/>
      <c r="F110" s="818"/>
      <c r="G110" s="809"/>
      <c r="H110" s="810"/>
      <c r="P110"/>
      <c r="Q110"/>
      <c r="R110"/>
      <c r="S110"/>
      <c r="U110" s="542" t="s">
        <v>5057</v>
      </c>
      <c r="V110" s="543"/>
      <c r="W110" s="223"/>
      <c r="X110" s="544">
        <v>3.6</v>
      </c>
      <c r="Y110" s="263"/>
      <c r="Z110" s="263"/>
      <c r="AA110" s="263"/>
      <c r="AB110" s="263"/>
      <c r="AI110" s="8"/>
      <c r="AJ110" s="8"/>
      <c r="AK110" s="8"/>
      <c r="AL110" s="8"/>
    </row>
    <row r="111" spans="2:38" s="268" customFormat="1" ht="19.350000000000001" customHeight="1" thickTop="1">
      <c r="B111" s="263"/>
      <c r="C111" s="816"/>
      <c r="D111" s="817"/>
      <c r="E111" s="817"/>
      <c r="F111" s="818"/>
      <c r="G111" s="809"/>
      <c r="H111" s="810"/>
      <c r="P111"/>
      <c r="Q111"/>
      <c r="R111"/>
      <c r="S111"/>
      <c r="U111" s="545" t="s">
        <v>118</v>
      </c>
      <c r="V111" s="546"/>
      <c r="W111" s="482">
        <f>SUM(W107:W110)</f>
        <v>0</v>
      </c>
      <c r="X111" s="484"/>
      <c r="Y111" s="303"/>
      <c r="Z111" s="263"/>
      <c r="AA111" s="263"/>
      <c r="AB111" s="263"/>
      <c r="AH111" s="8"/>
      <c r="AI111" s="8"/>
      <c r="AJ111" s="8"/>
      <c r="AK111" s="8"/>
    </row>
    <row r="112" spans="2:38" s="268" customFormat="1" ht="19.350000000000001" customHeight="1">
      <c r="B112" s="263"/>
      <c r="C112" s="816"/>
      <c r="D112" s="817"/>
      <c r="E112" s="817"/>
      <c r="F112" s="818"/>
      <c r="G112" s="809"/>
      <c r="H112" s="810"/>
      <c r="P112"/>
      <c r="Q112"/>
      <c r="R112"/>
      <c r="S112"/>
      <c r="U112" s="263"/>
      <c r="V112" s="263"/>
      <c r="W112" s="263"/>
      <c r="X112" s="263"/>
      <c r="Y112" s="263"/>
      <c r="Z112" s="263"/>
      <c r="AA112" s="263"/>
      <c r="AB112" s="263"/>
      <c r="AH112" s="8"/>
      <c r="AI112" s="8"/>
      <c r="AJ112" s="8"/>
      <c r="AK112" s="8"/>
    </row>
    <row r="113" spans="2:38" s="268" customFormat="1" ht="19.350000000000001" customHeight="1">
      <c r="B113" s="263"/>
      <c r="C113" s="816"/>
      <c r="D113" s="817"/>
      <c r="E113" s="817"/>
      <c r="F113" s="818"/>
      <c r="G113" s="809"/>
      <c r="H113" s="810"/>
      <c r="P113"/>
      <c r="Q113"/>
      <c r="R113"/>
      <c r="S113"/>
      <c r="U113" s="263"/>
      <c r="V113" s="263"/>
      <c r="W113" s="263"/>
      <c r="X113" s="263"/>
      <c r="Y113" s="263"/>
      <c r="Z113" s="263"/>
      <c r="AA113" s="263"/>
      <c r="AB113" s="263"/>
      <c r="AH113" s="8"/>
      <c r="AI113" s="8"/>
      <c r="AJ113" s="8"/>
      <c r="AK113" s="8"/>
    </row>
    <row r="114" spans="2:38" s="268" customFormat="1" ht="19.350000000000001" customHeight="1">
      <c r="B114" s="263"/>
      <c r="C114" s="816"/>
      <c r="D114" s="817"/>
      <c r="E114" s="817"/>
      <c r="F114" s="818"/>
      <c r="G114" s="809"/>
      <c r="H114" s="810"/>
      <c r="P114"/>
      <c r="Q114"/>
      <c r="R114"/>
      <c r="S114"/>
      <c r="U114" s="263"/>
      <c r="V114" s="263"/>
      <c r="W114" s="263"/>
      <c r="X114" s="263"/>
      <c r="Y114" s="263"/>
      <c r="Z114" s="263"/>
      <c r="AA114" s="263"/>
      <c r="AB114" s="263"/>
      <c r="AH114" s="8"/>
      <c r="AI114" s="8"/>
      <c r="AJ114" s="8"/>
      <c r="AK114" s="8"/>
    </row>
    <row r="115" spans="2:38" s="268" customFormat="1" ht="19.350000000000001" customHeight="1" thickBot="1">
      <c r="B115" s="263"/>
      <c r="C115" s="813"/>
      <c r="D115" s="814"/>
      <c r="E115" s="814"/>
      <c r="F115" s="815"/>
      <c r="G115" s="807"/>
      <c r="H115" s="808"/>
      <c r="P115"/>
      <c r="Q115"/>
      <c r="R115"/>
      <c r="S115"/>
      <c r="U115" s="263"/>
      <c r="V115" s="263"/>
      <c r="W115" s="263"/>
      <c r="X115" s="263"/>
      <c r="Y115" s="263"/>
      <c r="Z115" s="263"/>
      <c r="AA115" s="263"/>
      <c r="AB115" s="263"/>
      <c r="AH115" s="8"/>
      <c r="AI115" s="8"/>
      <c r="AJ115" s="8"/>
      <c r="AK115" s="8"/>
    </row>
    <row r="116" spans="2:38" s="268" customFormat="1" ht="18" customHeight="1" thickTop="1" thickBot="1">
      <c r="B116" s="263"/>
      <c r="C116" s="691" t="s">
        <v>140</v>
      </c>
      <c r="D116" s="692"/>
      <c r="E116" s="692"/>
      <c r="F116" s="693"/>
      <c r="G116" s="689" t="str">
        <f>IF(COUNTBLANK(G109:H115)=14,"",SUM(G109:H115))</f>
        <v/>
      </c>
      <c r="H116" s="690"/>
      <c r="P116"/>
      <c r="Q116"/>
      <c r="R116"/>
      <c r="S116"/>
      <c r="U116" s="263"/>
      <c r="V116" s="263"/>
      <c r="W116" s="263"/>
      <c r="X116" s="263"/>
      <c r="Y116" s="263"/>
      <c r="Z116" s="263"/>
      <c r="AA116" s="263"/>
      <c r="AB116" s="263"/>
      <c r="AH116" s="8"/>
      <c r="AI116" s="8"/>
      <c r="AJ116" s="8"/>
      <c r="AK116" s="8"/>
    </row>
    <row r="117" spans="2:38" s="268" customFormat="1" ht="18.600000000000001" customHeight="1">
      <c r="B117" s="263"/>
      <c r="O117" s="8"/>
      <c r="P117"/>
      <c r="Q117"/>
      <c r="R117"/>
      <c r="S117"/>
      <c r="U117" s="263"/>
      <c r="V117" s="263"/>
      <c r="W117" s="263"/>
      <c r="X117" s="263"/>
      <c r="Y117" s="263"/>
      <c r="Z117" s="263"/>
      <c r="AA117" s="263"/>
      <c r="AB117" s="263"/>
      <c r="AH117" s="8"/>
      <c r="AI117" s="8"/>
      <c r="AJ117" s="8"/>
      <c r="AK117" s="8"/>
    </row>
    <row r="118" spans="2:38" s="268" customFormat="1" ht="18.600000000000001" customHeight="1" thickBot="1">
      <c r="B118" s="263"/>
      <c r="C118" s="272" t="s">
        <v>143</v>
      </c>
      <c r="D118" s="272"/>
      <c r="O118" s="8"/>
      <c r="P118"/>
      <c r="Q118"/>
      <c r="R118"/>
      <c r="S118"/>
      <c r="AH118" s="8"/>
      <c r="AI118" s="8"/>
      <c r="AJ118" s="8"/>
      <c r="AK118" s="8"/>
    </row>
    <row r="119" spans="2:38" s="268" customFormat="1" ht="18" customHeight="1">
      <c r="B119" s="263"/>
      <c r="C119" s="700" t="s">
        <v>142</v>
      </c>
      <c r="D119" s="701"/>
      <c r="E119" s="701"/>
      <c r="F119" s="701"/>
      <c r="G119" s="701"/>
      <c r="H119" s="702"/>
      <c r="O119" s="8"/>
      <c r="P119"/>
      <c r="Q119"/>
      <c r="R119"/>
      <c r="S119"/>
      <c r="T119" s="8"/>
      <c r="AH119" s="8"/>
      <c r="AI119" s="8"/>
      <c r="AJ119" s="8"/>
      <c r="AK119" s="8"/>
    </row>
    <row r="120" spans="2:38" s="268" customFormat="1" ht="18" customHeight="1" thickBot="1">
      <c r="B120" s="263"/>
      <c r="C120" s="703"/>
      <c r="D120" s="704"/>
      <c r="E120" s="704"/>
      <c r="F120" s="704"/>
      <c r="G120" s="704"/>
      <c r="H120" s="705"/>
      <c r="P120"/>
      <c r="Q120"/>
      <c r="R120"/>
      <c r="S120"/>
      <c r="T120" s="8"/>
      <c r="Z120" s="377"/>
      <c r="AH120" s="8"/>
      <c r="AI120" s="8"/>
      <c r="AJ120" s="8"/>
      <c r="AK120" s="8"/>
    </row>
    <row r="121" spans="2:38" s="268" customFormat="1" ht="18.600000000000001" customHeight="1">
      <c r="B121" s="263"/>
      <c r="C121" s="697" t="s">
        <v>77</v>
      </c>
      <c r="D121" s="698"/>
      <c r="E121" s="698"/>
      <c r="F121" s="699"/>
      <c r="G121" s="958" t="str">
        <f>IF('事業所排出量内訳 (基準年度)'!G121="","",'事業所排出量内訳 (基準年度)'!G121)</f>
        <v/>
      </c>
      <c r="H121" s="959"/>
      <c r="P121"/>
      <c r="Q121"/>
      <c r="R121"/>
      <c r="S121"/>
      <c r="T121" s="8"/>
      <c r="Z121" s="377"/>
      <c r="AH121" s="8"/>
      <c r="AI121" s="8"/>
      <c r="AJ121" s="8"/>
      <c r="AK121" s="8"/>
    </row>
    <row r="122" spans="2:38" s="268" customFormat="1">
      <c r="B122" s="263"/>
      <c r="C122" s="694" t="s">
        <v>161</v>
      </c>
      <c r="D122" s="695"/>
      <c r="E122" s="695"/>
      <c r="F122" s="696"/>
      <c r="G122" s="960" t="str">
        <f>IF('事業所排出量内訳 (基準年度)'!G122="","",'事業所排出量内訳 (基準年度)'!G122)</f>
        <v/>
      </c>
      <c r="H122" s="961"/>
      <c r="P122"/>
      <c r="Q122"/>
      <c r="R122"/>
      <c r="S122"/>
      <c r="Z122" s="377"/>
      <c r="AH122" s="8"/>
      <c r="AI122" s="8"/>
      <c r="AJ122" s="8"/>
      <c r="AK122" s="8"/>
    </row>
    <row r="123" spans="2:38" ht="18" thickBot="1">
      <c r="C123" s="712" t="s">
        <v>160</v>
      </c>
      <c r="D123" s="713"/>
      <c r="E123" s="713"/>
      <c r="F123" s="714"/>
      <c r="G123" s="706"/>
      <c r="H123" s="707"/>
      <c r="I123" s="270"/>
      <c r="P123"/>
      <c r="Q123"/>
      <c r="R123"/>
      <c r="S123"/>
      <c r="Z123" s="8"/>
      <c r="AL123" s="268"/>
    </row>
    <row r="124" spans="2:38" s="268" customFormat="1">
      <c r="B124" s="263"/>
      <c r="H124" s="270"/>
      <c r="P124"/>
      <c r="Q124"/>
      <c r="R124"/>
      <c r="S124"/>
      <c r="Z124" s="8"/>
      <c r="AH124" s="8"/>
      <c r="AI124" s="8"/>
      <c r="AJ124" s="8"/>
      <c r="AK124" s="8"/>
    </row>
    <row r="125" spans="2:38">
      <c r="Z125" s="8"/>
    </row>
    <row r="126" spans="2:38">
      <c r="AL126" s="268"/>
    </row>
    <row r="127" spans="2:38">
      <c r="U127" s="8"/>
      <c r="V127" s="8"/>
      <c r="W127" s="8"/>
    </row>
  </sheetData>
  <sheetProtection algorithmName="SHA-512" hashValue="boFxxHjTOcaaOv0OYEoD+Ytff2qmyOP3efAfBLPe6i27C0f25NXoY1wxfQbxDC3OZih/PkhNMYGYPCm5FWvjfA==" saltValue="+I0N6PPqTV+DOkECKnPjmg==" spinCount="100000" sheet="1" objects="1" scenarios="1" selectLockedCells="1"/>
  <mergeCells count="118">
    <mergeCell ref="U8:U9"/>
    <mergeCell ref="V8:W9"/>
    <mergeCell ref="X9:Y9"/>
    <mergeCell ref="X10:Y10"/>
    <mergeCell ref="U15:U16"/>
    <mergeCell ref="V15:W16"/>
    <mergeCell ref="X16:Y16"/>
    <mergeCell ref="M1:N1"/>
    <mergeCell ref="C4:H5"/>
    <mergeCell ref="I4:I5"/>
    <mergeCell ref="J4:J5"/>
    <mergeCell ref="K4:K5"/>
    <mergeCell ref="L4:L5"/>
    <mergeCell ref="M4:M5"/>
    <mergeCell ref="N4:N5"/>
    <mergeCell ref="C36:H36"/>
    <mergeCell ref="C37:H38"/>
    <mergeCell ref="I37:I38"/>
    <mergeCell ref="J37:J38"/>
    <mergeCell ref="K37:K38"/>
    <mergeCell ref="L37:L38"/>
    <mergeCell ref="D17:E18"/>
    <mergeCell ref="D19:E20"/>
    <mergeCell ref="V20:W20"/>
    <mergeCell ref="M37:M38"/>
    <mergeCell ref="N37:N38"/>
    <mergeCell ref="F24:F25"/>
    <mergeCell ref="W31:X31"/>
    <mergeCell ref="X20:Y20"/>
    <mergeCell ref="D49:E50"/>
    <mergeCell ref="C57:H57"/>
    <mergeCell ref="C58:H59"/>
    <mergeCell ref="I58:I59"/>
    <mergeCell ref="J58:J59"/>
    <mergeCell ref="K58:K59"/>
    <mergeCell ref="L58:L59"/>
    <mergeCell ref="M58:M59"/>
    <mergeCell ref="N58:N59"/>
    <mergeCell ref="D60:D69"/>
    <mergeCell ref="D72:D76"/>
    <mergeCell ref="C78:H78"/>
    <mergeCell ref="C79:H80"/>
    <mergeCell ref="I79:I80"/>
    <mergeCell ref="J79:J80"/>
    <mergeCell ref="K79:K80"/>
    <mergeCell ref="L79:L80"/>
    <mergeCell ref="M79:M80"/>
    <mergeCell ref="Z79:Z80"/>
    <mergeCell ref="AA79:AA80"/>
    <mergeCell ref="F89:H89"/>
    <mergeCell ref="U89:U90"/>
    <mergeCell ref="V89:V90"/>
    <mergeCell ref="W89:W90"/>
    <mergeCell ref="X89:X90"/>
    <mergeCell ref="Y89:Y90"/>
    <mergeCell ref="Z89:Z90"/>
    <mergeCell ref="AA89:AA90"/>
    <mergeCell ref="N79:N80"/>
    <mergeCell ref="U79:U80"/>
    <mergeCell ref="V79:V80"/>
    <mergeCell ref="W79:W80"/>
    <mergeCell ref="X79:X80"/>
    <mergeCell ref="Y79:Y80"/>
    <mergeCell ref="AA95:AA96"/>
    <mergeCell ref="AB95:AB96"/>
    <mergeCell ref="G96:H96"/>
    <mergeCell ref="G97:H97"/>
    <mergeCell ref="G98:H98"/>
    <mergeCell ref="G99:H99"/>
    <mergeCell ref="AB89:AB90"/>
    <mergeCell ref="C90:H90"/>
    <mergeCell ref="C94:F95"/>
    <mergeCell ref="G94:H95"/>
    <mergeCell ref="K94:K95"/>
    <mergeCell ref="V95:V96"/>
    <mergeCell ref="W95:W96"/>
    <mergeCell ref="X95:X96"/>
    <mergeCell ref="Y95:Y96"/>
    <mergeCell ref="Z95:Z96"/>
    <mergeCell ref="Z101:Z102"/>
    <mergeCell ref="G102:H102"/>
    <mergeCell ref="C103:F103"/>
    <mergeCell ref="G103:H103"/>
    <mergeCell ref="U103:V103"/>
    <mergeCell ref="U105:V106"/>
    <mergeCell ref="W105:W106"/>
    <mergeCell ref="X105:X106"/>
    <mergeCell ref="G100:H100"/>
    <mergeCell ref="G101:H101"/>
    <mergeCell ref="U101:U102"/>
    <mergeCell ref="W101:W102"/>
    <mergeCell ref="X101:X102"/>
    <mergeCell ref="Y101:Y102"/>
    <mergeCell ref="C111:F111"/>
    <mergeCell ref="G111:H111"/>
    <mergeCell ref="C112:F112"/>
    <mergeCell ref="G112:H112"/>
    <mergeCell ref="C113:F113"/>
    <mergeCell ref="G113:H113"/>
    <mergeCell ref="C107:F108"/>
    <mergeCell ref="G107:H108"/>
    <mergeCell ref="C109:F109"/>
    <mergeCell ref="G109:H109"/>
    <mergeCell ref="C110:F110"/>
    <mergeCell ref="G110:H110"/>
    <mergeCell ref="C119:H120"/>
    <mergeCell ref="C121:F121"/>
    <mergeCell ref="G121:H121"/>
    <mergeCell ref="C122:F122"/>
    <mergeCell ref="G122:H122"/>
    <mergeCell ref="C123:F123"/>
    <mergeCell ref="G123:H123"/>
    <mergeCell ref="C114:F114"/>
    <mergeCell ref="G114:H114"/>
    <mergeCell ref="C115:F115"/>
    <mergeCell ref="G115:H115"/>
    <mergeCell ref="C116:F116"/>
    <mergeCell ref="G116:H116"/>
  </mergeCells>
  <phoneticPr fontId="1"/>
  <conditionalFormatting sqref="U33">
    <cfRule type="expression" priority="1">
      <formula>T1048575=2022</formula>
    </cfRule>
  </conditionalFormatting>
  <conditionalFormatting sqref="U36">
    <cfRule type="expression" priority="2">
      <formula>T1=2022</formula>
    </cfRule>
  </conditionalFormatting>
  <conditionalFormatting sqref="AA97:AA98">
    <cfRule type="expression" dxfId="10" priority="3">
      <formula>$T$1=2022</formula>
    </cfRule>
  </conditionalFormatting>
  <dataValidations count="2">
    <dataValidation imeMode="hiragana" allowBlank="1" showInputMessage="1" showErrorMessage="1" sqref="C109:C115 U34 U62:U64 U68:U69 V95 V97:V98 U72:U76 U81:U85 U107:V110 U37 U56 G121:G122" xr:uid="{F0F5EAD0-3C9F-4FC6-8D20-7EBD23C5E24E}"/>
    <dataValidation imeMode="halfAlpha" allowBlank="1" showInputMessage="1" showErrorMessage="1" sqref="V68:W69 G123 W97:X98 I60:J69 W107:X110 I72:J76 W103:Y103 G109:G115 V56:W56 I6:J34 V72:V76 G96:G102 V62:W64 V81:X85 W91:X94" xr:uid="{D3EF57F4-7802-429C-B603-BEB49D2260EB}"/>
  </dataValidations>
  <printOptions horizontalCentered="1"/>
  <pageMargins left="0.70866141732283472" right="0.55118110236220474" top="0.74803149606299213" bottom="0.74803149606299213" header="0.31496062992125984" footer="0.31496062992125984"/>
  <pageSetup paperSize="8" scale="47" orientation="portrait" verticalDpi="0" r:id="rId1"/>
  <headerFooter>
    <oddHeader>&amp;L様式第２号</oddHeader>
    <oddFooter>&amp;R&amp;8（事業所等用）</oddFooter>
  </headerFooter>
  <rowBreaks count="2" manualBreakCount="2">
    <brk id="35" min="2" max="33" man="1"/>
    <brk id="75" min="2" max="3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00EB-FC42-492A-B2E9-45D0845E6C33}">
  <sheetPr codeName="Sheet6">
    <tabColor theme="6" tint="0.59999389629810485"/>
    <pageSetUpPr fitToPage="1"/>
  </sheetPr>
  <dimension ref="A1:AL127"/>
  <sheetViews>
    <sheetView showGridLines="0" view="pageBreakPreview" topLeftCell="C1" zoomScale="70" zoomScaleNormal="85" zoomScaleSheetLayoutView="70" workbookViewId="0">
      <selection activeCell="I6" sqref="I6"/>
    </sheetView>
  </sheetViews>
  <sheetFormatPr defaultColWidth="8.88671875" defaultRowHeight="17.399999999999999"/>
  <cols>
    <col min="1" max="1" width="4.88671875" style="268" customWidth="1"/>
    <col min="2" max="2" width="4.88671875" style="263" customWidth="1"/>
    <col min="3" max="3" width="4.44140625" style="268" customWidth="1"/>
    <col min="4" max="4" width="5.88671875" style="268" customWidth="1"/>
    <col min="5" max="5" width="9.44140625" style="268" customWidth="1"/>
    <col min="6" max="6" width="13.6640625" style="268" customWidth="1"/>
    <col min="7" max="7" width="10.44140625" style="268" customWidth="1"/>
    <col min="8" max="8" width="10.6640625" style="268" customWidth="1"/>
    <col min="9" max="13" width="9.109375" style="268" customWidth="1"/>
    <col min="14" max="14" width="10.6640625" style="268" customWidth="1"/>
    <col min="15" max="15" width="8.109375" style="268" hidden="1" customWidth="1"/>
    <col min="16" max="17" width="21.109375" style="268" hidden="1" customWidth="1"/>
    <col min="18" max="18" width="7.33203125" style="268" hidden="1" customWidth="1"/>
    <col min="19" max="19" width="9.44140625" style="268" hidden="1" customWidth="1"/>
    <col min="20" max="20" width="14.33203125" style="268" customWidth="1"/>
    <col min="21" max="21" width="34.33203125" style="268" bestFit="1" customWidth="1"/>
    <col min="22" max="27" width="13.44140625" style="268" customWidth="1"/>
    <col min="28" max="28" width="12.33203125" style="268" customWidth="1"/>
    <col min="29" max="31" width="9.88671875" style="268" customWidth="1"/>
    <col min="32" max="33" width="15.44140625" style="268" customWidth="1"/>
    <col min="34" max="34" width="8.33203125" style="8" customWidth="1"/>
    <col min="35" max="35" width="15.109375" style="8" customWidth="1"/>
    <col min="36" max="36" width="13.6640625" style="8" customWidth="1"/>
    <col min="37" max="37" width="14.6640625" style="8" customWidth="1"/>
    <col min="38" max="39" width="9.88671875" style="8" customWidth="1"/>
    <col min="40" max="16384" width="8.88671875" style="8"/>
  </cols>
  <sheetData>
    <row r="1" spans="1:37" ht="26.4">
      <c r="A1" s="262"/>
      <c r="C1" s="264" t="s">
        <v>139</v>
      </c>
      <c r="D1" s="264"/>
      <c r="E1" s="264"/>
      <c r="F1" s="264"/>
      <c r="G1" s="264"/>
      <c r="H1" s="265"/>
      <c r="I1" s="266"/>
      <c r="J1" s="266"/>
      <c r="K1" s="266"/>
      <c r="L1" s="267" t="s">
        <v>4159</v>
      </c>
      <c r="M1" s="793" t="str">
        <f>"（"&amp;はじめに!E4+2&amp;"年度）"</f>
        <v>（2年度）</v>
      </c>
      <c r="N1" s="793"/>
      <c r="T1" s="269">
        <f>はじめに!E4+2</f>
        <v>2</v>
      </c>
      <c r="U1" s="262"/>
      <c r="V1" s="262"/>
      <c r="W1" s="262"/>
      <c r="X1" s="262"/>
      <c r="Y1" s="262"/>
      <c r="Z1" s="262"/>
      <c r="AA1" s="262"/>
      <c r="AB1" s="262"/>
      <c r="AC1" s="262"/>
      <c r="AD1" s="262"/>
      <c r="AE1" s="262"/>
      <c r="AF1" s="262"/>
      <c r="AG1" s="262"/>
    </row>
    <row r="2" spans="1:37">
      <c r="G2" s="270"/>
      <c r="H2" s="270"/>
      <c r="I2" s="270"/>
      <c r="J2" s="270"/>
      <c r="K2" s="270"/>
      <c r="L2" s="270"/>
      <c r="M2" s="270"/>
      <c r="N2" s="270"/>
      <c r="T2" s="271"/>
    </row>
    <row r="3" spans="1:37" ht="22.2" thickBot="1">
      <c r="C3" s="272" t="s">
        <v>5254</v>
      </c>
      <c r="D3" s="272"/>
      <c r="E3" s="270"/>
      <c r="I3" s="270"/>
      <c r="J3" s="270"/>
      <c r="K3" s="270"/>
      <c r="L3" s="270"/>
      <c r="M3" s="270"/>
      <c r="N3" s="270"/>
      <c r="P3" s="272"/>
      <c r="Q3" s="272"/>
      <c r="R3" s="272"/>
      <c r="S3" s="272"/>
      <c r="T3" s="273"/>
      <c r="U3" s="272" t="s">
        <v>5254</v>
      </c>
      <c r="X3" s="274"/>
      <c r="Y3" s="274"/>
    </row>
    <row r="4" spans="1:37" ht="19.350000000000001" customHeight="1" thickBot="1">
      <c r="C4" s="762" t="s">
        <v>5257</v>
      </c>
      <c r="D4" s="763"/>
      <c r="E4" s="763"/>
      <c r="F4" s="763"/>
      <c r="G4" s="763"/>
      <c r="H4" s="764"/>
      <c r="I4" s="735" t="s">
        <v>127</v>
      </c>
      <c r="J4" s="737" t="s">
        <v>40</v>
      </c>
      <c r="K4" s="739" t="s">
        <v>41</v>
      </c>
      <c r="L4" s="741" t="s">
        <v>42</v>
      </c>
      <c r="M4" s="743" t="s">
        <v>5183</v>
      </c>
      <c r="N4" s="745" t="s">
        <v>5184</v>
      </c>
      <c r="O4" s="273"/>
      <c r="P4" s="272"/>
      <c r="Q4" s="272"/>
      <c r="R4" s="268">
        <f>IF(V4=0,0,1)</f>
        <v>0</v>
      </c>
      <c r="S4" s="272"/>
      <c r="T4" s="273"/>
      <c r="U4" s="275" t="s">
        <v>128</v>
      </c>
      <c r="V4" s="276">
        <f>SUM(M36,M57,M78,M90)</f>
        <v>0</v>
      </c>
      <c r="W4" s="277" t="s">
        <v>4186</v>
      </c>
    </row>
    <row r="5" spans="1:37" ht="19.350000000000001" customHeight="1">
      <c r="C5" s="765"/>
      <c r="D5" s="766"/>
      <c r="E5" s="766"/>
      <c r="F5" s="766"/>
      <c r="G5" s="766"/>
      <c r="H5" s="767"/>
      <c r="I5" s="736"/>
      <c r="J5" s="738"/>
      <c r="K5" s="740"/>
      <c r="L5" s="742"/>
      <c r="M5" s="744"/>
      <c r="N5" s="746"/>
      <c r="O5" s="273"/>
      <c r="P5" s="547" t="s">
        <v>5255</v>
      </c>
      <c r="Q5" s="547" t="s">
        <v>5256</v>
      </c>
      <c r="R5" s="547" t="s">
        <v>5059</v>
      </c>
      <c r="S5" s="547" t="s">
        <v>5209</v>
      </c>
      <c r="T5" s="273"/>
      <c r="U5" s="279" t="s">
        <v>129</v>
      </c>
      <c r="V5" s="280">
        <f>V4*0.0258</f>
        <v>0</v>
      </c>
      <c r="W5" s="281" t="s">
        <v>131</v>
      </c>
      <c r="X5" s="282"/>
    </row>
    <row r="6" spans="1:37" ht="19.350000000000001" customHeight="1" thickBot="1">
      <c r="C6" s="283"/>
      <c r="D6" s="77" t="s">
        <v>5258</v>
      </c>
      <c r="E6" s="10"/>
      <c r="F6" s="284"/>
      <c r="G6" s="284"/>
      <c r="H6" s="284"/>
      <c r="I6" s="11"/>
      <c r="J6" s="12"/>
      <c r="K6" s="285" t="str">
        <f t="shared" ref="K6:K33" si="0">IF(AND(I6="",J6=""),"",SUM(I6)-SUM(J6))</f>
        <v/>
      </c>
      <c r="L6" s="286" t="s">
        <v>5036</v>
      </c>
      <c r="M6" s="1072" t="str">
        <f t="shared" ref="M6:M33" si="1">IFERROR(IF(K6="","",$K6*R6),"----------")</f>
        <v/>
      </c>
      <c r="N6" s="287" t="str">
        <f t="shared" ref="N6:N33" si="2">IFERROR(IF(K6="","",$M6*S6*44/12),"----------")</f>
        <v/>
      </c>
      <c r="O6" s="288"/>
      <c r="P6" s="548" t="s">
        <v>120</v>
      </c>
      <c r="Q6" s="548" t="s">
        <v>120</v>
      </c>
      <c r="R6" s="548">
        <f t="shared" ref="R6:R34" si="3">IF($T$1=2022,VLOOKUP($P6,係数2022,7,0),VLOOKUP($Q6,係数2023,7,0))</f>
        <v>38.299999999999997</v>
      </c>
      <c r="S6" s="549">
        <f t="shared" ref="S6:S34" si="4">IF($T$1=2022,VLOOKUP($P6,係数2022,9,0),VLOOKUP($Q6,係数2023,9,0))</f>
        <v>1.9E-2</v>
      </c>
      <c r="T6" s="288"/>
      <c r="U6" s="291" t="s">
        <v>132</v>
      </c>
      <c r="V6" s="292">
        <f>ROUNDDOWN(SUM(N36,N57,N78,N90),0)</f>
        <v>0</v>
      </c>
      <c r="W6" s="293" t="s">
        <v>5185</v>
      </c>
    </row>
    <row r="7" spans="1:37" ht="19.350000000000001" customHeight="1">
      <c r="C7" s="294"/>
      <c r="D7" s="17" t="s">
        <v>5259</v>
      </c>
      <c r="E7" s="16"/>
      <c r="F7" s="295"/>
      <c r="G7" s="295"/>
      <c r="H7" s="296"/>
      <c r="I7" s="14"/>
      <c r="J7" s="15"/>
      <c r="K7" s="297" t="str">
        <f>IF(AND(I7="",J7=""),"",SUM(I7)-SUM(J7))</f>
        <v/>
      </c>
      <c r="L7" s="298" t="s">
        <v>5036</v>
      </c>
      <c r="M7" s="1073" t="str">
        <f t="shared" si="1"/>
        <v/>
      </c>
      <c r="N7" s="299" t="str">
        <f t="shared" si="2"/>
        <v/>
      </c>
      <c r="O7" s="288"/>
      <c r="P7" s="289" t="s">
        <v>121</v>
      </c>
      <c r="Q7" s="289" t="s">
        <v>121</v>
      </c>
      <c r="R7" s="289">
        <f t="shared" si="3"/>
        <v>34.799999999999997</v>
      </c>
      <c r="S7" s="290">
        <f t="shared" si="4"/>
        <v>1.83E-2</v>
      </c>
      <c r="T7" s="288"/>
      <c r="X7" s="263"/>
      <c r="Y7" s="263"/>
      <c r="Z7" s="263"/>
      <c r="AA7" s="263"/>
    </row>
    <row r="8" spans="1:37" ht="19.350000000000001" customHeight="1">
      <c r="C8" s="294"/>
      <c r="D8" s="17" t="s">
        <v>5210</v>
      </c>
      <c r="E8" s="16"/>
      <c r="F8" s="295"/>
      <c r="G8" s="295"/>
      <c r="H8" s="296"/>
      <c r="I8" s="14"/>
      <c r="J8" s="15"/>
      <c r="K8" s="297" t="str">
        <f t="shared" si="0"/>
        <v/>
      </c>
      <c r="L8" s="298" t="s">
        <v>5036</v>
      </c>
      <c r="M8" s="1073" t="str">
        <f t="shared" si="1"/>
        <v/>
      </c>
      <c r="N8" s="299" t="str">
        <f t="shared" si="2"/>
        <v/>
      </c>
      <c r="O8" s="288"/>
      <c r="P8" s="289" t="s">
        <v>5210</v>
      </c>
      <c r="Q8" s="289" t="s">
        <v>5210</v>
      </c>
      <c r="R8" s="289">
        <f t="shared" si="3"/>
        <v>33.4</v>
      </c>
      <c r="S8" s="290">
        <f t="shared" si="4"/>
        <v>1.8700000000000001E-2</v>
      </c>
      <c r="T8" s="288"/>
      <c r="U8" s="752" t="s">
        <v>5013</v>
      </c>
      <c r="V8" s="754" t="s">
        <v>5014</v>
      </c>
      <c r="W8" s="755"/>
      <c r="X8" s="300"/>
      <c r="Y8" s="301"/>
      <c r="Z8" s="302"/>
      <c r="AA8" s="303"/>
      <c r="AB8" s="8"/>
      <c r="AC8" s="8"/>
      <c r="AD8" s="8"/>
      <c r="AE8" s="8"/>
      <c r="AF8" s="8"/>
    </row>
    <row r="9" spans="1:37" ht="19.350000000000001" customHeight="1">
      <c r="C9" s="294"/>
      <c r="D9" s="17" t="s">
        <v>44</v>
      </c>
      <c r="E9" s="16"/>
      <c r="F9" s="295"/>
      <c r="G9" s="295"/>
      <c r="H9" s="296"/>
      <c r="I9" s="14"/>
      <c r="J9" s="15"/>
      <c r="K9" s="297" t="str">
        <f t="shared" si="0"/>
        <v/>
      </c>
      <c r="L9" s="298" t="s">
        <v>5036</v>
      </c>
      <c r="M9" s="1073" t="str">
        <f t="shared" si="1"/>
        <v/>
      </c>
      <c r="N9" s="299" t="str">
        <f t="shared" si="2"/>
        <v/>
      </c>
      <c r="O9" s="288"/>
      <c r="P9" s="289" t="s">
        <v>44</v>
      </c>
      <c r="Q9" s="289" t="s">
        <v>44</v>
      </c>
      <c r="R9" s="289">
        <f t="shared" si="3"/>
        <v>33.299999999999997</v>
      </c>
      <c r="S9" s="290">
        <f t="shared" si="4"/>
        <v>1.8599999999999998E-2</v>
      </c>
      <c r="T9" s="288"/>
      <c r="U9" s="753"/>
      <c r="V9" s="756"/>
      <c r="W9" s="757"/>
      <c r="X9" s="717" t="s">
        <v>5015</v>
      </c>
      <c r="Y9" s="718"/>
      <c r="Z9" s="305" t="s">
        <v>5016</v>
      </c>
      <c r="AA9" s="303"/>
      <c r="AB9" s="8"/>
      <c r="AC9" s="8"/>
      <c r="AD9" s="8"/>
      <c r="AE9" s="8"/>
      <c r="AF9" s="8"/>
      <c r="AG9" s="8"/>
    </row>
    <row r="10" spans="1:37" ht="19.350000000000001" customHeight="1">
      <c r="C10" s="294"/>
      <c r="D10" s="17" t="s">
        <v>5211</v>
      </c>
      <c r="E10" s="16"/>
      <c r="F10" s="295"/>
      <c r="G10" s="295"/>
      <c r="H10" s="296"/>
      <c r="I10" s="14"/>
      <c r="J10" s="15"/>
      <c r="K10" s="297" t="str">
        <f t="shared" si="0"/>
        <v/>
      </c>
      <c r="L10" s="298" t="s">
        <v>5036</v>
      </c>
      <c r="M10" s="1073" t="str">
        <f t="shared" si="1"/>
        <v/>
      </c>
      <c r="N10" s="299" t="str">
        <f t="shared" si="2"/>
        <v/>
      </c>
      <c r="O10" s="288"/>
      <c r="P10" s="289" t="s">
        <v>5211</v>
      </c>
      <c r="Q10" s="289" t="s">
        <v>5211</v>
      </c>
      <c r="R10" s="289">
        <f t="shared" si="3"/>
        <v>36.299999999999997</v>
      </c>
      <c r="S10" s="290">
        <f t="shared" si="4"/>
        <v>1.8599999999999998E-2</v>
      </c>
      <c r="T10" s="288"/>
      <c r="U10" s="306" t="s">
        <v>5017</v>
      </c>
      <c r="V10" s="307">
        <f>M36</f>
        <v>0</v>
      </c>
      <c r="W10" s="308" t="s">
        <v>4186</v>
      </c>
      <c r="X10" s="758"/>
      <c r="Y10" s="759"/>
      <c r="Z10" s="309"/>
      <c r="AA10" s="303"/>
      <c r="AB10" s="8"/>
      <c r="AC10" s="8"/>
      <c r="AD10" s="8"/>
      <c r="AE10" s="8"/>
      <c r="AF10" s="8"/>
      <c r="AG10" s="8"/>
      <c r="AH10" s="268"/>
    </row>
    <row r="11" spans="1:37" ht="19.350000000000001" customHeight="1">
      <c r="C11" s="294"/>
      <c r="D11" s="17" t="s">
        <v>45</v>
      </c>
      <c r="E11" s="16"/>
      <c r="F11" s="295"/>
      <c r="G11" s="295"/>
      <c r="H11" s="296"/>
      <c r="I11" s="14"/>
      <c r="J11" s="15"/>
      <c r="K11" s="297" t="str">
        <f t="shared" si="0"/>
        <v/>
      </c>
      <c r="L11" s="298" t="s">
        <v>5036</v>
      </c>
      <c r="M11" s="1073" t="str">
        <f t="shared" si="1"/>
        <v/>
      </c>
      <c r="N11" s="299" t="str">
        <f t="shared" si="2"/>
        <v/>
      </c>
      <c r="O11" s="288"/>
      <c r="P11" s="289" t="s">
        <v>45</v>
      </c>
      <c r="Q11" s="289" t="s">
        <v>45</v>
      </c>
      <c r="R11" s="289">
        <f t="shared" si="3"/>
        <v>36.5</v>
      </c>
      <c r="S11" s="290">
        <f t="shared" si="4"/>
        <v>1.8700000000000001E-2</v>
      </c>
      <c r="T11" s="288"/>
      <c r="U11" s="306" t="s">
        <v>5018</v>
      </c>
      <c r="V11" s="307">
        <f>IF(T1=2022,"-------------------",SUM(M57))</f>
        <v>0</v>
      </c>
      <c r="W11" s="308" t="s">
        <v>4186</v>
      </c>
      <c r="X11" s="310">
        <f>IF(T1=2022,"-------------------",SUM(M57))</f>
        <v>0</v>
      </c>
      <c r="Y11" s="311" t="s">
        <v>4186</v>
      </c>
      <c r="Z11" s="312" t="str">
        <f>IF(T1=2022,"---------------",IF(V11&lt;&gt;0,X11/V11,"---------------"))</f>
        <v>---------------</v>
      </c>
      <c r="AA11" s="303"/>
      <c r="AB11" s="8"/>
      <c r="AC11" s="8"/>
      <c r="AD11" s="8"/>
      <c r="AE11" s="8"/>
      <c r="AF11" s="8"/>
      <c r="AI11" s="268"/>
      <c r="AJ11" s="268"/>
    </row>
    <row r="12" spans="1:37" ht="19.350000000000001" customHeight="1" thickBot="1">
      <c r="C12" s="294"/>
      <c r="D12" s="17" t="s">
        <v>46</v>
      </c>
      <c r="E12" s="16"/>
      <c r="F12" s="295"/>
      <c r="G12" s="295"/>
      <c r="H12" s="296"/>
      <c r="I12" s="14"/>
      <c r="J12" s="15"/>
      <c r="K12" s="297" t="str">
        <f t="shared" si="0"/>
        <v/>
      </c>
      <c r="L12" s="298" t="s">
        <v>5036</v>
      </c>
      <c r="M12" s="1073" t="str">
        <f t="shared" si="1"/>
        <v/>
      </c>
      <c r="N12" s="299" t="str">
        <f t="shared" si="2"/>
        <v/>
      </c>
      <c r="O12" s="288"/>
      <c r="P12" s="289" t="s">
        <v>46</v>
      </c>
      <c r="Q12" s="289" t="s">
        <v>46</v>
      </c>
      <c r="R12" s="289">
        <f t="shared" si="3"/>
        <v>38</v>
      </c>
      <c r="S12" s="290">
        <f t="shared" si="4"/>
        <v>1.8800000000000001E-2</v>
      </c>
      <c r="T12" s="288"/>
      <c r="U12" s="306" t="s">
        <v>5042</v>
      </c>
      <c r="V12" s="313">
        <f>SUM(M78)</f>
        <v>0</v>
      </c>
      <c r="W12" s="314" t="s">
        <v>4186</v>
      </c>
      <c r="X12" s="315">
        <f>IF(T1=2022,"-------------------",SUM(M77))</f>
        <v>0</v>
      </c>
      <c r="Y12" s="316" t="s">
        <v>4186</v>
      </c>
      <c r="Z12" s="317" t="str">
        <f>IF(T1=2022,"---------------",IF(V12=0,"---------------",X12/V12))</f>
        <v>---------------</v>
      </c>
      <c r="AA12" s="303"/>
      <c r="AB12" s="8"/>
      <c r="AC12" s="8"/>
      <c r="AD12" s="8"/>
      <c r="AE12" s="8"/>
      <c r="AF12" s="318"/>
      <c r="AG12" s="8"/>
      <c r="AI12" s="268"/>
      <c r="AJ12" s="268"/>
      <c r="AK12" s="268"/>
    </row>
    <row r="13" spans="1:37" ht="19.350000000000001" customHeight="1" thickTop="1">
      <c r="C13" s="319"/>
      <c r="D13" s="17" t="s">
        <v>47</v>
      </c>
      <c r="E13" s="16"/>
      <c r="F13" s="295"/>
      <c r="G13" s="295"/>
      <c r="H13" s="296"/>
      <c r="I13" s="14"/>
      <c r="J13" s="15"/>
      <c r="K13" s="297" t="str">
        <f t="shared" si="0"/>
        <v/>
      </c>
      <c r="L13" s="298" t="s">
        <v>5036</v>
      </c>
      <c r="M13" s="1073" t="str">
        <f t="shared" si="1"/>
        <v/>
      </c>
      <c r="N13" s="299" t="str">
        <f t="shared" si="2"/>
        <v/>
      </c>
      <c r="O13" s="288"/>
      <c r="P13" s="289" t="s">
        <v>47</v>
      </c>
      <c r="Q13" s="289" t="s">
        <v>47</v>
      </c>
      <c r="R13" s="289">
        <f t="shared" si="3"/>
        <v>38.9</v>
      </c>
      <c r="S13" s="290">
        <f t="shared" si="4"/>
        <v>1.9300000000000001E-2</v>
      </c>
      <c r="T13" s="288"/>
      <c r="U13" s="306" t="s">
        <v>5320</v>
      </c>
      <c r="V13" s="320">
        <f>SUM(V10:V12)</f>
        <v>0</v>
      </c>
      <c r="W13" s="321" t="s">
        <v>4186</v>
      </c>
      <c r="X13" s="322">
        <f>IF($T$1=2022,"-------------------",SUM(X11,X12))</f>
        <v>0</v>
      </c>
      <c r="Y13" s="323" t="s">
        <v>4186</v>
      </c>
      <c r="Z13" s="324">
        <f>IF($T$1=2022,"---------------",IF(X13=0,0,X13/V13))</f>
        <v>0</v>
      </c>
      <c r="AA13" s="303"/>
      <c r="AB13" s="8"/>
      <c r="AC13" s="8"/>
      <c r="AD13" s="8"/>
      <c r="AE13" s="8"/>
      <c r="AF13" s="318"/>
    </row>
    <row r="14" spans="1:37" ht="19.350000000000001" customHeight="1">
      <c r="C14" s="319"/>
      <c r="D14" s="325" t="s">
        <v>48</v>
      </c>
      <c r="E14" s="326"/>
      <c r="F14" s="327"/>
      <c r="G14" s="327"/>
      <c r="H14" s="328"/>
      <c r="I14" s="185"/>
      <c r="J14" s="15"/>
      <c r="K14" s="297" t="str">
        <f t="shared" si="0"/>
        <v/>
      </c>
      <c r="L14" s="298" t="s">
        <v>5036</v>
      </c>
      <c r="M14" s="1073" t="str">
        <f t="shared" si="1"/>
        <v/>
      </c>
      <c r="N14" s="299" t="str">
        <f t="shared" si="2"/>
        <v/>
      </c>
      <c r="O14" s="288"/>
      <c r="P14" s="289" t="s">
        <v>48</v>
      </c>
      <c r="Q14" s="289" t="s">
        <v>48</v>
      </c>
      <c r="R14" s="289">
        <f t="shared" si="3"/>
        <v>41.8</v>
      </c>
      <c r="S14" s="290">
        <f t="shared" si="4"/>
        <v>2.0199999999999999E-2</v>
      </c>
      <c r="T14" s="288"/>
      <c r="U14"/>
      <c r="V14"/>
      <c r="W14"/>
      <c r="X14" s="329"/>
      <c r="Y14" s="329"/>
      <c r="Z14" s="329"/>
      <c r="AA14" s="329"/>
      <c r="AB14" s="8"/>
      <c r="AC14" s="8"/>
      <c r="AD14" s="8"/>
      <c r="AE14" s="8"/>
    </row>
    <row r="15" spans="1:37" ht="19.350000000000001" customHeight="1">
      <c r="C15" s="319"/>
      <c r="D15" s="17" t="s">
        <v>49</v>
      </c>
      <c r="E15" s="16"/>
      <c r="F15" s="295"/>
      <c r="G15" s="295"/>
      <c r="H15" s="296"/>
      <c r="I15" s="185"/>
      <c r="J15" s="15"/>
      <c r="K15" s="297" t="str">
        <f t="shared" si="0"/>
        <v/>
      </c>
      <c r="L15" s="298" t="s">
        <v>5035</v>
      </c>
      <c r="M15" s="1073" t="str">
        <f t="shared" si="1"/>
        <v/>
      </c>
      <c r="N15" s="299" t="str">
        <f t="shared" si="2"/>
        <v/>
      </c>
      <c r="O15" s="288"/>
      <c r="P15" s="289" t="s">
        <v>49</v>
      </c>
      <c r="Q15" s="289" t="s">
        <v>49</v>
      </c>
      <c r="R15" s="289">
        <f t="shared" si="3"/>
        <v>40</v>
      </c>
      <c r="S15" s="290">
        <f t="shared" si="4"/>
        <v>2.0400000000000001E-2</v>
      </c>
      <c r="T15" s="288"/>
      <c r="U15" s="752" t="s">
        <v>5013</v>
      </c>
      <c r="V15" s="754" t="s">
        <v>5260</v>
      </c>
      <c r="W15" s="755"/>
      <c r="X15" s="300"/>
      <c r="Y15" s="301"/>
      <c r="Z15" s="302"/>
      <c r="AA15" s="329"/>
      <c r="AB15" s="8"/>
      <c r="AC15" s="8"/>
      <c r="AD15" s="8"/>
      <c r="AE15" s="8"/>
      <c r="AF15" s="8"/>
      <c r="AH15" s="268"/>
    </row>
    <row r="16" spans="1:37" ht="19.350000000000001" customHeight="1">
      <c r="C16" s="294"/>
      <c r="D16" s="330" t="s">
        <v>52</v>
      </c>
      <c r="E16" s="331"/>
      <c r="F16" s="295"/>
      <c r="G16" s="295"/>
      <c r="H16" s="296"/>
      <c r="I16" s="185"/>
      <c r="J16" s="15"/>
      <c r="K16" s="297" t="str">
        <f t="shared" si="0"/>
        <v/>
      </c>
      <c r="L16" s="298" t="s">
        <v>5035</v>
      </c>
      <c r="M16" s="1073" t="str">
        <f t="shared" si="1"/>
        <v/>
      </c>
      <c r="N16" s="299" t="str">
        <f t="shared" si="2"/>
        <v/>
      </c>
      <c r="O16" s="288"/>
      <c r="P16" s="289" t="s">
        <v>52</v>
      </c>
      <c r="Q16" s="289" t="s">
        <v>52</v>
      </c>
      <c r="R16" s="289">
        <f t="shared" si="3"/>
        <v>34.1</v>
      </c>
      <c r="S16" s="290">
        <f t="shared" si="4"/>
        <v>2.4500000000000001E-2</v>
      </c>
      <c r="T16" s="288"/>
      <c r="U16" s="753"/>
      <c r="V16" s="756"/>
      <c r="W16" s="757"/>
      <c r="X16" s="717" t="s">
        <v>5262</v>
      </c>
      <c r="Y16" s="718"/>
      <c r="Z16" s="305" t="s">
        <v>5016</v>
      </c>
      <c r="AA16" s="263"/>
    </row>
    <row r="17" spans="3:36" ht="19.350000000000001" customHeight="1">
      <c r="C17" s="319"/>
      <c r="D17" s="777" t="s">
        <v>53</v>
      </c>
      <c r="E17" s="778"/>
      <c r="F17" s="333" t="s">
        <v>5212</v>
      </c>
      <c r="G17" s="339"/>
      <c r="H17" s="335"/>
      <c r="I17" s="185"/>
      <c r="J17" s="15"/>
      <c r="K17" s="297" t="str">
        <f t="shared" si="0"/>
        <v/>
      </c>
      <c r="L17" s="298" t="s">
        <v>5035</v>
      </c>
      <c r="M17" s="1073" t="str">
        <f t="shared" si="1"/>
        <v/>
      </c>
      <c r="N17" s="299" t="str">
        <f t="shared" si="2"/>
        <v/>
      </c>
      <c r="O17" s="288"/>
      <c r="P17" s="289" t="s">
        <v>5212</v>
      </c>
      <c r="Q17" s="289" t="s">
        <v>5212</v>
      </c>
      <c r="R17" s="289">
        <f t="shared" si="3"/>
        <v>50.1</v>
      </c>
      <c r="S17" s="290">
        <f t="shared" si="4"/>
        <v>1.6299999999999999E-2</v>
      </c>
      <c r="T17" s="288"/>
      <c r="U17" s="306" t="s">
        <v>5019</v>
      </c>
      <c r="V17" s="336">
        <f>K90</f>
        <v>0</v>
      </c>
      <c r="W17" s="337" t="s">
        <v>5263</v>
      </c>
      <c r="X17" s="338">
        <f>K89</f>
        <v>0</v>
      </c>
      <c r="Y17" s="311" t="s">
        <v>5264</v>
      </c>
      <c r="Z17" s="312">
        <f>IF($T$1=2022,"----------",IF(V17=0,0,X17/V17))</f>
        <v>0</v>
      </c>
      <c r="AA17" s="263"/>
      <c r="AH17" s="268"/>
    </row>
    <row r="18" spans="3:36" ht="19.350000000000001" customHeight="1">
      <c r="C18" s="319"/>
      <c r="D18" s="779"/>
      <c r="E18" s="780"/>
      <c r="F18" s="268" t="s">
        <v>5404</v>
      </c>
      <c r="G18" s="16"/>
      <c r="H18" s="335"/>
      <c r="I18" s="185"/>
      <c r="J18" s="15"/>
      <c r="K18" s="297" t="str">
        <f t="shared" si="0"/>
        <v/>
      </c>
      <c r="L18" s="340" t="s">
        <v>5261</v>
      </c>
      <c r="M18" s="1073" t="str">
        <f t="shared" si="1"/>
        <v/>
      </c>
      <c r="N18" s="299" t="str">
        <f t="shared" si="2"/>
        <v/>
      </c>
      <c r="O18" s="288"/>
      <c r="P18" s="289" t="s">
        <v>5213</v>
      </c>
      <c r="Q18" s="289" t="s">
        <v>5213</v>
      </c>
      <c r="R18" s="289">
        <f t="shared" si="3"/>
        <v>46.1</v>
      </c>
      <c r="S18" s="290">
        <f t="shared" si="4"/>
        <v>1.44E-2</v>
      </c>
      <c r="T18" s="288"/>
      <c r="X18" s="263"/>
      <c r="Y18" s="263"/>
      <c r="Z18" s="263"/>
      <c r="AA18" s="263"/>
      <c r="AH18" s="268"/>
    </row>
    <row r="19" spans="3:36" ht="19.350000000000001" customHeight="1">
      <c r="C19" s="319" t="s">
        <v>5020</v>
      </c>
      <c r="D19" s="777" t="s">
        <v>56</v>
      </c>
      <c r="E19" s="778"/>
      <c r="F19" s="341" t="s">
        <v>5214</v>
      </c>
      <c r="G19" s="17"/>
      <c r="H19" s="335"/>
      <c r="I19" s="185"/>
      <c r="J19" s="15"/>
      <c r="K19" s="297" t="str">
        <f t="shared" si="0"/>
        <v/>
      </c>
      <c r="L19" s="298" t="s">
        <v>5035</v>
      </c>
      <c r="M19" s="1073" t="str">
        <f t="shared" si="1"/>
        <v/>
      </c>
      <c r="N19" s="299" t="str">
        <f t="shared" si="2"/>
        <v/>
      </c>
      <c r="O19" s="288"/>
      <c r="P19" s="289" t="s">
        <v>5214</v>
      </c>
      <c r="Q19" s="289" t="s">
        <v>5214</v>
      </c>
      <c r="R19" s="289">
        <f t="shared" si="3"/>
        <v>54.7</v>
      </c>
      <c r="S19" s="290">
        <f t="shared" si="4"/>
        <v>1.3899999999999999E-2</v>
      </c>
      <c r="T19" s="288"/>
      <c r="U19" s="342"/>
      <c r="V19" s="343" t="s">
        <v>5021</v>
      </c>
      <c r="W19" s="344"/>
      <c r="X19" s="345" t="s">
        <v>5022</v>
      </c>
      <c r="Y19" s="346"/>
      <c r="Z19" s="263"/>
      <c r="AA19" s="263"/>
      <c r="AH19" s="268"/>
    </row>
    <row r="20" spans="3:36" ht="19.350000000000001" customHeight="1">
      <c r="C20" s="319" t="s">
        <v>5023</v>
      </c>
      <c r="D20" s="779"/>
      <c r="E20" s="780"/>
      <c r="F20" s="339" t="s">
        <v>58</v>
      </c>
      <c r="G20" s="16"/>
      <c r="H20" s="335"/>
      <c r="I20" s="185"/>
      <c r="J20" s="15"/>
      <c r="K20" s="297" t="str">
        <f t="shared" si="0"/>
        <v/>
      </c>
      <c r="L20" s="340" t="s">
        <v>5261</v>
      </c>
      <c r="M20" s="1073" t="str">
        <f t="shared" si="1"/>
        <v/>
      </c>
      <c r="N20" s="299" t="str">
        <f t="shared" si="2"/>
        <v/>
      </c>
      <c r="O20" s="288"/>
      <c r="P20" s="289" t="s">
        <v>58</v>
      </c>
      <c r="Q20" s="289" t="s">
        <v>58</v>
      </c>
      <c r="R20" s="289">
        <f t="shared" si="3"/>
        <v>38.4</v>
      </c>
      <c r="S20" s="290">
        <f t="shared" si="4"/>
        <v>1.3899999999999999E-2</v>
      </c>
      <c r="T20" s="288"/>
      <c r="U20" s="306" t="s">
        <v>5265</v>
      </c>
      <c r="V20" s="749">
        <f>IF($T$1=2022,"----------",IF(X17=0,0,X17/V17))</f>
        <v>0</v>
      </c>
      <c r="W20" s="750"/>
      <c r="X20" s="751">
        <f>Z13</f>
        <v>0</v>
      </c>
      <c r="Y20" s="718"/>
      <c r="Z20" s="263"/>
      <c r="AA20" s="263"/>
      <c r="AH20" s="268"/>
    </row>
    <row r="21" spans="3:36" ht="19.350000000000001" customHeight="1">
      <c r="C21" s="319" t="s">
        <v>5024</v>
      </c>
      <c r="D21" s="347" t="s">
        <v>60</v>
      </c>
      <c r="E21" s="332"/>
      <c r="F21" s="348"/>
      <c r="G21" s="17" t="s">
        <v>5025</v>
      </c>
      <c r="H21" s="335"/>
      <c r="I21" s="185"/>
      <c r="J21" s="15"/>
      <c r="K21" s="297" t="str">
        <f t="shared" ref="K21" si="5">IF(AND(I21="",J21=""),"",SUM(I21)-SUM(J21))</f>
        <v/>
      </c>
      <c r="L21" s="298" t="s">
        <v>5035</v>
      </c>
      <c r="M21" s="1073" t="str">
        <f t="shared" si="1"/>
        <v/>
      </c>
      <c r="N21" s="299" t="str">
        <f t="shared" si="2"/>
        <v/>
      </c>
      <c r="O21" s="288"/>
      <c r="P21" s="289" t="s">
        <v>61</v>
      </c>
      <c r="Q21" s="289" t="s">
        <v>5025</v>
      </c>
      <c r="R21" s="289">
        <f t="shared" si="3"/>
        <v>28.7</v>
      </c>
      <c r="S21" s="290">
        <f t="shared" si="4"/>
        <v>2.46E-2</v>
      </c>
      <c r="T21" s="288"/>
      <c r="X21" s="263"/>
      <c r="Y21" s="263"/>
      <c r="Z21" s="263"/>
      <c r="AA21" s="263"/>
      <c r="AH21" s="268"/>
    </row>
    <row r="22" spans="3:36" ht="19.350000000000001" customHeight="1" thickBot="1">
      <c r="C22" s="319" t="s">
        <v>5026</v>
      </c>
      <c r="D22" s="349"/>
      <c r="E22" s="350"/>
      <c r="F22" s="351" t="s">
        <v>5027</v>
      </c>
      <c r="G22" s="17" t="s">
        <v>5028</v>
      </c>
      <c r="H22" s="335"/>
      <c r="I22" s="185"/>
      <c r="J22" s="15"/>
      <c r="K22" s="297" t="str">
        <f t="shared" si="0"/>
        <v/>
      </c>
      <c r="L22" s="298" t="s">
        <v>5035</v>
      </c>
      <c r="M22" s="1073" t="str">
        <f t="shared" si="1"/>
        <v/>
      </c>
      <c r="N22" s="299" t="str">
        <f t="shared" si="2"/>
        <v/>
      </c>
      <c r="O22" s="288"/>
      <c r="P22" s="551"/>
      <c r="Q22" s="289" t="s">
        <v>5028</v>
      </c>
      <c r="R22" s="289">
        <f t="shared" si="3"/>
        <v>28.9</v>
      </c>
      <c r="S22" s="290">
        <f t="shared" si="4"/>
        <v>2.4500000000000001E-2</v>
      </c>
      <c r="T22" s="288"/>
      <c r="U22" s="272" t="s">
        <v>5187</v>
      </c>
      <c r="X22" s="263"/>
      <c r="Y22" s="263"/>
      <c r="Z22" s="263"/>
      <c r="AA22" s="263"/>
      <c r="AH22" s="268"/>
    </row>
    <row r="23" spans="3:36" ht="19.350000000000001" customHeight="1" thickBot="1">
      <c r="C23" s="294"/>
      <c r="D23" s="349"/>
      <c r="E23" s="350"/>
      <c r="F23" s="352"/>
      <c r="G23" s="17" t="s">
        <v>5029</v>
      </c>
      <c r="H23" s="335"/>
      <c r="I23" s="185"/>
      <c r="J23" s="15"/>
      <c r="K23" s="297" t="str">
        <f t="shared" ref="K23:K26" si="6">IF(AND(I23="",J23=""),"",SUM(I23)-SUM(J23))</f>
        <v/>
      </c>
      <c r="L23" s="298" t="s">
        <v>5035</v>
      </c>
      <c r="M23" s="1073" t="str">
        <f t="shared" si="1"/>
        <v/>
      </c>
      <c r="N23" s="299" t="str">
        <f t="shared" si="2"/>
        <v/>
      </c>
      <c r="O23" s="288"/>
      <c r="P23" s="551"/>
      <c r="Q23" s="289" t="s">
        <v>5029</v>
      </c>
      <c r="R23" s="289">
        <f t="shared" si="3"/>
        <v>28.3</v>
      </c>
      <c r="S23" s="290">
        <f t="shared" si="4"/>
        <v>2.5100000000000001E-2</v>
      </c>
      <c r="T23" s="288"/>
      <c r="U23" s="353" t="s">
        <v>132</v>
      </c>
      <c r="V23" s="354">
        <f>SUM(G103)</f>
        <v>0</v>
      </c>
      <c r="W23" s="355" t="s">
        <v>5185</v>
      </c>
      <c r="X23" s="263"/>
      <c r="Y23" s="263"/>
      <c r="Z23" s="263"/>
      <c r="AA23" s="263"/>
      <c r="AH23" s="268"/>
    </row>
    <row r="24" spans="3:36" ht="19.350000000000001" customHeight="1">
      <c r="C24" s="294"/>
      <c r="D24" s="349"/>
      <c r="E24" s="350"/>
      <c r="F24" s="775" t="s">
        <v>5030</v>
      </c>
      <c r="G24" s="17" t="s">
        <v>5031</v>
      </c>
      <c r="H24" s="335"/>
      <c r="I24" s="185"/>
      <c r="J24" s="15"/>
      <c r="K24" s="297" t="str">
        <f t="shared" si="6"/>
        <v/>
      </c>
      <c r="L24" s="298" t="s">
        <v>5035</v>
      </c>
      <c r="M24" s="1073" t="str">
        <f t="shared" si="1"/>
        <v/>
      </c>
      <c r="N24" s="299" t="str">
        <f t="shared" si="2"/>
        <v/>
      </c>
      <c r="O24" s="288"/>
      <c r="P24" s="289" t="s">
        <v>5218</v>
      </c>
      <c r="Q24" s="289" t="s">
        <v>5031</v>
      </c>
      <c r="R24" s="289">
        <f t="shared" si="3"/>
        <v>26.1</v>
      </c>
      <c r="S24" s="290">
        <f t="shared" si="4"/>
        <v>2.4299999999999999E-2</v>
      </c>
      <c r="T24" s="288"/>
      <c r="X24" s="263"/>
      <c r="Y24" s="263"/>
      <c r="Z24" s="263"/>
      <c r="AA24" s="263"/>
      <c r="AH24" s="268"/>
    </row>
    <row r="25" spans="3:36" ht="19.350000000000001" customHeight="1" thickBot="1">
      <c r="C25" s="294"/>
      <c r="D25" s="349"/>
      <c r="E25" s="350"/>
      <c r="F25" s="776"/>
      <c r="G25" s="356" t="s">
        <v>5032</v>
      </c>
      <c r="H25" s="335"/>
      <c r="I25" s="185"/>
      <c r="J25" s="15"/>
      <c r="K25" s="297" t="str">
        <f t="shared" si="6"/>
        <v/>
      </c>
      <c r="L25" s="298" t="s">
        <v>5035</v>
      </c>
      <c r="M25" s="1073" t="str">
        <f t="shared" si="1"/>
        <v/>
      </c>
      <c r="N25" s="299" t="str">
        <f t="shared" si="2"/>
        <v/>
      </c>
      <c r="O25" s="288"/>
      <c r="P25" s="551"/>
      <c r="Q25" s="289" t="s">
        <v>5032</v>
      </c>
      <c r="R25" s="289">
        <f t="shared" si="3"/>
        <v>24.2</v>
      </c>
      <c r="S25" s="290">
        <f t="shared" si="4"/>
        <v>2.4199999999999999E-2</v>
      </c>
      <c r="T25" s="288"/>
      <c r="U25" s="272" t="s">
        <v>141</v>
      </c>
      <c r="AH25" s="268"/>
    </row>
    <row r="26" spans="3:36" ht="19.350000000000001" customHeight="1" thickBot="1">
      <c r="C26" s="294"/>
      <c r="D26" s="349"/>
      <c r="E26" s="350"/>
      <c r="F26" s="357" t="s">
        <v>5033</v>
      </c>
      <c r="G26" s="358"/>
      <c r="H26" s="359"/>
      <c r="I26" s="185"/>
      <c r="J26" s="15"/>
      <c r="K26" s="297" t="str">
        <f t="shared" si="6"/>
        <v/>
      </c>
      <c r="L26" s="298" t="s">
        <v>5035</v>
      </c>
      <c r="M26" s="1073" t="str">
        <f t="shared" si="1"/>
        <v/>
      </c>
      <c r="N26" s="299" t="str">
        <f t="shared" si="2"/>
        <v/>
      </c>
      <c r="O26" s="288"/>
      <c r="P26" s="289" t="s">
        <v>5220</v>
      </c>
      <c r="Q26" s="289" t="s">
        <v>5033</v>
      </c>
      <c r="R26" s="289">
        <f t="shared" si="3"/>
        <v>27.8</v>
      </c>
      <c r="S26" s="290">
        <f t="shared" si="4"/>
        <v>2.5899999999999999E-2</v>
      </c>
      <c r="T26" s="288"/>
      <c r="U26" s="353" t="s">
        <v>165</v>
      </c>
      <c r="V26" s="354">
        <f>SUM(G116)</f>
        <v>0</v>
      </c>
      <c r="W26" s="355" t="s">
        <v>5185</v>
      </c>
      <c r="AH26" s="268"/>
    </row>
    <row r="27" spans="3:36" ht="19.350000000000001" customHeight="1" thickBot="1">
      <c r="C27" s="294"/>
      <c r="D27" s="17" t="s">
        <v>62</v>
      </c>
      <c r="E27" s="360"/>
      <c r="F27" s="16"/>
      <c r="G27" s="16"/>
      <c r="H27" s="335"/>
      <c r="I27" s="185"/>
      <c r="J27" s="15"/>
      <c r="K27" s="297" t="str">
        <f t="shared" si="0"/>
        <v/>
      </c>
      <c r="L27" s="298" t="s">
        <v>5035</v>
      </c>
      <c r="M27" s="1073" t="str">
        <f t="shared" si="1"/>
        <v/>
      </c>
      <c r="N27" s="299" t="str">
        <f t="shared" si="2"/>
        <v/>
      </c>
      <c r="O27" s="288"/>
      <c r="P27" s="289" t="s">
        <v>62</v>
      </c>
      <c r="Q27" s="289" t="s">
        <v>62</v>
      </c>
      <c r="R27" s="289">
        <f t="shared" si="3"/>
        <v>29</v>
      </c>
      <c r="S27" s="290">
        <f t="shared" si="4"/>
        <v>2.9899999999999999E-2</v>
      </c>
      <c r="T27" s="288"/>
      <c r="AH27" s="268"/>
    </row>
    <row r="28" spans="3:36" ht="19.350000000000001" customHeight="1" thickBot="1">
      <c r="C28" s="294"/>
      <c r="D28" s="17" t="s">
        <v>63</v>
      </c>
      <c r="E28" s="16"/>
      <c r="F28" s="361"/>
      <c r="G28" s="16"/>
      <c r="H28" s="335"/>
      <c r="I28" s="185"/>
      <c r="J28" s="15"/>
      <c r="K28" s="297" t="str">
        <f t="shared" si="0"/>
        <v/>
      </c>
      <c r="L28" s="298" t="s">
        <v>5035</v>
      </c>
      <c r="M28" s="1073" t="str">
        <f t="shared" si="1"/>
        <v/>
      </c>
      <c r="N28" s="299" t="str">
        <f t="shared" si="2"/>
        <v/>
      </c>
      <c r="O28" s="288"/>
      <c r="P28" s="289" t="s">
        <v>63</v>
      </c>
      <c r="Q28" s="289" t="s">
        <v>63</v>
      </c>
      <c r="R28" s="289">
        <f t="shared" si="3"/>
        <v>37.299999999999997</v>
      </c>
      <c r="S28" s="290">
        <f t="shared" si="4"/>
        <v>2.0899999999999998E-2</v>
      </c>
      <c r="T28" s="288"/>
      <c r="U28" s="362" t="s">
        <v>166</v>
      </c>
      <c r="V28" s="363">
        <f>SUM(V6,V23)-V26</f>
        <v>0</v>
      </c>
      <c r="W28" s="355" t="s">
        <v>5185</v>
      </c>
      <c r="AH28" s="268"/>
    </row>
    <row r="29" spans="3:36" ht="19.350000000000001" customHeight="1">
      <c r="C29" s="294"/>
      <c r="D29" s="17" t="s">
        <v>64</v>
      </c>
      <c r="E29" s="16"/>
      <c r="F29" s="361"/>
      <c r="G29" s="16"/>
      <c r="H29" s="335"/>
      <c r="I29" s="185"/>
      <c r="J29" s="15"/>
      <c r="K29" s="297" t="str">
        <f t="shared" si="0"/>
        <v/>
      </c>
      <c r="L29" s="340" t="s">
        <v>5261</v>
      </c>
      <c r="M29" s="1073" t="str">
        <f t="shared" si="1"/>
        <v/>
      </c>
      <c r="N29" s="299" t="str">
        <f t="shared" si="2"/>
        <v/>
      </c>
      <c r="O29" s="288"/>
      <c r="P29" s="289" t="s">
        <v>64</v>
      </c>
      <c r="Q29" s="289" t="s">
        <v>64</v>
      </c>
      <c r="R29" s="289">
        <f t="shared" si="3"/>
        <v>18.399999999999999</v>
      </c>
      <c r="S29" s="290">
        <f t="shared" si="4"/>
        <v>1.09E-2</v>
      </c>
      <c r="T29" s="288"/>
      <c r="AH29" s="268"/>
      <c r="AJ29" s="268"/>
    </row>
    <row r="30" spans="3:36" ht="19.350000000000001" customHeight="1" thickBot="1">
      <c r="C30" s="294"/>
      <c r="D30" s="364" t="s">
        <v>65</v>
      </c>
      <c r="E30" s="13"/>
      <c r="F30" s="365"/>
      <c r="G30" s="13"/>
      <c r="H30" s="366"/>
      <c r="I30" s="185"/>
      <c r="J30" s="15"/>
      <c r="K30" s="297" t="str">
        <f t="shared" si="0"/>
        <v/>
      </c>
      <c r="L30" s="340" t="s">
        <v>5261</v>
      </c>
      <c r="M30" s="1073" t="str">
        <f t="shared" si="1"/>
        <v/>
      </c>
      <c r="N30" s="299" t="str">
        <f t="shared" si="2"/>
        <v/>
      </c>
      <c r="O30" s="288"/>
      <c r="P30" s="289" t="s">
        <v>65</v>
      </c>
      <c r="Q30" s="289" t="s">
        <v>65</v>
      </c>
      <c r="R30" s="289">
        <f t="shared" si="3"/>
        <v>3.23</v>
      </c>
      <c r="S30" s="290">
        <f t="shared" si="4"/>
        <v>2.64E-2</v>
      </c>
      <c r="T30" s="288"/>
      <c r="U30" s="272" t="s">
        <v>143</v>
      </c>
      <c r="AH30" s="268"/>
      <c r="AJ30" s="268"/>
    </row>
    <row r="31" spans="3:36" ht="19.350000000000001" customHeight="1" thickBot="1">
      <c r="C31" s="294"/>
      <c r="D31" s="17" t="s">
        <v>5034</v>
      </c>
      <c r="E31" s="16"/>
      <c r="F31" s="365"/>
      <c r="G31" s="16"/>
      <c r="H31" s="295"/>
      <c r="I31" s="185"/>
      <c r="J31" s="15"/>
      <c r="K31" s="297" t="str">
        <f t="shared" si="0"/>
        <v/>
      </c>
      <c r="L31" s="340" t="s">
        <v>5261</v>
      </c>
      <c r="M31" s="1073" t="str">
        <f t="shared" si="1"/>
        <v/>
      </c>
      <c r="N31" s="299" t="str">
        <f t="shared" si="2"/>
        <v/>
      </c>
      <c r="O31" s="288"/>
      <c r="P31" s="551"/>
      <c r="Q31" s="289" t="s">
        <v>5034</v>
      </c>
      <c r="R31" s="289">
        <f t="shared" si="3"/>
        <v>3.45</v>
      </c>
      <c r="S31" s="290">
        <f t="shared" si="4"/>
        <v>2.64E-2</v>
      </c>
      <c r="T31" s="288"/>
      <c r="U31" s="367" t="s">
        <v>3100</v>
      </c>
      <c r="V31" s="368">
        <f>IF(V28="","",IFERROR(ROUND(V28/G123,3-INT(LOG(V28/G123))),))</f>
        <v>0</v>
      </c>
      <c r="W31" s="733" t="str">
        <f>"t-CO2/"&amp;G122</f>
        <v>t-CO2/</v>
      </c>
      <c r="X31" s="734"/>
      <c r="AI31" s="268"/>
    </row>
    <row r="32" spans="3:36" ht="19.350000000000001" customHeight="1">
      <c r="C32" s="294"/>
      <c r="D32" s="17" t="s">
        <v>66</v>
      </c>
      <c r="E32" s="16"/>
      <c r="F32" s="365"/>
      <c r="G32" s="16"/>
      <c r="H32" s="335"/>
      <c r="I32" s="14"/>
      <c r="J32" s="15"/>
      <c r="K32" s="297" t="str">
        <f t="shared" si="0"/>
        <v/>
      </c>
      <c r="L32" s="340" t="s">
        <v>5261</v>
      </c>
      <c r="M32" s="1073" t="str">
        <f t="shared" si="1"/>
        <v/>
      </c>
      <c r="N32" s="299" t="str">
        <f t="shared" si="2"/>
        <v/>
      </c>
      <c r="O32" s="288"/>
      <c r="P32" s="289" t="s">
        <v>66</v>
      </c>
      <c r="Q32" s="289" t="s">
        <v>66</v>
      </c>
      <c r="R32" s="289">
        <f t="shared" si="3"/>
        <v>7.53</v>
      </c>
      <c r="S32" s="290">
        <f t="shared" si="4"/>
        <v>4.2000000000000003E-2</v>
      </c>
      <c r="T32" s="288"/>
      <c r="U32" s="263"/>
      <c r="V32" s="263"/>
      <c r="W32" s="263"/>
      <c r="X32" s="263"/>
      <c r="AH32" s="268"/>
      <c r="AJ32" s="268"/>
    </row>
    <row r="33" spans="3:36" ht="19.350000000000001" customHeight="1">
      <c r="C33" s="294"/>
      <c r="D33" s="17" t="s">
        <v>5221</v>
      </c>
      <c r="E33" s="16"/>
      <c r="F33" s="365"/>
      <c r="G33" s="16"/>
      <c r="H33" s="335"/>
      <c r="I33" s="14"/>
      <c r="J33" s="15"/>
      <c r="K33" s="297" t="str">
        <f t="shared" si="0"/>
        <v/>
      </c>
      <c r="L33" s="340" t="s">
        <v>5266</v>
      </c>
      <c r="M33" s="1073" t="str">
        <f t="shared" si="1"/>
        <v/>
      </c>
      <c r="N33" s="299" t="str">
        <f t="shared" si="2"/>
        <v/>
      </c>
      <c r="O33" s="288"/>
      <c r="P33" s="289" t="s">
        <v>5221</v>
      </c>
      <c r="Q33" s="289" t="s">
        <v>5221</v>
      </c>
      <c r="R33" s="289">
        <f t="shared" si="3"/>
        <v>45</v>
      </c>
      <c r="S33" s="290">
        <f t="shared" si="4"/>
        <v>1.4E-2</v>
      </c>
      <c r="T33" s="288"/>
      <c r="U33" s="305" t="s">
        <v>5316</v>
      </c>
      <c r="V33" s="369" t="s">
        <v>87</v>
      </c>
      <c r="W33" s="369" t="s">
        <v>119</v>
      </c>
      <c r="X33" s="263"/>
      <c r="AF33" s="22"/>
      <c r="AH33" s="268"/>
      <c r="AJ33" s="268"/>
    </row>
    <row r="34" spans="3:36" ht="19.350000000000001" customHeight="1">
      <c r="C34" s="294"/>
      <c r="D34" s="17" t="s">
        <v>5316</v>
      </c>
      <c r="E34" s="16"/>
      <c r="F34" s="365"/>
      <c r="G34" s="16"/>
      <c r="H34" s="335"/>
      <c r="I34" s="14"/>
      <c r="J34" s="15"/>
      <c r="K34" s="297" t="str">
        <f t="shared" ref="K34:K35" si="7">IF(AND(I34="",J34=""),"",SUM(I34)-SUM(J34))</f>
        <v/>
      </c>
      <c r="L34" s="298" t="s">
        <v>130</v>
      </c>
      <c r="M34" s="1073" t="str">
        <f>IFERROR(IF(K34="","",$K34*R34),"----------")</f>
        <v/>
      </c>
      <c r="N34" s="590"/>
      <c r="O34" s="288"/>
      <c r="P34" s="289" t="s">
        <v>5222</v>
      </c>
      <c r="Q34" s="289" t="s">
        <v>5222</v>
      </c>
      <c r="R34" s="289">
        <f t="shared" si="3"/>
        <v>1.19</v>
      </c>
      <c r="S34" s="290" t="str">
        <f t="shared" si="4"/>
        <v>ー</v>
      </c>
      <c r="T34" s="288"/>
      <c r="U34" s="26"/>
      <c r="V34" s="309"/>
      <c r="W34" s="221"/>
      <c r="X34" s="263"/>
      <c r="AC34" s="22"/>
      <c r="AF34" s="22"/>
      <c r="AG34" s="22"/>
      <c r="AJ34" s="268"/>
    </row>
    <row r="35" spans="3:36" ht="18" thickBot="1">
      <c r="C35" s="370"/>
      <c r="D35" s="17" t="str">
        <f>"その他（"&amp;U37&amp;"）"</f>
        <v>その他（）</v>
      </c>
      <c r="E35" s="16"/>
      <c r="F35" s="365"/>
      <c r="G35" s="16"/>
      <c r="H35" s="335"/>
      <c r="I35" s="20"/>
      <c r="J35" s="21"/>
      <c r="K35" s="371" t="str">
        <f t="shared" si="7"/>
        <v/>
      </c>
      <c r="L35" s="589"/>
      <c r="M35" s="1074"/>
      <c r="N35" s="231"/>
      <c r="O35" s="22"/>
      <c r="P35"/>
      <c r="Q35"/>
      <c r="R35"/>
      <c r="S35"/>
      <c r="T35" s="22"/>
      <c r="U35" s="263"/>
      <c r="V35" s="263"/>
      <c r="W35" s="263"/>
      <c r="X35" s="263"/>
      <c r="AA35" s="22"/>
      <c r="AB35" s="22"/>
      <c r="AC35" s="22"/>
      <c r="AD35" s="22"/>
      <c r="AE35" s="22"/>
      <c r="AG35" s="22"/>
      <c r="AJ35" s="268"/>
    </row>
    <row r="36" spans="3:36" ht="18.600000000000001" customHeight="1" thickTop="1" thickBot="1">
      <c r="C36" s="691" t="s">
        <v>72</v>
      </c>
      <c r="D36" s="692"/>
      <c r="E36" s="692"/>
      <c r="F36" s="692"/>
      <c r="G36" s="692"/>
      <c r="H36" s="693"/>
      <c r="I36" s="372" t="s">
        <v>73</v>
      </c>
      <c r="J36" s="373" t="s">
        <v>73</v>
      </c>
      <c r="K36" s="373" t="s">
        <v>73</v>
      </c>
      <c r="L36" s="374" t="s">
        <v>73</v>
      </c>
      <c r="M36" s="1075">
        <f>SUM(M6:M35)</f>
        <v>0</v>
      </c>
      <c r="N36" s="375">
        <f>SUM(N6:N35)</f>
        <v>0</v>
      </c>
      <c r="O36" s="288"/>
      <c r="P36"/>
      <c r="Q36"/>
      <c r="R36"/>
      <c r="S36"/>
      <c r="T36" s="288"/>
      <c r="U36" s="305" t="s">
        <v>5267</v>
      </c>
      <c r="V36" s="369" t="s">
        <v>87</v>
      </c>
      <c r="W36" s="369" t="s">
        <v>119</v>
      </c>
      <c r="X36" s="376"/>
      <c r="Y36" s="22"/>
      <c r="Z36" s="22"/>
      <c r="AF36" s="377"/>
    </row>
    <row r="37" spans="3:36" ht="19.350000000000001" customHeight="1" thickBot="1">
      <c r="C37" s="762" t="s">
        <v>5268</v>
      </c>
      <c r="D37" s="763"/>
      <c r="E37" s="763"/>
      <c r="F37" s="763"/>
      <c r="G37" s="763"/>
      <c r="H37" s="764"/>
      <c r="I37" s="735" t="s">
        <v>127</v>
      </c>
      <c r="J37" s="737" t="s">
        <v>40</v>
      </c>
      <c r="K37" s="739" t="s">
        <v>41</v>
      </c>
      <c r="L37" s="741" t="s">
        <v>42</v>
      </c>
      <c r="M37" s="747" t="s">
        <v>5183</v>
      </c>
      <c r="N37" s="794" t="s">
        <v>5184</v>
      </c>
      <c r="O37" s="288"/>
      <c r="P37"/>
      <c r="Q37"/>
      <c r="R37"/>
      <c r="S37"/>
      <c r="T37" s="288"/>
      <c r="U37" s="26"/>
      <c r="V37" s="222"/>
      <c r="W37" s="221"/>
      <c r="X37" s="263"/>
      <c r="Y37" s="22"/>
      <c r="Z37" s="22"/>
      <c r="AC37" s="377"/>
      <c r="AF37" s="377"/>
      <c r="AG37" s="377"/>
    </row>
    <row r="38" spans="3:36" ht="19.350000000000001" customHeight="1" thickBot="1">
      <c r="C38" s="768"/>
      <c r="D38" s="769"/>
      <c r="E38" s="769"/>
      <c r="F38" s="769"/>
      <c r="G38" s="769"/>
      <c r="H38" s="770"/>
      <c r="I38" s="736"/>
      <c r="J38" s="738"/>
      <c r="K38" s="740"/>
      <c r="L38" s="742"/>
      <c r="M38" s="748"/>
      <c r="N38" s="795"/>
      <c r="O38" s="288"/>
      <c r="P38" s="547" t="s">
        <v>5255</v>
      </c>
      <c r="Q38" s="547" t="s">
        <v>5256</v>
      </c>
      <c r="R38" s="547" t="s">
        <v>5059</v>
      </c>
      <c r="S38" s="547" t="s">
        <v>5209</v>
      </c>
      <c r="T38" s="288"/>
      <c r="U38" s="263"/>
      <c r="V38" s="263"/>
      <c r="W38" s="263"/>
      <c r="X38" s="263"/>
      <c r="Y38" s="22"/>
      <c r="Z38" s="22"/>
      <c r="AA38" s="377"/>
      <c r="AB38" s="377"/>
      <c r="AC38" s="377"/>
      <c r="AD38" s="377"/>
      <c r="AE38" s="377"/>
      <c r="AF38" s="377"/>
      <c r="AG38" s="377"/>
    </row>
    <row r="39" spans="3:36" ht="19.350000000000001" customHeight="1">
      <c r="C39" s="378"/>
      <c r="D39" s="379" t="s">
        <v>5269</v>
      </c>
      <c r="E39" s="379"/>
      <c r="F39" s="380"/>
      <c r="G39" s="381"/>
      <c r="H39" s="382"/>
      <c r="I39" s="23"/>
      <c r="J39" s="24"/>
      <c r="K39" s="383" t="str">
        <f t="shared" ref="K39:K56" si="8">IF(AND(I39="",J39=""),"",SUM(I39)-SUM(J39))</f>
        <v/>
      </c>
      <c r="L39" s="384" t="s">
        <v>5035</v>
      </c>
      <c r="M39" s="1076" t="str">
        <f t="shared" ref="M39:M55" si="9">IFERROR(IF(K39="","",$K39*R39),"----------")</f>
        <v/>
      </c>
      <c r="N39" s="635"/>
      <c r="P39" s="552"/>
      <c r="Q39" s="552" t="s">
        <v>5062</v>
      </c>
      <c r="R39" s="552">
        <f t="shared" ref="R39:R55" si="10">IF($T$1=2022,VLOOKUP($P39,係数2023,7,0),VLOOKUP($Q39,係数2023,7,0))</f>
        <v>13.6</v>
      </c>
      <c r="S39" s="553" t="str">
        <f t="shared" ref="S39:S55" si="11">IF($T$1=2022,VLOOKUP($P39,係数2023,9,0),VLOOKUP($Q39,係数2023,9,0))</f>
        <v>ー</v>
      </c>
      <c r="U39" s="263"/>
      <c r="V39" s="263"/>
      <c r="W39" s="263"/>
      <c r="X39" s="376"/>
      <c r="Y39" s="22"/>
      <c r="Z39" s="22"/>
      <c r="AA39" s="377"/>
      <c r="AB39" s="377"/>
      <c r="AC39" s="377"/>
      <c r="AD39" s="377"/>
      <c r="AE39" s="377"/>
      <c r="AF39" s="377"/>
      <c r="AG39" s="377"/>
    </row>
    <row r="40" spans="3:36" ht="19.350000000000001" customHeight="1">
      <c r="C40" s="370"/>
      <c r="D40" s="16" t="s">
        <v>5270</v>
      </c>
      <c r="E40" s="16"/>
      <c r="F40" s="365"/>
      <c r="G40" s="19"/>
      <c r="H40" s="387"/>
      <c r="I40" s="20"/>
      <c r="J40" s="21"/>
      <c r="K40" s="371" t="str">
        <f t="shared" si="8"/>
        <v/>
      </c>
      <c r="L40" s="388" t="s">
        <v>5035</v>
      </c>
      <c r="M40" s="1073" t="str">
        <f t="shared" si="9"/>
        <v/>
      </c>
      <c r="N40" s="636"/>
      <c r="P40" s="389"/>
      <c r="Q40" s="389" t="s">
        <v>5064</v>
      </c>
      <c r="R40" s="385">
        <f t="shared" si="10"/>
        <v>13.2</v>
      </c>
      <c r="S40" s="386" t="str">
        <f t="shared" si="11"/>
        <v>ー</v>
      </c>
      <c r="U40" s="22"/>
      <c r="V40" s="22"/>
      <c r="W40" s="22"/>
      <c r="X40" s="22"/>
      <c r="Y40" s="22"/>
      <c r="Z40" s="22"/>
      <c r="AA40" s="377"/>
      <c r="AB40" s="377"/>
      <c r="AC40" s="377"/>
      <c r="AD40" s="377"/>
      <c r="AE40" s="377"/>
      <c r="AF40" s="377"/>
      <c r="AG40" s="377"/>
    </row>
    <row r="41" spans="3:36" ht="19.350000000000001" customHeight="1">
      <c r="C41" s="294"/>
      <c r="D41" s="16" t="s">
        <v>5271</v>
      </c>
      <c r="E41" s="16"/>
      <c r="F41" s="365"/>
      <c r="G41" s="19"/>
      <c r="H41" s="387"/>
      <c r="I41" s="20"/>
      <c r="J41" s="21"/>
      <c r="K41" s="371" t="str">
        <f t="shared" si="8"/>
        <v/>
      </c>
      <c r="L41" s="388" t="s">
        <v>5035</v>
      </c>
      <c r="M41" s="1073" t="str">
        <f t="shared" si="9"/>
        <v/>
      </c>
      <c r="N41" s="636"/>
      <c r="P41" s="385"/>
      <c r="Q41" s="385" t="s">
        <v>5065</v>
      </c>
      <c r="R41" s="385">
        <f t="shared" si="10"/>
        <v>17.100000000000001</v>
      </c>
      <c r="S41" s="386" t="str">
        <f t="shared" si="11"/>
        <v>ー</v>
      </c>
      <c r="X41" s="22"/>
      <c r="Y41" s="22"/>
      <c r="Z41" s="22"/>
      <c r="AA41" s="377"/>
      <c r="AB41" s="377"/>
      <c r="AC41" s="377"/>
      <c r="AD41" s="377"/>
      <c r="AE41" s="377"/>
      <c r="AF41" s="377"/>
      <c r="AG41" s="377"/>
    </row>
    <row r="42" spans="3:36" ht="19.350000000000001" customHeight="1">
      <c r="C42" s="294"/>
      <c r="D42" s="16" t="s">
        <v>5066</v>
      </c>
      <c r="E42" s="16"/>
      <c r="F42" s="365"/>
      <c r="G42" s="19"/>
      <c r="H42" s="387"/>
      <c r="I42" s="20"/>
      <c r="J42" s="21"/>
      <c r="K42" s="371" t="str">
        <f t="shared" si="8"/>
        <v/>
      </c>
      <c r="L42" s="388" t="s">
        <v>5036</v>
      </c>
      <c r="M42" s="1073" t="str">
        <f t="shared" si="9"/>
        <v/>
      </c>
      <c r="N42" s="636"/>
      <c r="P42" s="385"/>
      <c r="Q42" s="385" t="s">
        <v>5066</v>
      </c>
      <c r="R42" s="385">
        <f t="shared" si="10"/>
        <v>23.4</v>
      </c>
      <c r="S42" s="386" t="str">
        <f t="shared" si="11"/>
        <v>ー</v>
      </c>
      <c r="X42" s="22"/>
      <c r="Y42" s="22"/>
      <c r="Z42" s="22"/>
      <c r="AA42" s="377"/>
      <c r="AB42" s="377"/>
      <c r="AC42" s="377"/>
      <c r="AD42" s="377"/>
      <c r="AE42" s="377"/>
      <c r="AF42" s="377"/>
      <c r="AG42" s="377"/>
    </row>
    <row r="43" spans="3:36" ht="19.350000000000001" customHeight="1">
      <c r="C43" s="319"/>
      <c r="D43" s="16" t="s">
        <v>5068</v>
      </c>
      <c r="E43" s="16"/>
      <c r="F43" s="365"/>
      <c r="G43" s="19"/>
      <c r="H43" s="387"/>
      <c r="I43" s="20"/>
      <c r="J43" s="21"/>
      <c r="K43" s="371" t="str">
        <f t="shared" si="8"/>
        <v/>
      </c>
      <c r="L43" s="388" t="s">
        <v>5036</v>
      </c>
      <c r="M43" s="1073" t="str">
        <f t="shared" si="9"/>
        <v/>
      </c>
      <c r="N43" s="636"/>
      <c r="P43" s="385"/>
      <c r="Q43" s="385" t="s">
        <v>5068</v>
      </c>
      <c r="R43" s="385">
        <f t="shared" si="10"/>
        <v>35.6</v>
      </c>
      <c r="S43" s="386" t="str">
        <f t="shared" si="11"/>
        <v>ー</v>
      </c>
      <c r="U43" s="22"/>
      <c r="V43" s="22"/>
      <c r="W43" s="22"/>
      <c r="X43" s="22"/>
      <c r="Y43" s="22"/>
      <c r="Z43" s="22"/>
      <c r="AA43" s="377"/>
      <c r="AB43" s="377"/>
      <c r="AC43" s="377"/>
      <c r="AD43" s="377"/>
      <c r="AE43" s="377"/>
      <c r="AF43" s="377"/>
      <c r="AG43" s="377"/>
    </row>
    <row r="44" spans="3:36" ht="19.350000000000001" customHeight="1">
      <c r="C44" s="319"/>
      <c r="D44" s="16" t="s">
        <v>5069</v>
      </c>
      <c r="E44" s="16"/>
      <c r="F44" s="365"/>
      <c r="G44" s="19"/>
      <c r="H44" s="387"/>
      <c r="I44" s="20"/>
      <c r="J44" s="21"/>
      <c r="K44" s="371" t="str">
        <f t="shared" si="8"/>
        <v/>
      </c>
      <c r="L44" s="388" t="s">
        <v>5038</v>
      </c>
      <c r="M44" s="1073" t="str">
        <f t="shared" si="9"/>
        <v/>
      </c>
      <c r="N44" s="636"/>
      <c r="P44" s="385"/>
      <c r="Q44" s="385" t="s">
        <v>5069</v>
      </c>
      <c r="R44" s="385">
        <f t="shared" si="10"/>
        <v>21.2</v>
      </c>
      <c r="S44" s="386" t="str">
        <f t="shared" si="11"/>
        <v>ー</v>
      </c>
      <c r="U44" s="22"/>
      <c r="V44" s="22"/>
      <c r="W44" s="22"/>
      <c r="X44" s="22"/>
      <c r="Y44" s="22"/>
      <c r="Z44" s="22"/>
      <c r="AA44" s="377"/>
      <c r="AB44" s="377"/>
      <c r="AC44" s="377"/>
      <c r="AD44" s="377"/>
      <c r="AE44" s="377"/>
      <c r="AF44" s="377"/>
      <c r="AG44" s="377"/>
    </row>
    <row r="45" spans="3:36" ht="19.350000000000001" customHeight="1">
      <c r="C45" s="319" t="s">
        <v>5037</v>
      </c>
      <c r="D45" s="16" t="s">
        <v>5272</v>
      </c>
      <c r="E45" s="16"/>
      <c r="F45" s="365"/>
      <c r="G45" s="19"/>
      <c r="H45" s="387"/>
      <c r="I45" s="20"/>
      <c r="J45" s="21"/>
      <c r="K45" s="371" t="str">
        <f t="shared" si="8"/>
        <v/>
      </c>
      <c r="L45" s="388" t="s">
        <v>5035</v>
      </c>
      <c r="M45" s="1073" t="str">
        <f t="shared" si="9"/>
        <v/>
      </c>
      <c r="N45" s="636"/>
      <c r="P45" s="385"/>
      <c r="Q45" s="385" t="s">
        <v>5071</v>
      </c>
      <c r="R45" s="385">
        <f t="shared" si="10"/>
        <v>13.2</v>
      </c>
      <c r="S45" s="386" t="str">
        <f t="shared" si="11"/>
        <v>ー</v>
      </c>
      <c r="U45" s="22"/>
      <c r="V45" s="22"/>
      <c r="W45" s="22"/>
      <c r="X45" s="22"/>
      <c r="Y45" s="22"/>
      <c r="Z45" s="22"/>
      <c r="AA45" s="377"/>
      <c r="AB45" s="377"/>
      <c r="AC45" s="377"/>
      <c r="AD45" s="377"/>
      <c r="AE45" s="377"/>
      <c r="AF45" s="377"/>
      <c r="AG45" s="377"/>
    </row>
    <row r="46" spans="3:36" ht="19.350000000000001" customHeight="1">
      <c r="C46" s="319" t="s">
        <v>5020</v>
      </c>
      <c r="D46" s="16" t="s">
        <v>5072</v>
      </c>
      <c r="E46" s="16"/>
      <c r="F46" s="365"/>
      <c r="G46" s="19"/>
      <c r="H46" s="387"/>
      <c r="I46" s="20"/>
      <c r="J46" s="21"/>
      <c r="K46" s="371" t="str">
        <f t="shared" si="8"/>
        <v/>
      </c>
      <c r="L46" s="388" t="s">
        <v>5035</v>
      </c>
      <c r="M46" s="1073" t="str">
        <f t="shared" si="9"/>
        <v/>
      </c>
      <c r="N46" s="299" t="str">
        <f t="shared" ref="N46:N51" si="12">IFERROR(IF(K46="","",$M46*S46*44/12),"----------")</f>
        <v/>
      </c>
      <c r="P46" s="385"/>
      <c r="Q46" s="385" t="s">
        <v>5072</v>
      </c>
      <c r="R46" s="385">
        <f t="shared" si="10"/>
        <v>18</v>
      </c>
      <c r="S46" s="386">
        <f t="shared" si="11"/>
        <v>1.6199999999999999E-2</v>
      </c>
      <c r="U46" s="22"/>
      <c r="V46" s="22"/>
      <c r="W46" s="22"/>
      <c r="X46" s="22"/>
      <c r="Y46" s="22"/>
      <c r="Z46" s="22"/>
      <c r="AA46" s="377"/>
      <c r="AB46" s="377"/>
      <c r="AC46" s="377"/>
      <c r="AD46" s="377"/>
      <c r="AE46" s="377"/>
      <c r="AF46" s="377"/>
      <c r="AG46" s="377"/>
    </row>
    <row r="47" spans="3:36" ht="19.350000000000001" customHeight="1">
      <c r="C47" s="319" t="s">
        <v>5023</v>
      </c>
      <c r="D47" s="16" t="s">
        <v>5073</v>
      </c>
      <c r="E47" s="16"/>
      <c r="F47" s="365"/>
      <c r="G47" s="19"/>
      <c r="H47" s="387"/>
      <c r="I47" s="20"/>
      <c r="J47" s="21"/>
      <c r="K47" s="371" t="str">
        <f t="shared" si="8"/>
        <v/>
      </c>
      <c r="L47" s="388" t="s">
        <v>5035</v>
      </c>
      <c r="M47" s="1073" t="str">
        <f t="shared" si="9"/>
        <v/>
      </c>
      <c r="N47" s="299" t="str">
        <f t="shared" si="12"/>
        <v/>
      </c>
      <c r="P47" s="385"/>
      <c r="Q47" s="385" t="s">
        <v>5073</v>
      </c>
      <c r="R47" s="385">
        <f t="shared" si="10"/>
        <v>26.9</v>
      </c>
      <c r="S47" s="386">
        <f t="shared" si="11"/>
        <v>1.66E-2</v>
      </c>
      <c r="U47" s="22"/>
      <c r="V47" s="22"/>
      <c r="W47" s="22"/>
      <c r="X47" s="22"/>
      <c r="Y47" s="22"/>
      <c r="Z47" s="22"/>
      <c r="AA47" s="377"/>
      <c r="AB47" s="377"/>
      <c r="AC47" s="377"/>
      <c r="AD47" s="377"/>
      <c r="AE47" s="377"/>
      <c r="AF47" s="377"/>
      <c r="AG47" s="377"/>
    </row>
    <row r="48" spans="3:36" ht="19.350000000000001" customHeight="1">
      <c r="C48" s="319" t="s">
        <v>5024</v>
      </c>
      <c r="D48" s="16" t="s">
        <v>5273</v>
      </c>
      <c r="E48" s="16"/>
      <c r="F48" s="365"/>
      <c r="G48" s="19"/>
      <c r="H48" s="387"/>
      <c r="I48" s="20"/>
      <c r="J48" s="21"/>
      <c r="K48" s="371" t="str">
        <f t="shared" si="8"/>
        <v/>
      </c>
      <c r="L48" s="388" t="s">
        <v>5035</v>
      </c>
      <c r="M48" s="1073" t="str">
        <f t="shared" si="9"/>
        <v/>
      </c>
      <c r="N48" s="299" t="str">
        <f t="shared" si="12"/>
        <v/>
      </c>
      <c r="P48" s="385"/>
      <c r="Q48" s="385" t="s">
        <v>5074</v>
      </c>
      <c r="R48" s="385">
        <f t="shared" si="10"/>
        <v>33.200000000000003</v>
      </c>
      <c r="S48" s="386">
        <f t="shared" si="11"/>
        <v>1.35E-2</v>
      </c>
      <c r="U48" s="22"/>
      <c r="V48" s="22"/>
      <c r="W48" s="22"/>
      <c r="X48" s="22"/>
      <c r="Y48" s="22"/>
      <c r="Z48" s="22"/>
      <c r="AA48" s="377"/>
      <c r="AB48" s="377"/>
      <c r="AC48" s="377"/>
      <c r="AD48" s="377"/>
      <c r="AE48" s="377"/>
      <c r="AG48" s="377"/>
    </row>
    <row r="49" spans="3:31" ht="19.350000000000001" customHeight="1">
      <c r="C49" s="319" t="s">
        <v>5026</v>
      </c>
      <c r="D49" s="771" t="s">
        <v>5275</v>
      </c>
      <c r="E49" s="772"/>
      <c r="F49" s="365" t="s">
        <v>5076</v>
      </c>
      <c r="G49" s="19"/>
      <c r="H49" s="387"/>
      <c r="I49" s="20"/>
      <c r="J49" s="21"/>
      <c r="K49" s="371" t="str">
        <f t="shared" si="8"/>
        <v/>
      </c>
      <c r="L49" s="388" t="s">
        <v>5035</v>
      </c>
      <c r="M49" s="1073" t="str">
        <f t="shared" si="9"/>
        <v/>
      </c>
      <c r="N49" s="299" t="str">
        <f t="shared" si="12"/>
        <v/>
      </c>
      <c r="P49" s="385"/>
      <c r="Q49" s="385" t="s">
        <v>5274</v>
      </c>
      <c r="R49" s="385">
        <f t="shared" si="10"/>
        <v>29.3</v>
      </c>
      <c r="S49" s="386">
        <f t="shared" si="11"/>
        <v>2.5700000000000001E-2</v>
      </c>
      <c r="U49" s="22"/>
      <c r="V49" s="22"/>
      <c r="W49" s="22"/>
      <c r="X49" s="22"/>
      <c r="Y49" s="22"/>
      <c r="Z49" s="22"/>
      <c r="AA49" s="377"/>
      <c r="AB49" s="377"/>
      <c r="AD49" s="377"/>
      <c r="AE49" s="377"/>
    </row>
    <row r="50" spans="3:31" ht="19.350000000000001" customHeight="1">
      <c r="C50" s="319"/>
      <c r="D50" s="773"/>
      <c r="E50" s="774"/>
      <c r="F50" s="365" t="s">
        <v>5077</v>
      </c>
      <c r="G50" s="19"/>
      <c r="H50" s="387"/>
      <c r="I50" s="20"/>
      <c r="J50" s="21"/>
      <c r="K50" s="371" t="str">
        <f t="shared" si="8"/>
        <v/>
      </c>
      <c r="L50" s="388" t="s">
        <v>5035</v>
      </c>
      <c r="M50" s="1073" t="str">
        <f t="shared" si="9"/>
        <v/>
      </c>
      <c r="N50" s="299" t="str">
        <f t="shared" si="12"/>
        <v/>
      </c>
      <c r="P50" s="385"/>
      <c r="Q50" s="385" t="s">
        <v>5276</v>
      </c>
      <c r="R50" s="385">
        <f t="shared" si="10"/>
        <v>29.3</v>
      </c>
      <c r="S50" s="386">
        <f t="shared" si="11"/>
        <v>2.3900000000000001E-2</v>
      </c>
      <c r="U50" s="22"/>
      <c r="V50" s="22"/>
      <c r="W50" s="22"/>
      <c r="X50" s="22"/>
      <c r="Y50" s="22"/>
      <c r="Z50" s="22"/>
    </row>
    <row r="51" spans="3:31" ht="19.350000000000001" customHeight="1">
      <c r="C51" s="319"/>
      <c r="D51" s="16" t="s">
        <v>5277</v>
      </c>
      <c r="E51" s="16"/>
      <c r="F51" s="365"/>
      <c r="G51" s="19"/>
      <c r="H51" s="387"/>
      <c r="I51" s="20"/>
      <c r="J51" s="21"/>
      <c r="K51" s="371" t="str">
        <f t="shared" si="8"/>
        <v/>
      </c>
      <c r="L51" s="388" t="s">
        <v>5036</v>
      </c>
      <c r="M51" s="1073" t="str">
        <f t="shared" si="9"/>
        <v/>
      </c>
      <c r="N51" s="299" t="str">
        <f t="shared" si="12"/>
        <v/>
      </c>
      <c r="P51" s="385"/>
      <c r="Q51" s="385" t="s">
        <v>5078</v>
      </c>
      <c r="R51" s="385">
        <f t="shared" si="10"/>
        <v>40.200000000000003</v>
      </c>
      <c r="S51" s="386">
        <f t="shared" si="11"/>
        <v>1.7899999999999999E-2</v>
      </c>
      <c r="U51" s="22"/>
      <c r="V51" s="22"/>
      <c r="W51" s="22"/>
      <c r="X51" s="22"/>
      <c r="Y51" s="22"/>
      <c r="Z51" s="22"/>
    </row>
    <row r="52" spans="3:31" ht="19.350000000000001" customHeight="1">
      <c r="C52" s="319"/>
      <c r="D52" s="16" t="s">
        <v>5278</v>
      </c>
      <c r="E52" s="16"/>
      <c r="F52" s="365"/>
      <c r="G52" s="19"/>
      <c r="H52" s="387"/>
      <c r="I52" s="20"/>
      <c r="J52" s="21"/>
      <c r="K52" s="371" t="str">
        <f t="shared" si="8"/>
        <v/>
      </c>
      <c r="L52" s="388" t="s">
        <v>5038</v>
      </c>
      <c r="M52" s="1073" t="str">
        <f t="shared" si="9"/>
        <v/>
      </c>
      <c r="N52" s="636"/>
      <c r="P52" s="385"/>
      <c r="Q52" s="385" t="s">
        <v>5079</v>
      </c>
      <c r="R52" s="385">
        <f t="shared" si="10"/>
        <v>21.2</v>
      </c>
      <c r="S52" s="386" t="str">
        <f t="shared" si="11"/>
        <v>ー</v>
      </c>
      <c r="U52" s="22"/>
      <c r="V52" s="22"/>
      <c r="W52" s="22"/>
      <c r="X52" s="22"/>
      <c r="Y52" s="22"/>
      <c r="Z52" s="22"/>
    </row>
    <row r="53" spans="3:31" ht="19.350000000000001" customHeight="1">
      <c r="C53" s="319"/>
      <c r="D53" s="16" t="s">
        <v>5279</v>
      </c>
      <c r="E53" s="16"/>
      <c r="F53" s="365"/>
      <c r="G53" s="19"/>
      <c r="H53" s="387"/>
      <c r="I53" s="20"/>
      <c r="J53" s="21"/>
      <c r="K53" s="371" t="str">
        <f t="shared" si="8"/>
        <v/>
      </c>
      <c r="L53" s="388" t="s">
        <v>5035</v>
      </c>
      <c r="M53" s="1073" t="str">
        <f t="shared" si="9"/>
        <v/>
      </c>
      <c r="N53" s="636"/>
      <c r="P53" s="385"/>
      <c r="Q53" s="385" t="s">
        <v>5080</v>
      </c>
      <c r="R53" s="385">
        <f t="shared" si="10"/>
        <v>17.100000000000001</v>
      </c>
      <c r="S53" s="386" t="str">
        <f t="shared" si="11"/>
        <v>ー</v>
      </c>
      <c r="X53" s="22"/>
      <c r="Y53" s="22"/>
      <c r="Z53" s="22"/>
    </row>
    <row r="54" spans="3:31" ht="19.350000000000001" customHeight="1">
      <c r="C54" s="294"/>
      <c r="D54" s="16" t="s">
        <v>5280</v>
      </c>
      <c r="E54" s="16"/>
      <c r="F54" s="365"/>
      <c r="G54" s="19"/>
      <c r="H54" s="387"/>
      <c r="I54" s="20"/>
      <c r="J54" s="21"/>
      <c r="K54" s="371" t="str">
        <f t="shared" si="8"/>
        <v/>
      </c>
      <c r="L54" s="388" t="s">
        <v>5035</v>
      </c>
      <c r="M54" s="1073" t="str">
        <f t="shared" si="9"/>
        <v/>
      </c>
      <c r="N54" s="636"/>
      <c r="P54" s="385"/>
      <c r="Q54" s="385" t="s">
        <v>5081</v>
      </c>
      <c r="R54" s="385">
        <f t="shared" si="10"/>
        <v>142</v>
      </c>
      <c r="S54" s="386" t="str">
        <f t="shared" si="11"/>
        <v>ー</v>
      </c>
      <c r="U54" s="329"/>
      <c r="V54" s="329"/>
      <c r="W54" s="329"/>
      <c r="X54" s="376"/>
      <c r="Y54" s="376"/>
      <c r="Z54" s="376"/>
      <c r="AA54" s="263"/>
      <c r="AB54" s="263"/>
    </row>
    <row r="55" spans="3:31">
      <c r="C55" s="294"/>
      <c r="D55" s="16" t="s">
        <v>5309</v>
      </c>
      <c r="E55" s="390"/>
      <c r="F55" s="365"/>
      <c r="G55" s="19"/>
      <c r="H55" s="387"/>
      <c r="I55" s="20"/>
      <c r="J55" s="21"/>
      <c r="K55" s="371" t="str">
        <f t="shared" si="8"/>
        <v/>
      </c>
      <c r="L55" s="388" t="s">
        <v>5035</v>
      </c>
      <c r="M55" s="1073" t="str">
        <f t="shared" si="9"/>
        <v/>
      </c>
      <c r="N55" s="636"/>
      <c r="P55" s="385"/>
      <c r="Q55" s="385" t="s">
        <v>5309</v>
      </c>
      <c r="R55" s="385">
        <f t="shared" si="10"/>
        <v>22.5</v>
      </c>
      <c r="S55" s="386" t="str">
        <f t="shared" si="11"/>
        <v>ー</v>
      </c>
      <c r="U55" s="305" t="s">
        <v>5281</v>
      </c>
      <c r="V55" s="369" t="s">
        <v>87</v>
      </c>
      <c r="W55" s="369" t="s">
        <v>119</v>
      </c>
      <c r="X55" s="376"/>
      <c r="Y55" s="376"/>
      <c r="Z55" s="376"/>
      <c r="AA55" s="263"/>
      <c r="AB55" s="263"/>
    </row>
    <row r="56" spans="3:31" ht="18" thickBot="1">
      <c r="C56" s="391"/>
      <c r="D56" s="16" t="str">
        <f>"その他（"&amp;U56&amp;"）"</f>
        <v>その他（）</v>
      </c>
      <c r="E56" s="16"/>
      <c r="F56" s="365"/>
      <c r="G56" s="19"/>
      <c r="H56" s="387"/>
      <c r="I56" s="20"/>
      <c r="J56" s="21"/>
      <c r="K56" s="371" t="str">
        <f t="shared" si="8"/>
        <v/>
      </c>
      <c r="L56" s="589"/>
      <c r="M56" s="1074"/>
      <c r="N56" s="231"/>
      <c r="P56" s="385"/>
      <c r="Q56" s="385"/>
      <c r="R56" s="385"/>
      <c r="S56" s="385"/>
      <c r="U56" s="26"/>
      <c r="V56" s="222"/>
      <c r="W56" s="221"/>
      <c r="X56" s="376"/>
      <c r="Y56" s="376"/>
      <c r="Z56" s="376"/>
      <c r="AA56" s="263"/>
      <c r="AB56" s="263"/>
    </row>
    <row r="57" spans="3:31" ht="19.350000000000001" customHeight="1" thickTop="1" thickBot="1">
      <c r="C57" s="691" t="s">
        <v>72</v>
      </c>
      <c r="D57" s="692"/>
      <c r="E57" s="692"/>
      <c r="F57" s="692"/>
      <c r="G57" s="692"/>
      <c r="H57" s="693"/>
      <c r="I57" s="372" t="s">
        <v>73</v>
      </c>
      <c r="J57" s="373" t="s">
        <v>73</v>
      </c>
      <c r="K57" s="373" t="s">
        <v>73</v>
      </c>
      <c r="L57" s="374" t="s">
        <v>73</v>
      </c>
      <c r="M57" s="1075">
        <f>SUM(M39:M56)</f>
        <v>0</v>
      </c>
      <c r="N57" s="375">
        <f>SUM(N39:N56)</f>
        <v>0</v>
      </c>
      <c r="P57"/>
      <c r="Q57"/>
      <c r="R57"/>
      <c r="S57"/>
      <c r="U57" s="376"/>
      <c r="V57" s="376"/>
      <c r="W57" s="376"/>
      <c r="X57" s="376"/>
      <c r="Y57" s="376"/>
      <c r="Z57" s="376"/>
      <c r="AA57" s="263"/>
      <c r="AB57" s="263"/>
    </row>
    <row r="58" spans="3:31" ht="19.350000000000001" customHeight="1" thickBot="1">
      <c r="C58" s="762" t="s">
        <v>5282</v>
      </c>
      <c r="D58" s="763"/>
      <c r="E58" s="763"/>
      <c r="F58" s="763"/>
      <c r="G58" s="763"/>
      <c r="H58" s="764"/>
      <c r="I58" s="735" t="s">
        <v>127</v>
      </c>
      <c r="J58" s="737" t="s">
        <v>40</v>
      </c>
      <c r="K58" s="739" t="s">
        <v>41</v>
      </c>
      <c r="L58" s="741" t="s">
        <v>42</v>
      </c>
      <c r="M58" s="743" t="s">
        <v>5183</v>
      </c>
      <c r="N58" s="745" t="s">
        <v>5184</v>
      </c>
      <c r="P58"/>
      <c r="Q58"/>
      <c r="R58"/>
      <c r="S58"/>
      <c r="U58" s="376"/>
      <c r="V58" s="376"/>
      <c r="W58" s="376"/>
      <c r="X58" s="376"/>
      <c r="Y58" s="376"/>
      <c r="Z58" s="376"/>
      <c r="AA58" s="263"/>
      <c r="AB58" s="263"/>
    </row>
    <row r="59" spans="3:31" ht="19.350000000000001" customHeight="1">
      <c r="C59" s="765"/>
      <c r="D59" s="766"/>
      <c r="E59" s="766"/>
      <c r="F59" s="766"/>
      <c r="G59" s="766"/>
      <c r="H59" s="767"/>
      <c r="I59" s="736"/>
      <c r="J59" s="738"/>
      <c r="K59" s="740"/>
      <c r="L59" s="742"/>
      <c r="M59" s="744"/>
      <c r="N59" s="746"/>
      <c r="P59" s="547" t="s">
        <v>5255</v>
      </c>
      <c r="Q59" s="547" t="s">
        <v>5256</v>
      </c>
      <c r="R59" s="547" t="s">
        <v>5059</v>
      </c>
      <c r="S59" s="547" t="s">
        <v>5209</v>
      </c>
      <c r="U59" s="329"/>
      <c r="V59" s="329"/>
      <c r="W59" s="329"/>
      <c r="X59" s="376"/>
      <c r="Y59" s="376"/>
      <c r="Z59" s="376"/>
      <c r="AA59" s="263"/>
      <c r="AB59" s="263"/>
    </row>
    <row r="60" spans="3:31" ht="19.350000000000001" customHeight="1">
      <c r="C60" s="554"/>
      <c r="D60" s="796" t="s">
        <v>5284</v>
      </c>
      <c r="E60" s="393" t="s">
        <v>123</v>
      </c>
      <c r="F60" s="394"/>
      <c r="G60" s="284"/>
      <c r="H60" s="395"/>
      <c r="I60" s="11"/>
      <c r="J60" s="12"/>
      <c r="K60" s="297" t="str">
        <f>IF(I60="","",SUM(I60)-SUM(J60))</f>
        <v/>
      </c>
      <c r="L60" s="286" t="s">
        <v>68</v>
      </c>
      <c r="M60" s="1072" t="str">
        <f>IFERROR(IF(K60="","",$K60*R60),"----------")</f>
        <v/>
      </c>
      <c r="N60" s="287" t="str">
        <f>IFERROR(IF(K60="","",K60*S60),"----------")</f>
        <v/>
      </c>
      <c r="P60" s="555" t="s">
        <v>123</v>
      </c>
      <c r="Q60" s="555" t="s">
        <v>5283</v>
      </c>
      <c r="R60" s="556">
        <f t="shared" ref="R60:R67" si="13">IF($T$1=2022,VLOOKUP($P60,係数2022,7,0),VLOOKUP($Q60,係数2023,7,0))</f>
        <v>1.17</v>
      </c>
      <c r="S60" s="556">
        <f t="shared" ref="S60:S67" si="14">IF($T$1=2022,VLOOKUP($P60,係数2022,9,0),VLOOKUP($Q60,係数2023,9,0))</f>
        <v>6.54E-2</v>
      </c>
      <c r="U60" s="329"/>
      <c r="V60" s="329"/>
      <c r="W60" s="329"/>
      <c r="X60" s="376"/>
      <c r="Y60" s="376"/>
      <c r="Z60" s="376"/>
      <c r="AA60" s="263"/>
      <c r="AB60" s="263"/>
    </row>
    <row r="61" spans="3:31" ht="19.350000000000001" customHeight="1">
      <c r="C61" s="557"/>
      <c r="D61" s="797"/>
      <c r="E61" s="397"/>
      <c r="F61" s="398" t="s">
        <v>5285</v>
      </c>
      <c r="G61" s="361"/>
      <c r="H61" s="399"/>
      <c r="I61" s="186"/>
      <c r="J61" s="187"/>
      <c r="K61" s="297" t="str">
        <f t="shared" ref="K61:K69" si="15">IF(I61="","",SUM(I61)-SUM(J61))</f>
        <v/>
      </c>
      <c r="L61" s="298" t="s">
        <v>68</v>
      </c>
      <c r="M61" s="1077" t="str">
        <f>IFERROR(IF(K61="","",$K61*R61),"----------")</f>
        <v/>
      </c>
      <c r="N61" s="400"/>
      <c r="P61" s="558"/>
      <c r="Q61" s="558" t="s">
        <v>5229</v>
      </c>
      <c r="R61" s="556">
        <f t="shared" si="13"/>
        <v>1.17</v>
      </c>
      <c r="S61" s="556" t="str">
        <f t="shared" si="14"/>
        <v>ー</v>
      </c>
      <c r="U61" s="305" t="s">
        <v>126</v>
      </c>
      <c r="V61" s="369" t="s">
        <v>87</v>
      </c>
      <c r="W61" s="369" t="s">
        <v>119</v>
      </c>
      <c r="X61" s="376"/>
      <c r="Y61" s="376"/>
      <c r="Z61" s="376"/>
      <c r="AA61" s="263"/>
      <c r="AB61" s="263"/>
    </row>
    <row r="62" spans="3:31" ht="19.350000000000001" customHeight="1">
      <c r="C62" s="557"/>
      <c r="D62" s="797"/>
      <c r="E62" s="401" t="s">
        <v>133</v>
      </c>
      <c r="F62" s="402"/>
      <c r="G62" s="361"/>
      <c r="H62" s="296"/>
      <c r="I62" s="14"/>
      <c r="J62" s="15"/>
      <c r="K62" s="297" t="str">
        <f t="shared" si="15"/>
        <v/>
      </c>
      <c r="L62" s="298" t="s">
        <v>68</v>
      </c>
      <c r="M62" s="1073" t="str">
        <f t="shared" ref="M62:M67" si="16">IFERROR(IF(K62="","",$K62*R62),"----------")</f>
        <v/>
      </c>
      <c r="N62" s="299" t="str">
        <f>IF(K62="","",
      IF($T$1=2022,K62*S62,
                  IF(OR(W62="",K62=""),"",K62*W62)))</f>
        <v/>
      </c>
      <c r="P62" s="558" t="s">
        <v>133</v>
      </c>
      <c r="Q62" s="558" t="s">
        <v>5226</v>
      </c>
      <c r="R62" s="556">
        <f t="shared" si="13"/>
        <v>1.19</v>
      </c>
      <c r="S62" s="556" t="str">
        <f t="shared" si="14"/>
        <v>ー</v>
      </c>
      <c r="U62" s="403" t="s">
        <v>5286</v>
      </c>
      <c r="V62" s="404"/>
      <c r="W62" s="221"/>
      <c r="X62" s="376"/>
      <c r="Y62" s="376"/>
      <c r="Z62" s="376"/>
      <c r="AA62" s="263"/>
      <c r="AB62" s="263"/>
    </row>
    <row r="63" spans="3:31" ht="19.350000000000001" customHeight="1">
      <c r="C63" s="557"/>
      <c r="D63" s="797"/>
      <c r="E63" s="397"/>
      <c r="F63" s="398" t="s">
        <v>5285</v>
      </c>
      <c r="G63" s="361"/>
      <c r="H63" s="296"/>
      <c r="I63" s="14"/>
      <c r="J63" s="15"/>
      <c r="K63" s="297" t="str">
        <f t="shared" si="15"/>
        <v/>
      </c>
      <c r="L63" s="298" t="s">
        <v>68</v>
      </c>
      <c r="M63" s="1073" t="str">
        <f>IFERROR(IF(K63="","",$K63*R63),"----------")</f>
        <v/>
      </c>
      <c r="N63" s="400"/>
      <c r="P63" s="558"/>
      <c r="Q63" s="558" t="s">
        <v>5230</v>
      </c>
      <c r="R63" s="556">
        <f t="shared" si="13"/>
        <v>1.19</v>
      </c>
      <c r="S63" s="556" t="str">
        <f t="shared" si="14"/>
        <v>ー</v>
      </c>
      <c r="U63" s="403" t="s">
        <v>5287</v>
      </c>
      <c r="V63" s="404"/>
      <c r="W63" s="221"/>
      <c r="X63" s="376"/>
      <c r="Y63" s="376"/>
      <c r="Z63" s="376"/>
      <c r="AA63" s="263"/>
      <c r="AB63" s="263"/>
    </row>
    <row r="64" spans="3:31" ht="19.350000000000001" customHeight="1">
      <c r="C64" s="557"/>
      <c r="D64" s="797"/>
      <c r="E64" s="401" t="s">
        <v>70</v>
      </c>
      <c r="F64" s="361"/>
      <c r="G64" s="361"/>
      <c r="H64" s="296"/>
      <c r="I64" s="14"/>
      <c r="J64" s="15"/>
      <c r="K64" s="297" t="str">
        <f t="shared" si="15"/>
        <v/>
      </c>
      <c r="L64" s="298" t="s">
        <v>68</v>
      </c>
      <c r="M64" s="1073" t="str">
        <f>IFERROR(IF(K64="","",$K64*R64),"----------")</f>
        <v/>
      </c>
      <c r="N64" s="299" t="str">
        <f>IF(K64="","",
      IF($T$1=2022,K64*S64,
                  IF(OR(W63="",K64=""),"",K64*W63)))</f>
        <v/>
      </c>
      <c r="P64" s="558" t="s">
        <v>70</v>
      </c>
      <c r="Q64" s="558" t="s">
        <v>5227</v>
      </c>
      <c r="R64" s="556">
        <f t="shared" si="13"/>
        <v>1.19</v>
      </c>
      <c r="S64" s="556" t="str">
        <f t="shared" si="14"/>
        <v>ー</v>
      </c>
      <c r="U64" s="171" t="s">
        <v>5288</v>
      </c>
      <c r="V64" s="309"/>
      <c r="W64" s="221"/>
      <c r="X64" s="376"/>
      <c r="Y64" s="376"/>
      <c r="Z64" s="376"/>
      <c r="AA64" s="263"/>
      <c r="AB64" s="263"/>
    </row>
    <row r="65" spans="2:38" ht="19.350000000000001" customHeight="1">
      <c r="C65" s="559"/>
      <c r="D65" s="797"/>
      <c r="E65" s="397"/>
      <c r="F65" s="398" t="s">
        <v>5285</v>
      </c>
      <c r="G65" s="361"/>
      <c r="H65" s="406"/>
      <c r="I65" s="14"/>
      <c r="J65" s="15"/>
      <c r="K65" s="297" t="str">
        <f t="shared" si="15"/>
        <v/>
      </c>
      <c r="L65" s="298" t="s">
        <v>68</v>
      </c>
      <c r="M65" s="1073" t="str">
        <f t="shared" si="16"/>
        <v/>
      </c>
      <c r="N65" s="400"/>
      <c r="P65" s="558"/>
      <c r="Q65" s="558" t="s">
        <v>5231</v>
      </c>
      <c r="R65" s="556">
        <f t="shared" si="13"/>
        <v>1.19</v>
      </c>
      <c r="S65" s="556" t="str">
        <f t="shared" si="14"/>
        <v>ー</v>
      </c>
      <c r="U65" s="329"/>
      <c r="V65" s="329"/>
      <c r="W65" s="329"/>
      <c r="X65" s="376"/>
      <c r="Y65" s="376"/>
      <c r="Z65" s="376"/>
      <c r="AA65" s="263"/>
      <c r="AB65" s="263"/>
    </row>
    <row r="66" spans="2:38" ht="19.350000000000001" customHeight="1">
      <c r="C66" s="559"/>
      <c r="D66" s="797"/>
      <c r="E66" s="401" t="s">
        <v>71</v>
      </c>
      <c r="F66" s="361"/>
      <c r="G66" s="361"/>
      <c r="H66" s="296"/>
      <c r="I66" s="14"/>
      <c r="J66" s="15"/>
      <c r="K66" s="297" t="str">
        <f t="shared" si="15"/>
        <v/>
      </c>
      <c r="L66" s="298" t="s">
        <v>68</v>
      </c>
      <c r="M66" s="1073" t="str">
        <f>IFERROR(IF(K66="","",$K66*R66),"----------")</f>
        <v/>
      </c>
      <c r="N66" s="299" t="str">
        <f>IF(K66="","",
      IF($T$1=2022,K66*S66,
                  IF(OR(W64="",K66=""),"",K66*W64)))</f>
        <v/>
      </c>
      <c r="P66" s="558" t="s">
        <v>71</v>
      </c>
      <c r="Q66" s="558" t="s">
        <v>5228</v>
      </c>
      <c r="R66" s="556">
        <f t="shared" si="13"/>
        <v>1.19</v>
      </c>
      <c r="S66" s="556" t="str">
        <f t="shared" si="14"/>
        <v>ー</v>
      </c>
      <c r="U66" s="329"/>
      <c r="V66" s="329"/>
      <c r="W66" s="329"/>
      <c r="X66" s="376"/>
      <c r="Y66" s="376"/>
      <c r="Z66" s="376"/>
      <c r="AA66" s="263"/>
      <c r="AB66" s="263"/>
    </row>
    <row r="67" spans="2:38" ht="19.350000000000001" customHeight="1">
      <c r="C67" s="559" t="s">
        <v>5083</v>
      </c>
      <c r="D67" s="797"/>
      <c r="E67" s="397"/>
      <c r="F67" s="398" t="s">
        <v>5285</v>
      </c>
      <c r="G67" s="361"/>
      <c r="H67" s="296"/>
      <c r="I67" s="186"/>
      <c r="J67" s="187"/>
      <c r="K67" s="407" t="str">
        <f t="shared" si="15"/>
        <v/>
      </c>
      <c r="L67" s="408" t="s">
        <v>68</v>
      </c>
      <c r="M67" s="1077" t="str">
        <f t="shared" si="16"/>
        <v/>
      </c>
      <c r="N67" s="400"/>
      <c r="P67" s="560"/>
      <c r="Q67" s="558" t="s">
        <v>5232</v>
      </c>
      <c r="R67" s="561">
        <f t="shared" si="13"/>
        <v>1.19</v>
      </c>
      <c r="S67" s="556" t="str">
        <f t="shared" si="14"/>
        <v>ー</v>
      </c>
      <c r="U67" s="305" t="s">
        <v>5289</v>
      </c>
      <c r="V67" s="369" t="s">
        <v>87</v>
      </c>
      <c r="W67" s="369" t="s">
        <v>119</v>
      </c>
      <c r="X67" s="376"/>
      <c r="Y67" s="376"/>
      <c r="Z67" s="376"/>
      <c r="AA67" s="263"/>
      <c r="AB67" s="263"/>
    </row>
    <row r="68" spans="2:38" s="268" customFormat="1" ht="19.350000000000001" customHeight="1">
      <c r="B68" s="263"/>
      <c r="C68" s="557"/>
      <c r="D68" s="797"/>
      <c r="E68" s="401" t="str">
        <f>"その他（"&amp;U68&amp;"）"</f>
        <v>その他（）</v>
      </c>
      <c r="F68" s="361"/>
      <c r="G68" s="361"/>
      <c r="H68" s="296"/>
      <c r="I68" s="14"/>
      <c r="J68" s="15"/>
      <c r="K68" s="297" t="str">
        <f t="shared" si="15"/>
        <v/>
      </c>
      <c r="L68" s="298" t="s">
        <v>68</v>
      </c>
      <c r="M68" s="1078"/>
      <c r="N68" s="590"/>
      <c r="P68" s="560"/>
      <c r="Q68" s="560"/>
      <c r="R68" s="561"/>
      <c r="S68" s="561"/>
      <c r="U68" s="26"/>
      <c r="V68" s="222"/>
      <c r="W68" s="221"/>
      <c r="X68" s="376"/>
      <c r="Y68" s="376"/>
      <c r="Z68" s="376"/>
      <c r="AA68" s="263"/>
      <c r="AB68" s="263"/>
      <c r="AH68" s="8"/>
      <c r="AI68" s="8"/>
      <c r="AJ68" s="8"/>
      <c r="AK68" s="8"/>
      <c r="AL68" s="8"/>
    </row>
    <row r="69" spans="2:38" s="268" customFormat="1" ht="19.350000000000001" customHeight="1">
      <c r="B69" s="263"/>
      <c r="C69" s="557"/>
      <c r="D69" s="798"/>
      <c r="E69" s="410"/>
      <c r="F69" s="411" t="s">
        <v>5285</v>
      </c>
      <c r="G69" s="328"/>
      <c r="H69" s="406"/>
      <c r="I69" s="188"/>
      <c r="J69" s="189"/>
      <c r="K69" s="412" t="str">
        <f t="shared" si="15"/>
        <v/>
      </c>
      <c r="L69" s="413" t="s">
        <v>68</v>
      </c>
      <c r="M69" s="1079"/>
      <c r="N69" s="414"/>
      <c r="P69" s="560"/>
      <c r="Q69" s="560"/>
      <c r="R69" s="561"/>
      <c r="S69" s="561"/>
      <c r="U69" s="415" t="s">
        <v>5285</v>
      </c>
      <c r="V69" s="416" t="str">
        <f>IF(V68="","",V68)</f>
        <v/>
      </c>
      <c r="W69" s="417"/>
      <c r="X69" s="376"/>
      <c r="Y69" s="376"/>
      <c r="Z69" s="376"/>
      <c r="AA69" s="263"/>
      <c r="AB69" s="263"/>
      <c r="AH69" s="8"/>
      <c r="AI69" s="8"/>
      <c r="AJ69" s="8"/>
      <c r="AK69" s="8"/>
    </row>
    <row r="70" spans="2:38" s="268" customFormat="1" ht="14.1" customHeight="1">
      <c r="B70" s="263"/>
      <c r="C70" s="557"/>
      <c r="D70" s="418"/>
      <c r="E70" s="419"/>
      <c r="F70" s="419"/>
      <c r="G70" s="419"/>
      <c r="H70" s="419"/>
      <c r="I70" s="419"/>
      <c r="J70" s="419"/>
      <c r="K70" s="419"/>
      <c r="L70" s="419"/>
      <c r="M70" s="562"/>
      <c r="N70" s="563"/>
      <c r="P70" s="560"/>
      <c r="Q70" s="560"/>
      <c r="R70" s="561"/>
      <c r="S70" s="561"/>
      <c r="U70" s="329"/>
      <c r="V70" s="329"/>
      <c r="W70" s="329"/>
      <c r="X70" s="376"/>
      <c r="Y70" s="376"/>
      <c r="Z70" s="376"/>
      <c r="AA70" s="263"/>
      <c r="AB70" s="263"/>
      <c r="AH70" s="8"/>
      <c r="AI70" s="8"/>
      <c r="AJ70" s="8"/>
      <c r="AK70" s="8"/>
    </row>
    <row r="71" spans="2:38" s="268" customFormat="1" ht="19.350000000000001" customHeight="1">
      <c r="B71" s="263"/>
      <c r="C71" s="557"/>
      <c r="D71" s="421"/>
      <c r="E71" s="422"/>
      <c r="F71" s="422"/>
      <c r="G71" s="422"/>
      <c r="H71" s="422"/>
      <c r="I71" s="422"/>
      <c r="J71" s="422"/>
      <c r="K71" s="422"/>
      <c r="L71" s="422"/>
      <c r="M71" s="575"/>
      <c r="N71" s="576"/>
      <c r="O71" s="577"/>
      <c r="P71" s="560"/>
      <c r="Q71" s="560"/>
      <c r="R71" s="561"/>
      <c r="S71" s="561"/>
      <c r="T71" s="568"/>
      <c r="U71" s="305" t="s">
        <v>5313</v>
      </c>
      <c r="V71" s="369" t="s">
        <v>87</v>
      </c>
      <c r="W71" s="263"/>
      <c r="X71" s="376"/>
      <c r="Y71" s="376"/>
      <c r="Z71" s="376"/>
      <c r="AA71" s="263"/>
      <c r="AB71" s="263"/>
      <c r="AH71" s="8"/>
      <c r="AI71" s="8"/>
      <c r="AJ71" s="8"/>
      <c r="AK71" s="8"/>
    </row>
    <row r="72" spans="2:38" s="268" customFormat="1" ht="32.1" customHeight="1">
      <c r="B72" s="263"/>
      <c r="C72" s="559"/>
      <c r="D72" s="781" t="s">
        <v>5312</v>
      </c>
      <c r="E72" s="394" t="s">
        <v>5043</v>
      </c>
      <c r="F72" s="284"/>
      <c r="G72" s="284"/>
      <c r="H72" s="395"/>
      <c r="I72" s="11"/>
      <c r="J72" s="12"/>
      <c r="K72" s="424" t="str">
        <f t="shared" ref="K72:K75" si="17">IF(I72="","",SUM(I72)-SUM(J72))</f>
        <v/>
      </c>
      <c r="L72" s="286" t="s">
        <v>68</v>
      </c>
      <c r="M72" s="1072" t="str">
        <f>IF($T$1=2022,"----------",IFERROR(IF(V72="","",$K72*V72),""))</f>
        <v/>
      </c>
      <c r="N72" s="569"/>
      <c r="P72" s="558"/>
      <c r="Q72" s="558"/>
      <c r="R72" s="556"/>
      <c r="S72" s="556"/>
      <c r="U72" s="171" t="s">
        <v>5043</v>
      </c>
      <c r="V72" s="222"/>
      <c r="W72" s="376"/>
      <c r="X72" s="376"/>
      <c r="Y72" s="376"/>
      <c r="Z72" s="376"/>
      <c r="AA72" s="263"/>
      <c r="AB72" s="263"/>
      <c r="AH72" s="8"/>
      <c r="AI72" s="8"/>
      <c r="AJ72" s="8"/>
      <c r="AK72" s="8"/>
    </row>
    <row r="73" spans="2:38" ht="32.1" customHeight="1">
      <c r="C73" s="557"/>
      <c r="D73" s="782"/>
      <c r="E73" s="402" t="s">
        <v>5044</v>
      </c>
      <c r="F73" s="361"/>
      <c r="G73" s="361"/>
      <c r="H73" s="296"/>
      <c r="I73" s="14"/>
      <c r="J73" s="15"/>
      <c r="K73" s="297" t="str">
        <f t="shared" si="17"/>
        <v/>
      </c>
      <c r="L73" s="298" t="s">
        <v>68</v>
      </c>
      <c r="M73" s="1073" t="str">
        <f>IF($T$1=2022,"----------",IFERROR(IF(V73="","",$K73*V73),""))</f>
        <v/>
      </c>
      <c r="N73" s="400"/>
      <c r="P73" s="558"/>
      <c r="Q73" s="558"/>
      <c r="R73" s="556"/>
      <c r="S73" s="556"/>
      <c r="U73" s="171" t="s">
        <v>5044</v>
      </c>
      <c r="V73" s="222"/>
      <c r="W73" s="263"/>
      <c r="X73" s="376"/>
      <c r="Y73" s="263"/>
      <c r="Z73" s="263"/>
      <c r="AA73" s="263"/>
      <c r="AB73" s="263"/>
      <c r="AL73" s="268"/>
    </row>
    <row r="74" spans="2:38" ht="32.1" customHeight="1">
      <c r="C74" s="557"/>
      <c r="D74" s="782"/>
      <c r="E74" s="402" t="s">
        <v>5045</v>
      </c>
      <c r="F74" s="361"/>
      <c r="G74" s="361"/>
      <c r="H74" s="296"/>
      <c r="I74" s="14"/>
      <c r="J74" s="15"/>
      <c r="K74" s="297" t="str">
        <f t="shared" si="17"/>
        <v/>
      </c>
      <c r="L74" s="298" t="s">
        <v>68</v>
      </c>
      <c r="M74" s="1073" t="str">
        <f>IF($T$1=2022,"----------",IFERROR(IF(V74="","",$K74*V74),""))</f>
        <v/>
      </c>
      <c r="N74" s="400"/>
      <c r="P74" s="558"/>
      <c r="Q74" s="558"/>
      <c r="R74" s="556"/>
      <c r="S74" s="556"/>
      <c r="U74" s="171" t="s">
        <v>5045</v>
      </c>
      <c r="V74" s="222"/>
      <c r="W74" s="263"/>
      <c r="X74" s="376"/>
      <c r="Y74" s="263"/>
      <c r="Z74" s="263"/>
      <c r="AA74" s="263"/>
      <c r="AB74" s="263"/>
      <c r="AL74" s="268"/>
    </row>
    <row r="75" spans="2:38" ht="32.1" customHeight="1">
      <c r="C75" s="557"/>
      <c r="D75" s="782"/>
      <c r="E75" s="402" t="s">
        <v>5046</v>
      </c>
      <c r="F75" s="361"/>
      <c r="G75" s="361"/>
      <c r="H75" s="296"/>
      <c r="I75" s="14"/>
      <c r="J75" s="15"/>
      <c r="K75" s="297" t="str">
        <f t="shared" si="17"/>
        <v/>
      </c>
      <c r="L75" s="298" t="s">
        <v>68</v>
      </c>
      <c r="M75" s="1073" t="str">
        <f>IF($T$1=2022,"----------",IFERROR(IF(V75="","",$K75*V75),""))</f>
        <v/>
      </c>
      <c r="N75" s="400"/>
      <c r="P75" s="558"/>
      <c r="Q75" s="558"/>
      <c r="R75" s="556"/>
      <c r="S75" s="556"/>
      <c r="U75" s="171" t="s">
        <v>5046</v>
      </c>
      <c r="V75" s="222"/>
      <c r="W75" s="263"/>
      <c r="X75" s="376"/>
      <c r="Y75" s="263"/>
      <c r="Z75" s="263"/>
      <c r="AA75" s="263"/>
      <c r="AB75" s="263"/>
      <c r="AC75" s="427"/>
      <c r="AF75" s="427"/>
      <c r="AG75" s="427"/>
    </row>
    <row r="76" spans="2:38" ht="32.1" customHeight="1" thickBot="1">
      <c r="C76" s="557"/>
      <c r="D76" s="783"/>
      <c r="E76" s="428" t="str">
        <f>"その他 （"&amp;U76&amp;"）"</f>
        <v>その他 （）</v>
      </c>
      <c r="F76" s="429"/>
      <c r="G76" s="429"/>
      <c r="H76" s="430"/>
      <c r="I76" s="27"/>
      <c r="J76" s="28"/>
      <c r="K76" s="431" t="str">
        <f>IF(I76="","",SUM(I76)-SUM(J76))</f>
        <v/>
      </c>
      <c r="L76" s="298" t="s">
        <v>68</v>
      </c>
      <c r="M76" s="1073" t="str">
        <f>IF($T$1=2022,"----------",IFERROR(IF(V76="","",$K76*V76),""))</f>
        <v/>
      </c>
      <c r="N76" s="472"/>
      <c r="P76" s="558"/>
      <c r="Q76" s="556"/>
      <c r="R76" s="556"/>
      <c r="S76" s="556"/>
      <c r="U76" s="26"/>
      <c r="V76" s="222"/>
      <c r="W76" s="263"/>
      <c r="X76" s="376"/>
      <c r="Y76" s="263"/>
      <c r="Z76" s="263"/>
      <c r="AA76" s="263"/>
      <c r="AB76" s="263"/>
      <c r="AC76" s="377"/>
      <c r="AF76" s="377"/>
      <c r="AG76" s="377"/>
    </row>
    <row r="77" spans="2:38" ht="19.350000000000001" customHeight="1" thickTop="1">
      <c r="C77" s="502"/>
      <c r="D77" s="434"/>
      <c r="E77" s="435"/>
      <c r="F77" s="436" t="s">
        <v>5047</v>
      </c>
      <c r="G77" s="437"/>
      <c r="H77" s="438"/>
      <c r="I77" s="439">
        <f>SUM(I61,I63,I65,I67,I69,I72:I76)</f>
        <v>0</v>
      </c>
      <c r="J77" s="440">
        <f>SUM(J61,J63,J65,J67,J69,J72:J76)</f>
        <v>0</v>
      </c>
      <c r="K77" s="440">
        <f>SUM(K61,K63,K65,K67,K69,K72:K76)</f>
        <v>0</v>
      </c>
      <c r="L77" s="441" t="s">
        <v>68</v>
      </c>
      <c r="M77" s="1080">
        <f>SUM(M61,M63,M65,M67,M69,M72:M76)</f>
        <v>0</v>
      </c>
      <c r="N77" s="442"/>
      <c r="P77" s="570"/>
      <c r="Q77" s="570"/>
      <c r="R77" s="570"/>
      <c r="S77" s="570"/>
      <c r="U77" s="376"/>
      <c r="V77" s="376"/>
      <c r="W77" s="263"/>
      <c r="X77" s="376"/>
      <c r="Y77" s="263"/>
      <c r="Z77" s="263"/>
      <c r="AA77" s="263"/>
      <c r="AB77" s="263"/>
      <c r="AC77" s="377"/>
      <c r="AD77" s="427"/>
      <c r="AE77" s="427"/>
      <c r="AF77" s="377"/>
      <c r="AG77" s="377"/>
    </row>
    <row r="78" spans="2:38" ht="19.350000000000001" customHeight="1" thickBot="1">
      <c r="C78" s="784" t="s">
        <v>72</v>
      </c>
      <c r="D78" s="785"/>
      <c r="E78" s="785"/>
      <c r="F78" s="785"/>
      <c r="G78" s="785"/>
      <c r="H78" s="786"/>
      <c r="I78" s="443">
        <f>SUM(I60,I62,I64,I66,I68,I72:I76)</f>
        <v>0</v>
      </c>
      <c r="J78" s="444">
        <f>SUM(J60,J62,J64,J66,J68,J72:J76)</f>
        <v>0</v>
      </c>
      <c r="K78" s="444">
        <f>SUM(K60,K62,K64,K66,K68,K72:K76)</f>
        <v>0</v>
      </c>
      <c r="L78" s="445" t="s">
        <v>68</v>
      </c>
      <c r="M78" s="1081">
        <f>SUM(M60,M62,M64,M66,M68,M72:M76)</f>
        <v>0</v>
      </c>
      <c r="N78" s="446">
        <f>SUM(N60:N69)</f>
        <v>0</v>
      </c>
      <c r="P78"/>
      <c r="Q78"/>
      <c r="R78"/>
      <c r="S78"/>
      <c r="U78" s="263"/>
      <c r="V78" s="263"/>
      <c r="W78" s="263"/>
      <c r="X78" s="263"/>
      <c r="Y78" s="263"/>
      <c r="Z78" s="263"/>
      <c r="AA78" s="263"/>
      <c r="AB78" s="263"/>
      <c r="AC78" s="377"/>
      <c r="AD78" s="377"/>
      <c r="AE78" s="377"/>
      <c r="AF78" s="377"/>
      <c r="AG78" s="377"/>
    </row>
    <row r="79" spans="2:38" ht="19.350000000000001" customHeight="1" thickBot="1">
      <c r="C79" s="762" t="s">
        <v>5290</v>
      </c>
      <c r="D79" s="763"/>
      <c r="E79" s="763"/>
      <c r="F79" s="763"/>
      <c r="G79" s="763"/>
      <c r="H79" s="764"/>
      <c r="I79" s="735" t="s">
        <v>127</v>
      </c>
      <c r="J79" s="737" t="s">
        <v>40</v>
      </c>
      <c r="K79" s="739" t="s">
        <v>41</v>
      </c>
      <c r="L79" s="741" t="s">
        <v>42</v>
      </c>
      <c r="M79" s="760" t="s">
        <v>5183</v>
      </c>
      <c r="N79" s="745" t="s">
        <v>5184</v>
      </c>
      <c r="P79"/>
      <c r="Q79"/>
      <c r="R79"/>
      <c r="S79"/>
      <c r="U79" s="731" t="s">
        <v>5048</v>
      </c>
      <c r="V79" s="715" t="s">
        <v>5291</v>
      </c>
      <c r="W79" s="715" t="s">
        <v>5292</v>
      </c>
      <c r="X79" s="715" t="s">
        <v>5049</v>
      </c>
      <c r="Y79" s="715" t="s">
        <v>5392</v>
      </c>
      <c r="Z79" s="715" t="s">
        <v>5395</v>
      </c>
      <c r="AA79" s="715" t="s">
        <v>5396</v>
      </c>
      <c r="AB79" s="448"/>
      <c r="AC79" s="377"/>
      <c r="AD79" s="377"/>
      <c r="AE79" s="377"/>
      <c r="AF79" s="377"/>
      <c r="AG79" s="377"/>
    </row>
    <row r="80" spans="2:38" ht="19.350000000000001" customHeight="1">
      <c r="C80" s="790"/>
      <c r="D80" s="791"/>
      <c r="E80" s="791"/>
      <c r="F80" s="791"/>
      <c r="G80" s="791"/>
      <c r="H80" s="792"/>
      <c r="I80" s="736"/>
      <c r="J80" s="738"/>
      <c r="K80" s="740"/>
      <c r="L80" s="742"/>
      <c r="M80" s="744"/>
      <c r="N80" s="746"/>
      <c r="P80" s="547" t="s">
        <v>5255</v>
      </c>
      <c r="Q80" s="547" t="s">
        <v>5256</v>
      </c>
      <c r="R80" s="547" t="s">
        <v>5059</v>
      </c>
      <c r="S80" s="547" t="s">
        <v>5209</v>
      </c>
      <c r="U80" s="732"/>
      <c r="V80" s="716"/>
      <c r="W80" s="716"/>
      <c r="X80" s="716"/>
      <c r="Y80" s="716"/>
      <c r="Z80" s="716"/>
      <c r="AA80" s="716"/>
      <c r="AB80" s="448"/>
      <c r="AC80" s="377"/>
      <c r="AD80" s="377"/>
      <c r="AE80" s="377"/>
      <c r="AF80" s="377"/>
      <c r="AG80" s="377"/>
    </row>
    <row r="81" spans="1:34" ht="19.350000000000001" customHeight="1">
      <c r="C81" s="449"/>
      <c r="D81" s="410" t="s">
        <v>5295</v>
      </c>
      <c r="E81" s="273"/>
      <c r="F81" s="419"/>
      <c r="G81" s="419"/>
      <c r="H81" s="395"/>
      <c r="I81" s="450" t="str">
        <f>IF(COUNTBLANK(V81:W85)=10,"",SUM(I82:I83))</f>
        <v/>
      </c>
      <c r="J81" s="451"/>
      <c r="K81" s="452" t="str">
        <f>I81</f>
        <v/>
      </c>
      <c r="L81" s="578" t="s">
        <v>5190</v>
      </c>
      <c r="M81" s="1082" t="str">
        <f>IF(COUNTBLANK(V81:W85)=10,"",SUM(M82,M83))</f>
        <v/>
      </c>
      <c r="N81" s="287" t="str">
        <f>IF(COUNTBLANK(V81:W85)=10,"",SUM(N82,N83))</f>
        <v/>
      </c>
      <c r="P81" s="454"/>
      <c r="Q81" s="454"/>
      <c r="R81" s="454"/>
      <c r="S81" s="454"/>
      <c r="U81" s="227"/>
      <c r="V81" s="223"/>
      <c r="W81" s="223"/>
      <c r="X81" s="225"/>
      <c r="Y81" s="226"/>
      <c r="Z81" s="455" t="str">
        <f>IF(V81="","",V81*Y81)</f>
        <v/>
      </c>
      <c r="AA81" s="455" t="str">
        <f>IF(W81="","",W81*Y81)</f>
        <v/>
      </c>
      <c r="AB81" s="447"/>
      <c r="AC81" s="457"/>
      <c r="AD81" s="377"/>
      <c r="AE81" s="377"/>
      <c r="AF81" s="457"/>
      <c r="AG81" s="457"/>
    </row>
    <row r="82" spans="1:34" ht="19.350000000000001" customHeight="1">
      <c r="C82" s="449"/>
      <c r="D82" s="410"/>
      <c r="E82" s="334" t="s">
        <v>5318</v>
      </c>
      <c r="F82" s="334"/>
      <c r="G82" s="458"/>
      <c r="H82" s="335"/>
      <c r="I82" s="459" t="str">
        <f>IF(COUNTBLANK(V81:W85)=10,"",V86)</f>
        <v/>
      </c>
      <c r="J82" s="460"/>
      <c r="K82" s="461" t="str">
        <f t="shared" ref="K82:K85" si="18">I82</f>
        <v/>
      </c>
      <c r="L82" s="462" t="s">
        <v>5397</v>
      </c>
      <c r="M82" s="1083" t="str">
        <f>IFERROR(IF(K82="","",$K82*R82),"-------------")</f>
        <v/>
      </c>
      <c r="N82" s="299" t="str">
        <f>IF(COUNTBLANK(V81:W85)=10,"",Z86)</f>
        <v/>
      </c>
      <c r="P82" s="454" t="s">
        <v>5234</v>
      </c>
      <c r="Q82" s="454" t="s">
        <v>5234</v>
      </c>
      <c r="R82" s="454">
        <f t="shared" ref="R82:R86" si="19">IF($T$1=2022,VLOOKUP($P82,係数2022,7,0),VLOOKUP($Q82,係数2023,7,0))</f>
        <v>8.64</v>
      </c>
      <c r="S82" s="454"/>
      <c r="U82" s="227"/>
      <c r="V82" s="223"/>
      <c r="W82" s="223"/>
      <c r="X82" s="225"/>
      <c r="Y82" s="226"/>
      <c r="Z82" s="455" t="str">
        <f t="shared" ref="Z82:Z85" si="20">IF(V82="","",V82*Y82)</f>
        <v/>
      </c>
      <c r="AA82" s="455" t="str">
        <f t="shared" ref="AA82:AA85" si="21">IF(W82="","",W82*Y82)</f>
        <v/>
      </c>
      <c r="AB82" s="447"/>
      <c r="AC82" s="457"/>
      <c r="AD82" s="377"/>
      <c r="AE82" s="377"/>
      <c r="AF82" s="457"/>
      <c r="AG82" s="457"/>
    </row>
    <row r="83" spans="1:34" ht="19.350000000000001" customHeight="1">
      <c r="C83" s="449"/>
      <c r="D83" s="410"/>
      <c r="E83" s="334" t="s">
        <v>5319</v>
      </c>
      <c r="F83" s="334"/>
      <c r="G83" s="458"/>
      <c r="H83" s="463"/>
      <c r="I83" s="459" t="str">
        <f>IF(COUNTBLANK(V81:W85)=10,"",W86)</f>
        <v/>
      </c>
      <c r="J83" s="460"/>
      <c r="K83" s="461" t="str">
        <f t="shared" si="18"/>
        <v/>
      </c>
      <c r="L83" s="462" t="s">
        <v>5297</v>
      </c>
      <c r="M83" s="1083" t="str">
        <f>IFERROR(IF(K83="","",$K83*R83),"-------------")</f>
        <v/>
      </c>
      <c r="N83" s="299" t="str">
        <f>IF(COUNTBLANK(V81:W85)=10,"",AA86)</f>
        <v/>
      </c>
      <c r="P83" s="454" t="s">
        <v>5235</v>
      </c>
      <c r="Q83" s="454" t="s">
        <v>5235</v>
      </c>
      <c r="R83" s="454">
        <f t="shared" si="19"/>
        <v>8.64</v>
      </c>
      <c r="S83" s="454"/>
      <c r="U83" s="227"/>
      <c r="V83" s="223"/>
      <c r="W83" s="223"/>
      <c r="X83" s="225"/>
      <c r="Y83" s="226"/>
      <c r="Z83" s="455" t="str">
        <f t="shared" si="20"/>
        <v/>
      </c>
      <c r="AA83" s="455" t="str">
        <f t="shared" si="21"/>
        <v/>
      </c>
      <c r="AB83" s="447"/>
      <c r="AC83" s="8"/>
      <c r="AD83" s="457"/>
      <c r="AE83" s="457"/>
      <c r="AF83" s="8"/>
      <c r="AG83" s="8"/>
    </row>
    <row r="84" spans="1:34" ht="19.350000000000001" customHeight="1">
      <c r="C84" s="464" t="s">
        <v>5050</v>
      </c>
      <c r="D84" s="465"/>
      <c r="E84" s="39"/>
      <c r="F84" s="466" t="s">
        <v>5041</v>
      </c>
      <c r="G84" s="467"/>
      <c r="H84" s="430"/>
      <c r="I84" s="468" t="str">
        <f>IF($T$1=2022,"----------",IF(COUNTBLANK(V81:W85)=10,"",SUMPRODUCT(V81:V85,X81:X85)+SUMPRODUCT(W81:W85,X81:X85)))</f>
        <v/>
      </c>
      <c r="J84" s="469"/>
      <c r="K84" s="470" t="str">
        <f>I84</f>
        <v/>
      </c>
      <c r="L84" s="471" t="s">
        <v>5190</v>
      </c>
      <c r="M84" s="1084" t="str">
        <f>IF($T$1=2022,"----------",IF(M81&lt;&gt;"",K84*R84,""))</f>
        <v/>
      </c>
      <c r="N84" s="472"/>
      <c r="P84" s="454"/>
      <c r="Q84" s="454" t="s">
        <v>5298</v>
      </c>
      <c r="R84" s="454">
        <f t="shared" si="19"/>
        <v>8.64</v>
      </c>
      <c r="S84" s="454"/>
      <c r="U84" s="228"/>
      <c r="V84" s="223"/>
      <c r="W84" s="223"/>
      <c r="X84" s="225"/>
      <c r="Y84" s="226"/>
      <c r="Z84" s="455" t="str">
        <f t="shared" si="20"/>
        <v/>
      </c>
      <c r="AA84" s="455" t="str">
        <f t="shared" si="21"/>
        <v/>
      </c>
      <c r="AB84" s="447"/>
      <c r="AC84" s="8"/>
      <c r="AD84" s="8"/>
      <c r="AE84" s="8"/>
      <c r="AF84" s="8"/>
      <c r="AG84" s="8"/>
      <c r="AH84" s="268"/>
    </row>
    <row r="85" spans="1:34" ht="19.350000000000001" customHeight="1" thickBot="1">
      <c r="C85" s="464" t="s">
        <v>5299</v>
      </c>
      <c r="D85" s="410" t="s">
        <v>5301</v>
      </c>
      <c r="E85" s="273"/>
      <c r="F85" s="419"/>
      <c r="G85" s="419"/>
      <c r="H85" s="473"/>
      <c r="I85" s="474" t="str">
        <f>IF(COUNTBLANK(W91:W93)+COUNTBLANK(W97:W98)=5,"",W99)</f>
        <v/>
      </c>
      <c r="J85" s="475"/>
      <c r="K85" s="476" t="str">
        <f t="shared" si="18"/>
        <v/>
      </c>
      <c r="L85" s="477" t="s">
        <v>5190</v>
      </c>
      <c r="M85" s="1082" t="str">
        <f>IF(K85="","",IF(COUNTBLANK(W91:W93)+COUNTBLANK(W97:W98)=5,"",SUM(AB99)))</f>
        <v/>
      </c>
      <c r="N85" s="478" t="str">
        <f>IF(I85="","",SUMPRODUCT(W91:W93,Y91:Y93)+SUMPRODUCT(W97:W98,Y97:Y98))</f>
        <v/>
      </c>
      <c r="P85" s="479" t="s">
        <v>5300</v>
      </c>
      <c r="Q85" s="479" t="s">
        <v>5300</v>
      </c>
      <c r="R85" s="454">
        <f t="shared" si="19"/>
        <v>8.64</v>
      </c>
      <c r="S85" s="480"/>
      <c r="U85" s="229"/>
      <c r="V85" s="230"/>
      <c r="W85" s="230"/>
      <c r="X85" s="225"/>
      <c r="Y85" s="226"/>
      <c r="Z85" s="455" t="str">
        <f t="shared" si="20"/>
        <v/>
      </c>
      <c r="AA85" s="455" t="str">
        <f t="shared" si="21"/>
        <v/>
      </c>
      <c r="AB85" s="447"/>
      <c r="AC85" s="8"/>
      <c r="AD85" s="8"/>
      <c r="AE85" s="8"/>
      <c r="AF85" s="8"/>
      <c r="AG85" s="8"/>
      <c r="AH85" s="268"/>
    </row>
    <row r="86" spans="1:34" ht="19.350000000000001" customHeight="1" thickTop="1">
      <c r="C86" s="464"/>
      <c r="D86" s="465"/>
      <c r="E86" s="39"/>
      <c r="F86" s="466" t="s">
        <v>5041</v>
      </c>
      <c r="G86" s="467"/>
      <c r="H86" s="430"/>
      <c r="I86" s="468" t="str">
        <f>IF($T$1=2022,"----------",IF(COUNTBLANK(W91:W93)+COUNTBLANK(W97:W98)=5,"",SUMPRODUCT(W91:W98,X91:X98)))</f>
        <v/>
      </c>
      <c r="J86" s="469"/>
      <c r="K86" s="470" t="str">
        <f>I86</f>
        <v/>
      </c>
      <c r="L86" s="471" t="s">
        <v>5190</v>
      </c>
      <c r="M86" s="1084" t="str">
        <f>IF($T$1=2022,"----------",IF(COUNTBLANK(W91:W93)+COUNTBLANK(W97:W98)=5,"",SUM(AB99)*X99))</f>
        <v/>
      </c>
      <c r="N86" s="472"/>
      <c r="P86" s="479"/>
      <c r="Q86" s="479" t="s">
        <v>5300</v>
      </c>
      <c r="R86" s="454">
        <f t="shared" si="19"/>
        <v>8.64</v>
      </c>
      <c r="S86" s="480"/>
      <c r="U86" s="481" t="s">
        <v>118</v>
      </c>
      <c r="V86" s="482" t="str">
        <f>IF(COUNTBLANK(V81:V85)=5,"",SUM(V81:V85))</f>
        <v/>
      </c>
      <c r="W86" s="482" t="str">
        <f>IF(COUNTBLANK(W81:W85)=5,"",SUM(W81:W85))</f>
        <v/>
      </c>
      <c r="X86" s="483" t="str">
        <f>IF(COUNTBLANK(U81:U85)=5,"",
         IFERROR(
                 IF($T$1=2022,"---------------",
                        (SUMPRODUCT(V81:V85,X81:X85)+SUMPRODUCT(W81:W85,X81:X85))/SUM(V86,W86)),"使用量未入力"))</f>
        <v/>
      </c>
      <c r="Y86" s="484"/>
      <c r="Z86" s="485" t="str">
        <f>IF(COUNTBLANK(V81:V85)=5,"",SUM(Z81:Z85))</f>
        <v/>
      </c>
      <c r="AA86" s="485" t="str">
        <f>IF(COUNTBLANK(W81:W85)=5,"",SUM(AA81:AA85))</f>
        <v/>
      </c>
      <c r="AB86" s="456"/>
      <c r="AC86" s="8"/>
      <c r="AD86" s="8"/>
      <c r="AE86" s="8"/>
      <c r="AF86" s="8"/>
      <c r="AG86" s="8"/>
      <c r="AH86" s="268"/>
    </row>
    <row r="87" spans="1:34" ht="19.350000000000001" customHeight="1">
      <c r="C87" s="464"/>
      <c r="D87" s="486" t="s">
        <v>124</v>
      </c>
      <c r="E87" s="487"/>
      <c r="F87" s="488"/>
      <c r="G87" s="488"/>
      <c r="H87" s="489"/>
      <c r="I87" s="490"/>
      <c r="J87" s="491" t="str">
        <f>IF(W103="","",SUM(W103))</f>
        <v/>
      </c>
      <c r="K87" s="491" t="str">
        <f>IF(J87="","",-SUM(J87))</f>
        <v/>
      </c>
      <c r="L87" s="492" t="s">
        <v>5190</v>
      </c>
      <c r="M87" s="1085" t="str">
        <f>IF(K87="","",$K87*X103)</f>
        <v/>
      </c>
      <c r="N87" s="493" t="str">
        <f>IF(J87="","",-SUM(Z103))</f>
        <v/>
      </c>
      <c r="P87" s="454"/>
      <c r="Q87" s="454"/>
      <c r="R87" s="454"/>
      <c r="S87" s="480"/>
      <c r="U87" s="494"/>
      <c r="V87" s="447"/>
      <c r="W87" s="447"/>
      <c r="X87" s="495"/>
      <c r="Y87" s="447"/>
      <c r="Z87" s="456"/>
      <c r="AA87" s="456"/>
      <c r="AB87" s="456"/>
      <c r="AC87" s="8"/>
      <c r="AD87" s="8"/>
      <c r="AE87" s="8"/>
      <c r="AF87" s="8"/>
      <c r="AG87" s="8"/>
      <c r="AH87" s="268"/>
    </row>
    <row r="88" spans="1:34" ht="19.350000000000001" customHeight="1" thickBot="1">
      <c r="C88" s="496"/>
      <c r="D88" s="497" t="s">
        <v>5051</v>
      </c>
      <c r="E88" s="498"/>
      <c r="F88" s="498"/>
      <c r="G88" s="498"/>
      <c r="H88" s="499"/>
      <c r="I88" s="474" t="str">
        <f>IF($T$1=2022,"----------",IF(COUNTBLANK(W107:W110)=4,"",W111))</f>
        <v/>
      </c>
      <c r="J88" s="475"/>
      <c r="K88" s="476" t="str">
        <f>IF(T1=2022,"----------",IF(I88="","",SUM(I88)))</f>
        <v/>
      </c>
      <c r="L88" s="477" t="s">
        <v>5190</v>
      </c>
      <c r="M88" s="1086" t="str">
        <f>IF(COUNTBLANK(W107:W110)=4,"",K88*3.6)</f>
        <v/>
      </c>
      <c r="N88" s="500"/>
      <c r="P88" s="501"/>
      <c r="Q88" s="501"/>
      <c r="R88" s="501"/>
      <c r="S88" s="501"/>
      <c r="U88" s="494"/>
      <c r="V88" s="447"/>
      <c r="W88" s="447"/>
      <c r="X88" s="263"/>
      <c r="Y88" s="263"/>
      <c r="Z88" s="303"/>
      <c r="AA88" s="303"/>
      <c r="AB88" s="303"/>
      <c r="AC88" s="8"/>
      <c r="AD88" s="8"/>
      <c r="AE88" s="8"/>
      <c r="AF88" s="8"/>
      <c r="AG88" s="8"/>
      <c r="AH88" s="268"/>
    </row>
    <row r="89" spans="1:34" ht="19.350000000000001" customHeight="1" thickTop="1">
      <c r="C89" s="502"/>
      <c r="D89" s="434"/>
      <c r="E89" s="503"/>
      <c r="F89" s="787" t="s">
        <v>5047</v>
      </c>
      <c r="G89" s="788"/>
      <c r="H89" s="789"/>
      <c r="I89" s="504">
        <f>IF($T$1=2022,"----------",SUM(I84,I86,I88))</f>
        <v>0</v>
      </c>
      <c r="J89" s="505"/>
      <c r="K89" s="506">
        <f>IF($T$1=2022,"----------",SUM(K84,K86,K88))</f>
        <v>0</v>
      </c>
      <c r="L89" s="507" t="s">
        <v>5317</v>
      </c>
      <c r="M89" s="1080">
        <f>SUM(M84,M86,M88)</f>
        <v>0</v>
      </c>
      <c r="N89" s="508"/>
      <c r="P89" s="570"/>
      <c r="Q89" s="570"/>
      <c r="R89" s="570"/>
      <c r="S89" s="570"/>
      <c r="U89" s="723" t="s">
        <v>5302</v>
      </c>
      <c r="V89" s="725"/>
      <c r="W89" s="715" t="s">
        <v>3110</v>
      </c>
      <c r="X89" s="715" t="s">
        <v>5049</v>
      </c>
      <c r="Y89" s="715" t="s">
        <v>5392</v>
      </c>
      <c r="Z89" s="715" t="s">
        <v>5393</v>
      </c>
      <c r="AA89" s="715" t="s">
        <v>3108</v>
      </c>
      <c r="AB89" s="727" t="s">
        <v>5303</v>
      </c>
      <c r="AC89" s="8"/>
      <c r="AD89" s="8"/>
      <c r="AE89" s="8"/>
      <c r="AF89" s="8"/>
      <c r="AG89" s="8"/>
      <c r="AH89" s="268"/>
    </row>
    <row r="90" spans="1:34" ht="19.350000000000001" customHeight="1" thickBot="1">
      <c r="C90" s="784" t="s">
        <v>72</v>
      </c>
      <c r="D90" s="785"/>
      <c r="E90" s="785"/>
      <c r="F90" s="785"/>
      <c r="G90" s="785"/>
      <c r="H90" s="786"/>
      <c r="I90" s="509">
        <f>SUM(I81,I85,I87,I88)</f>
        <v>0</v>
      </c>
      <c r="J90" s="510">
        <f>SUM(J87)</f>
        <v>0</v>
      </c>
      <c r="K90" s="510">
        <f>SUM(K81,K85,K87,K88)</f>
        <v>0</v>
      </c>
      <c r="L90" s="511" t="s">
        <v>5317</v>
      </c>
      <c r="M90" s="1087">
        <f>SUM(M81,M85,M87,M88)</f>
        <v>0</v>
      </c>
      <c r="N90" s="512">
        <f>SUM(N81,N85,N87)</f>
        <v>0</v>
      </c>
      <c r="P90"/>
      <c r="Q90"/>
      <c r="R90"/>
      <c r="S90"/>
      <c r="U90" s="724"/>
      <c r="V90" s="726"/>
      <c r="W90" s="716"/>
      <c r="X90" s="716"/>
      <c r="Y90" s="716"/>
      <c r="Z90" s="716"/>
      <c r="AA90" s="716"/>
      <c r="AB90" s="728"/>
      <c r="AC90" s="8"/>
      <c r="AD90" s="8"/>
      <c r="AE90" s="8"/>
      <c r="AF90" s="8"/>
      <c r="AG90" s="8"/>
      <c r="AH90" s="268"/>
    </row>
    <row r="91" spans="1:34" ht="19.350000000000001" customHeight="1">
      <c r="C91" s="513"/>
      <c r="D91" s="513"/>
      <c r="E91" s="513"/>
      <c r="F91" s="513"/>
      <c r="G91" s="513"/>
      <c r="H91" s="513"/>
      <c r="I91" s="513"/>
      <c r="J91" s="513"/>
      <c r="K91" s="513"/>
      <c r="L91" s="513"/>
      <c r="M91" s="513"/>
      <c r="N91" s="513"/>
      <c r="P91"/>
      <c r="Q91"/>
      <c r="R91"/>
      <c r="S91"/>
      <c r="U91" s="514" t="s">
        <v>5304</v>
      </c>
      <c r="V91" s="515"/>
      <c r="W91" s="223"/>
      <c r="X91" s="516">
        <v>1</v>
      </c>
      <c r="Y91" s="517"/>
      <c r="Z91" s="455" t="str">
        <f>IF(W91="","",W91*Y91)</f>
        <v/>
      </c>
      <c r="AA91" s="518">
        <v>3.6</v>
      </c>
      <c r="AB91" s="519" t="str">
        <f>IF(W91="","",W91*AA91)</f>
        <v/>
      </c>
      <c r="AC91" s="8"/>
      <c r="AD91" s="8"/>
      <c r="AE91" s="8"/>
      <c r="AF91" s="8"/>
      <c r="AG91" s="8"/>
      <c r="AH91" s="268"/>
    </row>
    <row r="92" spans="1:34" ht="19.350000000000001" customHeight="1">
      <c r="C92" s="520"/>
      <c r="D92" s="520"/>
      <c r="E92" s="520"/>
      <c r="F92" s="520"/>
      <c r="G92" s="520"/>
      <c r="H92" s="520"/>
      <c r="I92" s="520"/>
      <c r="J92" s="520"/>
      <c r="K92" s="520"/>
      <c r="L92" s="520"/>
      <c r="M92" s="520"/>
      <c r="N92" s="520"/>
      <c r="P92"/>
      <c r="Q92"/>
      <c r="R92"/>
      <c r="S92"/>
      <c r="U92" s="514" t="s">
        <v>5305</v>
      </c>
      <c r="V92" s="515"/>
      <c r="W92" s="223"/>
      <c r="X92" s="516">
        <v>1</v>
      </c>
      <c r="Y92" s="517"/>
      <c r="Z92" s="455" t="str">
        <f>IF(W92="","",W92*Y92)</f>
        <v/>
      </c>
      <c r="AA92" s="518">
        <v>3.6</v>
      </c>
      <c r="AB92" s="519" t="str">
        <f t="shared" ref="AB92" si="22">IF(W92="","",W92*AA92)</f>
        <v/>
      </c>
      <c r="AC92" s="8"/>
      <c r="AD92" s="8"/>
      <c r="AE92" s="8"/>
      <c r="AF92" s="8"/>
      <c r="AG92" s="8"/>
      <c r="AH92" s="268"/>
    </row>
    <row r="93" spans="1:34" ht="19.350000000000001" customHeight="1" thickBot="1">
      <c r="C93" s="272" t="s">
        <v>5187</v>
      </c>
      <c r="D93" s="272"/>
      <c r="I93" s="520"/>
      <c r="J93" s="520"/>
      <c r="K93" s="520"/>
      <c r="L93" s="520"/>
      <c r="M93" s="520"/>
      <c r="N93" s="520"/>
      <c r="P93"/>
      <c r="Q93"/>
      <c r="R93"/>
      <c r="S93"/>
      <c r="U93" s="514" t="s">
        <v>5306</v>
      </c>
      <c r="V93" s="515"/>
      <c r="W93" s="224"/>
      <c r="X93" s="225"/>
      <c r="Y93" s="226"/>
      <c r="Z93" s="455" t="str">
        <f>IF(W93="","",W93*Y93)</f>
        <v/>
      </c>
      <c r="AA93" s="518">
        <v>8.64</v>
      </c>
      <c r="AB93" s="519" t="str">
        <f>IF(W93="","",W93*AA93)</f>
        <v/>
      </c>
      <c r="AC93" s="8"/>
      <c r="AD93" s="8"/>
      <c r="AE93" s="8"/>
      <c r="AF93" s="8"/>
      <c r="AG93" s="8"/>
      <c r="AH93" s="268"/>
    </row>
    <row r="94" spans="1:34" ht="19.350000000000001" customHeight="1">
      <c r="C94" s="700" t="s">
        <v>5307</v>
      </c>
      <c r="D94" s="701"/>
      <c r="E94" s="701"/>
      <c r="F94" s="799"/>
      <c r="G94" s="801" t="s">
        <v>5184</v>
      </c>
      <c r="H94" s="802"/>
      <c r="I94" s="520"/>
      <c r="J94" s="520"/>
      <c r="K94" s="761"/>
      <c r="L94" s="520"/>
      <c r="M94" s="520"/>
      <c r="N94" s="520"/>
      <c r="P94"/>
      <c r="Q94"/>
      <c r="R94"/>
      <c r="S94"/>
      <c r="U94" s="521"/>
      <c r="V94" s="522"/>
      <c r="W94" s="523"/>
      <c r="X94" s="524"/>
      <c r="Y94" s="525"/>
      <c r="Z94" s="523"/>
      <c r="AA94" s="523"/>
      <c r="AB94" s="526"/>
      <c r="AC94" s="8"/>
      <c r="AD94" s="8"/>
      <c r="AE94" s="8"/>
      <c r="AH94" s="268"/>
    </row>
    <row r="95" spans="1:34" ht="19.350000000000001" customHeight="1" thickBot="1">
      <c r="C95" s="703"/>
      <c r="D95" s="704"/>
      <c r="E95" s="704"/>
      <c r="F95" s="800"/>
      <c r="G95" s="803"/>
      <c r="H95" s="804"/>
      <c r="I95" s="520"/>
      <c r="J95" s="520"/>
      <c r="K95" s="761"/>
      <c r="L95" s="520"/>
      <c r="M95" s="520"/>
      <c r="N95" s="520"/>
      <c r="P95"/>
      <c r="Q95"/>
      <c r="R95"/>
      <c r="S95"/>
      <c r="U95" s="527"/>
      <c r="V95" s="729" t="s">
        <v>79</v>
      </c>
      <c r="W95" s="715" t="s">
        <v>3110</v>
      </c>
      <c r="X95" s="715" t="s">
        <v>5049</v>
      </c>
      <c r="Y95" s="715" t="s">
        <v>5392</v>
      </c>
      <c r="Z95" s="715" t="s">
        <v>5393</v>
      </c>
      <c r="AA95" s="715" t="s">
        <v>3108</v>
      </c>
      <c r="AB95" s="727" t="s">
        <v>5303</v>
      </c>
    </row>
    <row r="96" spans="1:34" ht="19.350000000000001" customHeight="1">
      <c r="A96" s="520"/>
      <c r="B96" s="520"/>
      <c r="C96" s="528" t="s">
        <v>5191</v>
      </c>
      <c r="D96" s="528"/>
      <c r="E96" s="380"/>
      <c r="F96" s="380"/>
      <c r="G96" s="811"/>
      <c r="H96" s="812"/>
      <c r="P96"/>
      <c r="Q96"/>
      <c r="R96"/>
      <c r="S96"/>
      <c r="U96" s="527" t="s">
        <v>125</v>
      </c>
      <c r="V96" s="730"/>
      <c r="W96" s="716"/>
      <c r="X96" s="716"/>
      <c r="Y96" s="716"/>
      <c r="Z96" s="716"/>
      <c r="AA96" s="716"/>
      <c r="AB96" s="728"/>
    </row>
    <row r="97" spans="2:38" ht="19.350000000000001" customHeight="1">
      <c r="C97" s="529" t="s">
        <v>5192</v>
      </c>
      <c r="D97" s="529"/>
      <c r="E97" s="361"/>
      <c r="F97" s="361"/>
      <c r="G97" s="809"/>
      <c r="H97" s="810"/>
      <c r="P97"/>
      <c r="Q97"/>
      <c r="R97"/>
      <c r="S97"/>
      <c r="U97" s="530"/>
      <c r="V97" s="224"/>
      <c r="W97" s="224"/>
      <c r="X97" s="225"/>
      <c r="Y97" s="226"/>
      <c r="Z97" s="455" t="str">
        <f t="shared" ref="Z97:Z98" si="23">IF(W97="","",X97*Y97)</f>
        <v/>
      </c>
      <c r="AA97" s="518">
        <f>IFERROR(IF($T$1=2022,VLOOKUP($U$96,係数2022,7,0),8.64),"-")</f>
        <v>8.64</v>
      </c>
      <c r="AB97" s="519" t="str">
        <f t="shared" ref="AB97:AB98" si="24">IF(W97="","",W97*AA97)</f>
        <v/>
      </c>
    </row>
    <row r="98" spans="2:38" ht="19.350000000000001" customHeight="1" thickBot="1">
      <c r="C98" s="529" t="s">
        <v>5193</v>
      </c>
      <c r="D98" s="529"/>
      <c r="E98" s="361"/>
      <c r="F98" s="361"/>
      <c r="G98" s="809"/>
      <c r="H98" s="810"/>
      <c r="P98"/>
      <c r="Q98"/>
      <c r="R98"/>
      <c r="S98"/>
      <c r="U98" s="531"/>
      <c r="V98" s="224"/>
      <c r="W98" s="224"/>
      <c r="X98" s="225"/>
      <c r="Y98" s="226"/>
      <c r="Z98" s="455" t="str">
        <f t="shared" si="23"/>
        <v/>
      </c>
      <c r="AA98" s="518">
        <f>IFERROR(IF($T$1=2022,VLOOKUP($U$96,係数2022,7,0),8.64),"-")</f>
        <v>8.64</v>
      </c>
      <c r="AB98" s="532" t="str">
        <f t="shared" si="24"/>
        <v/>
      </c>
    </row>
    <row r="99" spans="2:38" ht="19.350000000000001" customHeight="1" thickTop="1">
      <c r="C99" s="529" t="s">
        <v>137</v>
      </c>
      <c r="D99" s="529"/>
      <c r="E99" s="361"/>
      <c r="F99" s="361"/>
      <c r="G99" s="809"/>
      <c r="H99" s="810"/>
      <c r="P99"/>
      <c r="Q99"/>
      <c r="R99"/>
      <c r="S99"/>
      <c r="U99" s="533" t="s">
        <v>118</v>
      </c>
      <c r="V99" s="484"/>
      <c r="W99" s="534" t="str">
        <f>IF(COUNTBLANK(W91:W93)+COUNTBLANK(W97:W98)=5,"",SUM(W91:W93,W97:W98))</f>
        <v/>
      </c>
      <c r="X99" s="535" t="str">
        <f>IF(W99="","",SUM(SUMPRODUCT(W91:W93,X91:X93),SUMPRODUCT(W97:W98,X97:X98))/W99)</f>
        <v/>
      </c>
      <c r="Y99" s="484"/>
      <c r="Z99" s="536" t="str">
        <f>IF(W99="","",SUM(Z91:Z93,Z97:Z98))</f>
        <v/>
      </c>
      <c r="AA99" s="484"/>
      <c r="AB99" s="537" t="str">
        <f>IF(W99="","",SUM(AB91:AB93,AB97:AB98))</f>
        <v/>
      </c>
    </row>
    <row r="100" spans="2:38" ht="19.350000000000001" customHeight="1">
      <c r="C100" s="529" t="s">
        <v>138</v>
      </c>
      <c r="D100" s="529"/>
      <c r="E100" s="361"/>
      <c r="F100" s="361"/>
      <c r="G100" s="809"/>
      <c r="H100" s="810"/>
      <c r="P100"/>
      <c r="Q100"/>
      <c r="R100"/>
      <c r="S100"/>
      <c r="U100" s="263"/>
      <c r="V100" s="263"/>
      <c r="W100" s="263"/>
      <c r="X100" s="263"/>
      <c r="Y100" s="303"/>
      <c r="Z100" s="263"/>
      <c r="AA100" s="263"/>
      <c r="AB100" s="263"/>
      <c r="AH100" s="268"/>
    </row>
    <row r="101" spans="2:38" ht="19.350000000000001" customHeight="1">
      <c r="C101" s="529" t="s">
        <v>5194</v>
      </c>
      <c r="D101" s="529"/>
      <c r="E101" s="361"/>
      <c r="F101" s="361"/>
      <c r="G101" s="809"/>
      <c r="H101" s="810"/>
      <c r="P101"/>
      <c r="Q101"/>
      <c r="R101"/>
      <c r="S101"/>
      <c r="U101" s="719"/>
      <c r="V101" s="538"/>
      <c r="W101" s="715" t="s">
        <v>3109</v>
      </c>
      <c r="X101" s="715" t="s">
        <v>3108</v>
      </c>
      <c r="Y101" s="715" t="s">
        <v>5392</v>
      </c>
      <c r="Z101" s="715" t="s">
        <v>5394</v>
      </c>
      <c r="AA101" s="263"/>
      <c r="AB101" s="263"/>
      <c r="AH101" s="268"/>
    </row>
    <row r="102" spans="2:38" ht="19.350000000000001" customHeight="1" thickBot="1">
      <c r="C102" s="539" t="s">
        <v>5195</v>
      </c>
      <c r="D102" s="539"/>
      <c r="E102" s="429"/>
      <c r="F102" s="429"/>
      <c r="G102" s="807"/>
      <c r="H102" s="808"/>
      <c r="P102"/>
      <c r="Q102"/>
      <c r="R102"/>
      <c r="S102"/>
      <c r="U102" s="721"/>
      <c r="V102" s="540"/>
      <c r="W102" s="716"/>
      <c r="X102" s="716"/>
      <c r="Y102" s="716"/>
      <c r="Z102" s="716"/>
      <c r="AA102" s="263"/>
      <c r="AB102" s="263"/>
      <c r="AH102" s="268"/>
    </row>
    <row r="103" spans="2:38" ht="19.350000000000001" customHeight="1" thickTop="1" thickBot="1">
      <c r="C103" s="691" t="s">
        <v>140</v>
      </c>
      <c r="D103" s="692"/>
      <c r="E103" s="692"/>
      <c r="F103" s="693"/>
      <c r="G103" s="805" t="str">
        <f>IF(COUNTBLANK(G96:H102)=14,"",SUM(G96:H102))</f>
        <v/>
      </c>
      <c r="H103" s="806"/>
      <c r="P103"/>
      <c r="Q103"/>
      <c r="R103"/>
      <c r="S103"/>
      <c r="U103" s="717" t="s">
        <v>76</v>
      </c>
      <c r="V103" s="718"/>
      <c r="W103" s="223"/>
      <c r="X103" s="222"/>
      <c r="Y103" s="221"/>
      <c r="Z103" s="455" t="str">
        <f>IF(W103="","",W103*Y103)</f>
        <v/>
      </c>
      <c r="AA103" s="263"/>
      <c r="AB103" s="263"/>
      <c r="AH103" s="268"/>
    </row>
    <row r="104" spans="2:38" ht="19.350000000000001" customHeight="1">
      <c r="C104" s="273"/>
      <c r="D104" s="273"/>
      <c r="E104" s="273"/>
      <c r="F104" s="273"/>
      <c r="G104" s="541"/>
      <c r="H104" s="541"/>
      <c r="P104"/>
      <c r="Q104"/>
      <c r="R104"/>
      <c r="S104"/>
      <c r="U104" s="494"/>
      <c r="V104" s="494"/>
      <c r="W104" s="494"/>
      <c r="X104" s="494"/>
      <c r="Y104" s="494"/>
      <c r="Z104" s="494"/>
      <c r="AA104" s="494"/>
      <c r="AB104" s="263"/>
      <c r="AH104" s="268"/>
    </row>
    <row r="105" spans="2:38" s="268" customFormat="1" ht="19.350000000000001" customHeight="1">
      <c r="B105" s="263"/>
      <c r="P105"/>
      <c r="Q105"/>
      <c r="R105"/>
      <c r="S105"/>
      <c r="U105" s="719" t="s">
        <v>5052</v>
      </c>
      <c r="V105" s="720"/>
      <c r="W105" s="715" t="s">
        <v>5053</v>
      </c>
      <c r="X105" s="715" t="s">
        <v>3108</v>
      </c>
      <c r="Y105" s="263"/>
      <c r="Z105" s="303"/>
      <c r="AA105" s="263"/>
      <c r="AB105" s="263"/>
      <c r="AI105" s="8"/>
      <c r="AJ105" s="8"/>
      <c r="AK105" s="8"/>
      <c r="AL105" s="8"/>
    </row>
    <row r="106" spans="2:38" s="268" customFormat="1" ht="19.350000000000001" customHeight="1" thickBot="1">
      <c r="B106" s="263"/>
      <c r="C106" s="272" t="s">
        <v>141</v>
      </c>
      <c r="D106" s="272"/>
      <c r="P106"/>
      <c r="Q106"/>
      <c r="R106"/>
      <c r="S106"/>
      <c r="U106" s="721"/>
      <c r="V106" s="722"/>
      <c r="W106" s="716"/>
      <c r="X106" s="716"/>
      <c r="Y106" s="263"/>
      <c r="Z106" s="263"/>
      <c r="AA106" s="263"/>
      <c r="AB106" s="263"/>
      <c r="AI106" s="8"/>
      <c r="AJ106" s="8"/>
      <c r="AK106" s="8"/>
      <c r="AL106" s="8"/>
    </row>
    <row r="107" spans="2:38" s="268" customFormat="1" ht="19.350000000000001" customHeight="1">
      <c r="B107" s="263"/>
      <c r="C107" s="700" t="s">
        <v>5308</v>
      </c>
      <c r="D107" s="701"/>
      <c r="E107" s="701"/>
      <c r="F107" s="799"/>
      <c r="G107" s="801" t="s">
        <v>5184</v>
      </c>
      <c r="H107" s="802"/>
      <c r="P107"/>
      <c r="Q107"/>
      <c r="R107"/>
      <c r="S107"/>
      <c r="U107" s="542" t="s">
        <v>5054</v>
      </c>
      <c r="V107" s="543"/>
      <c r="W107" s="223"/>
      <c r="X107" s="544">
        <v>3.6</v>
      </c>
      <c r="Y107" s="447"/>
      <c r="Z107" s="263"/>
      <c r="AA107" s="263"/>
      <c r="AB107" s="263"/>
      <c r="AI107" s="8"/>
      <c r="AJ107" s="8"/>
      <c r="AK107" s="8"/>
      <c r="AL107" s="8"/>
    </row>
    <row r="108" spans="2:38" s="268" customFormat="1" ht="19.350000000000001" customHeight="1" thickBot="1">
      <c r="B108" s="263"/>
      <c r="C108" s="703"/>
      <c r="D108" s="704"/>
      <c r="E108" s="704"/>
      <c r="F108" s="800"/>
      <c r="G108" s="803"/>
      <c r="H108" s="804"/>
      <c r="P108"/>
      <c r="Q108"/>
      <c r="R108"/>
      <c r="S108"/>
      <c r="U108" s="542" t="s">
        <v>5055</v>
      </c>
      <c r="V108" s="543"/>
      <c r="W108" s="223"/>
      <c r="X108" s="544">
        <v>3.6</v>
      </c>
      <c r="Y108" s="447"/>
      <c r="Z108" s="263"/>
      <c r="AA108" s="263"/>
      <c r="AB108" s="263"/>
      <c r="AI108" s="8"/>
      <c r="AJ108" s="8"/>
      <c r="AK108" s="8"/>
      <c r="AL108" s="8"/>
    </row>
    <row r="109" spans="2:38" s="268" customFormat="1" ht="19.350000000000001" customHeight="1">
      <c r="B109" s="263"/>
      <c r="C109" s="819"/>
      <c r="D109" s="820"/>
      <c r="E109" s="820"/>
      <c r="F109" s="821"/>
      <c r="G109" s="811"/>
      <c r="H109" s="812"/>
      <c r="P109"/>
      <c r="Q109"/>
      <c r="R109"/>
      <c r="S109"/>
      <c r="U109" s="542" t="s">
        <v>5056</v>
      </c>
      <c r="V109" s="543"/>
      <c r="W109" s="223"/>
      <c r="X109" s="544">
        <v>3.6</v>
      </c>
      <c r="Y109" s="447"/>
      <c r="Z109" s="263"/>
      <c r="AA109" s="263"/>
      <c r="AB109" s="263"/>
      <c r="AI109" s="8"/>
      <c r="AJ109" s="8"/>
      <c r="AK109" s="8"/>
      <c r="AL109" s="8"/>
    </row>
    <row r="110" spans="2:38" s="268" customFormat="1" ht="19.350000000000001" customHeight="1" thickBot="1">
      <c r="B110" s="263"/>
      <c r="C110" s="816"/>
      <c r="D110" s="817"/>
      <c r="E110" s="817"/>
      <c r="F110" s="818"/>
      <c r="G110" s="809"/>
      <c r="H110" s="810"/>
      <c r="P110"/>
      <c r="Q110"/>
      <c r="R110"/>
      <c r="S110"/>
      <c r="U110" s="542" t="s">
        <v>5057</v>
      </c>
      <c r="V110" s="543"/>
      <c r="W110" s="223"/>
      <c r="X110" s="544">
        <v>3.6</v>
      </c>
      <c r="Y110" s="263"/>
      <c r="Z110" s="263"/>
      <c r="AA110" s="263"/>
      <c r="AB110" s="263"/>
      <c r="AI110" s="8"/>
      <c r="AJ110" s="8"/>
      <c r="AK110" s="8"/>
      <c r="AL110" s="8"/>
    </row>
    <row r="111" spans="2:38" s="268" customFormat="1" ht="19.350000000000001" customHeight="1" thickTop="1">
      <c r="B111" s="263"/>
      <c r="C111" s="816"/>
      <c r="D111" s="817"/>
      <c r="E111" s="817"/>
      <c r="F111" s="818"/>
      <c r="G111" s="809"/>
      <c r="H111" s="810"/>
      <c r="P111"/>
      <c r="Q111"/>
      <c r="R111"/>
      <c r="S111"/>
      <c r="U111" s="545" t="s">
        <v>118</v>
      </c>
      <c r="V111" s="546"/>
      <c r="W111" s="482">
        <f>SUM(W107:W110)</f>
        <v>0</v>
      </c>
      <c r="X111" s="484"/>
      <c r="Y111" s="303"/>
      <c r="Z111" s="263"/>
      <c r="AA111" s="263"/>
      <c r="AB111" s="263"/>
      <c r="AH111" s="8"/>
      <c r="AI111" s="8"/>
      <c r="AJ111" s="8"/>
      <c r="AK111" s="8"/>
    </row>
    <row r="112" spans="2:38" s="268" customFormat="1" ht="19.350000000000001" customHeight="1">
      <c r="B112" s="263"/>
      <c r="C112" s="816"/>
      <c r="D112" s="817"/>
      <c r="E112" s="817"/>
      <c r="F112" s="818"/>
      <c r="G112" s="809"/>
      <c r="H112" s="810"/>
      <c r="P112"/>
      <c r="Q112"/>
      <c r="R112"/>
      <c r="S112"/>
      <c r="U112" s="263"/>
      <c r="V112" s="263"/>
      <c r="W112" s="263"/>
      <c r="X112" s="263"/>
      <c r="Y112" s="263"/>
      <c r="Z112" s="263"/>
      <c r="AA112" s="263"/>
      <c r="AB112" s="263"/>
      <c r="AH112" s="8"/>
      <c r="AI112" s="8"/>
      <c r="AJ112" s="8"/>
      <c r="AK112" s="8"/>
    </row>
    <row r="113" spans="2:38" s="268" customFormat="1" ht="19.350000000000001" customHeight="1">
      <c r="B113" s="263"/>
      <c r="C113" s="816"/>
      <c r="D113" s="817"/>
      <c r="E113" s="817"/>
      <c r="F113" s="818"/>
      <c r="G113" s="809"/>
      <c r="H113" s="810"/>
      <c r="P113"/>
      <c r="Q113"/>
      <c r="R113"/>
      <c r="S113"/>
      <c r="U113" s="263"/>
      <c r="V113" s="263"/>
      <c r="W113" s="263"/>
      <c r="X113" s="263"/>
      <c r="Y113" s="263"/>
      <c r="Z113" s="263"/>
      <c r="AA113" s="263"/>
      <c r="AB113" s="263"/>
      <c r="AH113" s="8"/>
      <c r="AI113" s="8"/>
      <c r="AJ113" s="8"/>
      <c r="AK113" s="8"/>
    </row>
    <row r="114" spans="2:38" s="268" customFormat="1" ht="19.350000000000001" customHeight="1">
      <c r="B114" s="263"/>
      <c r="C114" s="816"/>
      <c r="D114" s="817"/>
      <c r="E114" s="817"/>
      <c r="F114" s="818"/>
      <c r="G114" s="809"/>
      <c r="H114" s="810"/>
      <c r="P114"/>
      <c r="Q114"/>
      <c r="R114"/>
      <c r="S114"/>
      <c r="AH114" s="8"/>
      <c r="AI114" s="8"/>
      <c r="AJ114" s="8"/>
      <c r="AK114" s="8"/>
    </row>
    <row r="115" spans="2:38" s="268" customFormat="1" ht="19.350000000000001" customHeight="1" thickBot="1">
      <c r="B115" s="263"/>
      <c r="C115" s="813"/>
      <c r="D115" s="814"/>
      <c r="E115" s="814"/>
      <c r="F115" s="815"/>
      <c r="G115" s="807"/>
      <c r="H115" s="808"/>
      <c r="P115"/>
      <c r="Q115"/>
      <c r="R115"/>
      <c r="S115"/>
      <c r="AH115" s="8"/>
      <c r="AI115" s="8"/>
      <c r="AJ115" s="8"/>
      <c r="AK115" s="8"/>
    </row>
    <row r="116" spans="2:38" s="268" customFormat="1" ht="18" customHeight="1" thickTop="1" thickBot="1">
      <c r="B116" s="263"/>
      <c r="C116" s="691" t="s">
        <v>140</v>
      </c>
      <c r="D116" s="692"/>
      <c r="E116" s="692"/>
      <c r="F116" s="693"/>
      <c r="G116" s="689" t="str">
        <f>IF(COUNTBLANK(G109:H115)=14,"",SUM(G109:H115))</f>
        <v/>
      </c>
      <c r="H116" s="690"/>
      <c r="P116"/>
      <c r="Q116"/>
      <c r="R116"/>
      <c r="S116"/>
      <c r="AH116" s="8"/>
      <c r="AI116" s="8"/>
      <c r="AJ116" s="8"/>
      <c r="AK116" s="8"/>
    </row>
    <row r="117" spans="2:38" s="268" customFormat="1" ht="18.600000000000001" customHeight="1">
      <c r="B117" s="263"/>
      <c r="O117" s="8"/>
      <c r="P117"/>
      <c r="Q117"/>
      <c r="R117"/>
      <c r="S117"/>
      <c r="AH117" s="8"/>
      <c r="AI117" s="8"/>
      <c r="AJ117" s="8"/>
      <c r="AK117" s="8"/>
    </row>
    <row r="118" spans="2:38" s="268" customFormat="1" ht="18.600000000000001" customHeight="1" thickBot="1">
      <c r="B118" s="263"/>
      <c r="C118" s="272" t="s">
        <v>143</v>
      </c>
      <c r="D118" s="272"/>
      <c r="O118" s="8"/>
      <c r="P118"/>
      <c r="Q118"/>
      <c r="R118"/>
      <c r="S118"/>
      <c r="AH118" s="8"/>
      <c r="AI118" s="8"/>
      <c r="AJ118" s="8"/>
      <c r="AK118" s="8"/>
    </row>
    <row r="119" spans="2:38" s="268" customFormat="1" ht="18" customHeight="1">
      <c r="B119" s="263"/>
      <c r="C119" s="700" t="s">
        <v>142</v>
      </c>
      <c r="D119" s="701"/>
      <c r="E119" s="701"/>
      <c r="F119" s="701"/>
      <c r="G119" s="701"/>
      <c r="H119" s="702"/>
      <c r="O119" s="8"/>
      <c r="P119"/>
      <c r="Q119"/>
      <c r="R119"/>
      <c r="S119"/>
      <c r="T119" s="8"/>
      <c r="AH119" s="8"/>
      <c r="AI119" s="8"/>
      <c r="AJ119" s="8"/>
      <c r="AK119" s="8"/>
    </row>
    <row r="120" spans="2:38" s="268" customFormat="1" ht="18" customHeight="1" thickBot="1">
      <c r="B120" s="263"/>
      <c r="C120" s="703"/>
      <c r="D120" s="704"/>
      <c r="E120" s="704"/>
      <c r="F120" s="704"/>
      <c r="G120" s="704"/>
      <c r="H120" s="705"/>
      <c r="P120"/>
      <c r="Q120"/>
      <c r="R120"/>
      <c r="S120"/>
      <c r="T120" s="8"/>
      <c r="Z120" s="377"/>
      <c r="AH120" s="8"/>
      <c r="AI120" s="8"/>
      <c r="AJ120" s="8"/>
      <c r="AK120" s="8"/>
    </row>
    <row r="121" spans="2:38" s="268" customFormat="1" ht="18.600000000000001" customHeight="1">
      <c r="B121" s="263"/>
      <c r="C121" s="697" t="s">
        <v>77</v>
      </c>
      <c r="D121" s="698"/>
      <c r="E121" s="698"/>
      <c r="F121" s="699"/>
      <c r="G121" s="958" t="str">
        <f>IF('事業所排出量内訳 (基準年度)'!G121="","",'事業所排出量内訳 (基準年度)'!G121)</f>
        <v/>
      </c>
      <c r="H121" s="959"/>
      <c r="P121"/>
      <c r="Q121"/>
      <c r="R121"/>
      <c r="S121"/>
      <c r="T121" s="8"/>
      <c r="Z121" s="377"/>
      <c r="AH121" s="8"/>
      <c r="AI121" s="8"/>
      <c r="AJ121" s="8"/>
      <c r="AK121" s="8"/>
    </row>
    <row r="122" spans="2:38" s="268" customFormat="1">
      <c r="B122" s="263"/>
      <c r="C122" s="694" t="s">
        <v>161</v>
      </c>
      <c r="D122" s="695"/>
      <c r="E122" s="695"/>
      <c r="F122" s="696"/>
      <c r="G122" s="960" t="str">
        <f>IF('事業所排出量内訳 (基準年度)'!G122="","",'事業所排出量内訳 (基準年度)'!G122)</f>
        <v/>
      </c>
      <c r="H122" s="961"/>
      <c r="P122"/>
      <c r="Q122"/>
      <c r="R122"/>
      <c r="S122"/>
      <c r="Z122" s="377"/>
      <c r="AH122" s="8"/>
      <c r="AI122" s="8"/>
      <c r="AJ122" s="8"/>
      <c r="AK122" s="8"/>
    </row>
    <row r="123" spans="2:38" ht="18" thickBot="1">
      <c r="C123" s="712" t="s">
        <v>160</v>
      </c>
      <c r="D123" s="713"/>
      <c r="E123" s="713"/>
      <c r="F123" s="714"/>
      <c r="G123" s="706"/>
      <c r="H123" s="707"/>
      <c r="I123" s="270"/>
      <c r="P123"/>
      <c r="Q123"/>
      <c r="R123"/>
      <c r="S123"/>
      <c r="Z123" s="8"/>
      <c r="AL123" s="268"/>
    </row>
    <row r="124" spans="2:38" s="268" customFormat="1">
      <c r="B124" s="263"/>
      <c r="H124" s="270"/>
      <c r="P124"/>
      <c r="Q124"/>
      <c r="R124"/>
      <c r="S124"/>
      <c r="Z124" s="8"/>
      <c r="AH124" s="8"/>
      <c r="AI124" s="8"/>
      <c r="AJ124" s="8"/>
      <c r="AK124" s="8"/>
    </row>
    <row r="125" spans="2:38">
      <c r="Z125" s="8"/>
    </row>
    <row r="126" spans="2:38">
      <c r="AL126" s="268"/>
    </row>
    <row r="127" spans="2:38">
      <c r="U127" s="8"/>
      <c r="V127" s="8"/>
      <c r="W127" s="8"/>
    </row>
  </sheetData>
  <sheetProtection algorithmName="SHA-512" hashValue="Z+rM6EHXxmjvs/45SLavbtMfs2XLghsvLl+lkvh80pkV+k100Ty0Cw1pzGtNJggWGS0DFT07sOeRKMlaPxj1Iw==" saltValue="CLJqzsAVC9DsFpoNrjK8Hw==" spinCount="100000" sheet="1" objects="1" scenarios="1" selectLockedCells="1"/>
  <mergeCells count="118">
    <mergeCell ref="U8:U9"/>
    <mergeCell ref="V8:W9"/>
    <mergeCell ref="X9:Y9"/>
    <mergeCell ref="X10:Y10"/>
    <mergeCell ref="U15:U16"/>
    <mergeCell ref="V15:W16"/>
    <mergeCell ref="X16:Y16"/>
    <mergeCell ref="M1:N1"/>
    <mergeCell ref="C4:H5"/>
    <mergeCell ref="I4:I5"/>
    <mergeCell ref="J4:J5"/>
    <mergeCell ref="K4:K5"/>
    <mergeCell ref="L4:L5"/>
    <mergeCell ref="M4:M5"/>
    <mergeCell ref="N4:N5"/>
    <mergeCell ref="C36:H36"/>
    <mergeCell ref="C37:H38"/>
    <mergeCell ref="I37:I38"/>
    <mergeCell ref="J37:J38"/>
    <mergeCell ref="K37:K38"/>
    <mergeCell ref="L37:L38"/>
    <mergeCell ref="D17:E18"/>
    <mergeCell ref="D19:E20"/>
    <mergeCell ref="V20:W20"/>
    <mergeCell ref="M37:M38"/>
    <mergeCell ref="N37:N38"/>
    <mergeCell ref="F24:F25"/>
    <mergeCell ref="W31:X31"/>
    <mergeCell ref="X20:Y20"/>
    <mergeCell ref="D49:E50"/>
    <mergeCell ref="C57:H57"/>
    <mergeCell ref="C58:H59"/>
    <mergeCell ref="I58:I59"/>
    <mergeCell ref="J58:J59"/>
    <mergeCell ref="K58:K59"/>
    <mergeCell ref="L58:L59"/>
    <mergeCell ref="M58:M59"/>
    <mergeCell ref="N58:N59"/>
    <mergeCell ref="D60:D69"/>
    <mergeCell ref="D72:D76"/>
    <mergeCell ref="C78:H78"/>
    <mergeCell ref="C79:H80"/>
    <mergeCell ref="I79:I80"/>
    <mergeCell ref="J79:J80"/>
    <mergeCell ref="K79:K80"/>
    <mergeCell ref="L79:L80"/>
    <mergeCell ref="M79:M80"/>
    <mergeCell ref="Z79:Z80"/>
    <mergeCell ref="AA79:AA80"/>
    <mergeCell ref="F89:H89"/>
    <mergeCell ref="U89:U90"/>
    <mergeCell ref="V89:V90"/>
    <mergeCell ref="W89:W90"/>
    <mergeCell ref="X89:X90"/>
    <mergeCell ref="Y89:Y90"/>
    <mergeCell ref="Z89:Z90"/>
    <mergeCell ref="AA89:AA90"/>
    <mergeCell ref="N79:N80"/>
    <mergeCell ref="U79:U80"/>
    <mergeCell ref="V79:V80"/>
    <mergeCell ref="W79:W80"/>
    <mergeCell ref="X79:X80"/>
    <mergeCell ref="Y79:Y80"/>
    <mergeCell ref="AA95:AA96"/>
    <mergeCell ref="AB95:AB96"/>
    <mergeCell ref="G96:H96"/>
    <mergeCell ref="G97:H97"/>
    <mergeCell ref="G98:H98"/>
    <mergeCell ref="G99:H99"/>
    <mergeCell ref="AB89:AB90"/>
    <mergeCell ref="C90:H90"/>
    <mergeCell ref="C94:F95"/>
    <mergeCell ref="G94:H95"/>
    <mergeCell ref="K94:K95"/>
    <mergeCell ref="V95:V96"/>
    <mergeCell ref="W95:W96"/>
    <mergeCell ref="X95:X96"/>
    <mergeCell ref="Y95:Y96"/>
    <mergeCell ref="Z95:Z96"/>
    <mergeCell ref="Z101:Z102"/>
    <mergeCell ref="G102:H102"/>
    <mergeCell ref="C103:F103"/>
    <mergeCell ref="G103:H103"/>
    <mergeCell ref="U103:V103"/>
    <mergeCell ref="U105:V106"/>
    <mergeCell ref="W105:W106"/>
    <mergeCell ref="X105:X106"/>
    <mergeCell ref="G100:H100"/>
    <mergeCell ref="G101:H101"/>
    <mergeCell ref="U101:U102"/>
    <mergeCell ref="W101:W102"/>
    <mergeCell ref="X101:X102"/>
    <mergeCell ref="Y101:Y102"/>
    <mergeCell ref="C111:F111"/>
    <mergeCell ref="G111:H111"/>
    <mergeCell ref="C112:F112"/>
    <mergeCell ref="G112:H112"/>
    <mergeCell ref="C113:F113"/>
    <mergeCell ref="G113:H113"/>
    <mergeCell ref="C107:F108"/>
    <mergeCell ref="G107:H108"/>
    <mergeCell ref="C109:F109"/>
    <mergeCell ref="G109:H109"/>
    <mergeCell ref="C110:F110"/>
    <mergeCell ref="G110:H110"/>
    <mergeCell ref="C119:H120"/>
    <mergeCell ref="C121:F121"/>
    <mergeCell ref="G121:H121"/>
    <mergeCell ref="C122:F122"/>
    <mergeCell ref="G122:H122"/>
    <mergeCell ref="C123:F123"/>
    <mergeCell ref="G123:H123"/>
    <mergeCell ref="C114:F114"/>
    <mergeCell ref="G114:H114"/>
    <mergeCell ref="C115:F115"/>
    <mergeCell ref="G115:H115"/>
    <mergeCell ref="C116:F116"/>
    <mergeCell ref="G116:H116"/>
  </mergeCells>
  <phoneticPr fontId="1"/>
  <conditionalFormatting sqref="U33">
    <cfRule type="expression" priority="1">
      <formula>T1048575=2022</formula>
    </cfRule>
  </conditionalFormatting>
  <conditionalFormatting sqref="U36">
    <cfRule type="expression" priority="2">
      <formula>T1=2022</formula>
    </cfRule>
  </conditionalFormatting>
  <conditionalFormatting sqref="AA97:AA98">
    <cfRule type="expression" dxfId="9" priority="3">
      <formula>$T$1=2022</formula>
    </cfRule>
  </conditionalFormatting>
  <dataValidations count="2">
    <dataValidation imeMode="halfAlpha" allowBlank="1" showInputMessage="1" showErrorMessage="1" sqref="V68:W69 G123 W97:X98 I60:J69 W107:X110 I72:J76 W103:Y103 G109:G115 V56:W56 I6:J34 V72:V76 G96:G102 V62:W64 V81:X85 W91:X94" xr:uid="{7F022308-D0C7-43B7-84D7-54A93DE56E4B}"/>
    <dataValidation imeMode="hiragana" allowBlank="1" showInputMessage="1" showErrorMessage="1" sqref="C109:C115 U34 U62:U64 U68:U69 V95 V97:V98 U72:U76 U81:U85 U107:V110 U37 U56 G121:G122" xr:uid="{75A569D1-C2C9-40DB-A765-BBBC341EF042}"/>
  </dataValidations>
  <printOptions horizontalCentered="1"/>
  <pageMargins left="0.70866141732283472" right="0.55118110236220474" top="0.74803149606299213" bottom="0.74803149606299213" header="0.31496062992125984" footer="0.31496062992125984"/>
  <pageSetup paperSize="9" scale="32" orientation="portrait" verticalDpi="0" r:id="rId1"/>
  <headerFooter>
    <oddHeader>&amp;L様式第２号</oddHeader>
    <oddFooter>&amp;R&amp;8（事業所等用）</oddFooter>
  </headerFooter>
  <rowBreaks count="2" manualBreakCount="2">
    <brk id="35" min="2" max="33" man="1"/>
    <brk id="75" min="2" max="33"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1693-781B-41E0-909D-CE2C73F656A7}">
  <sheetPr codeName="Sheet15">
    <tabColor theme="6" tint="0.39997558519241921"/>
    <pageSetUpPr fitToPage="1"/>
  </sheetPr>
  <dimension ref="A1:AL127"/>
  <sheetViews>
    <sheetView showGridLines="0" view="pageBreakPreview" topLeftCell="C1" zoomScale="70" zoomScaleNormal="85" zoomScaleSheetLayoutView="70" workbookViewId="0">
      <selection activeCell="I6" sqref="I6"/>
    </sheetView>
  </sheetViews>
  <sheetFormatPr defaultColWidth="8.88671875" defaultRowHeight="17.399999999999999"/>
  <cols>
    <col min="1" max="1" width="4.88671875" style="268" customWidth="1"/>
    <col min="2" max="2" width="4.88671875" style="263" customWidth="1"/>
    <col min="3" max="3" width="4.44140625" style="268" customWidth="1"/>
    <col min="4" max="4" width="5.88671875" style="268" customWidth="1"/>
    <col min="5" max="5" width="9.44140625" style="268" customWidth="1"/>
    <col min="6" max="6" width="13.6640625" style="268" customWidth="1"/>
    <col min="7" max="7" width="10.44140625" style="268" customWidth="1"/>
    <col min="8" max="8" width="10.6640625" style="268" customWidth="1"/>
    <col min="9" max="13" width="9.109375" style="268" customWidth="1"/>
    <col min="14" max="14" width="10.6640625" style="268" customWidth="1"/>
    <col min="15" max="15" width="8.109375" style="268" hidden="1" customWidth="1"/>
    <col min="16" max="17" width="21.109375" style="268" hidden="1" customWidth="1"/>
    <col min="18" max="18" width="7.33203125" style="268" hidden="1" customWidth="1"/>
    <col min="19" max="19" width="9.44140625" style="268" hidden="1" customWidth="1"/>
    <col min="20" max="20" width="14.33203125" style="268" customWidth="1"/>
    <col min="21" max="21" width="34.33203125" style="268" bestFit="1" customWidth="1"/>
    <col min="22" max="27" width="13.44140625" style="268" customWidth="1"/>
    <col min="28" max="28" width="12.33203125" style="268" customWidth="1"/>
    <col min="29" max="31" width="9.88671875" style="268" customWidth="1"/>
    <col min="32" max="33" width="15.44140625" style="268" customWidth="1"/>
    <col min="34" max="34" width="8.33203125" style="8" customWidth="1"/>
    <col min="35" max="35" width="15.109375" style="8" customWidth="1"/>
    <col min="36" max="36" width="13.6640625" style="8" customWidth="1"/>
    <col min="37" max="37" width="14.6640625" style="8" customWidth="1"/>
    <col min="38" max="39" width="9.88671875" style="8" customWidth="1"/>
    <col min="40" max="16384" width="8.88671875" style="8"/>
  </cols>
  <sheetData>
    <row r="1" spans="1:37" ht="26.4">
      <c r="A1" s="262"/>
      <c r="C1" s="264" t="s">
        <v>139</v>
      </c>
      <c r="D1" s="264"/>
      <c r="E1" s="264"/>
      <c r="F1" s="264"/>
      <c r="G1" s="264"/>
      <c r="H1" s="265"/>
      <c r="I1" s="266"/>
      <c r="J1" s="266"/>
      <c r="K1" s="266"/>
      <c r="L1" s="267" t="s">
        <v>4160</v>
      </c>
      <c r="M1" s="793" t="str">
        <f>"（"&amp;はじめに!E4+3&amp;"年度）"</f>
        <v>（3年度）</v>
      </c>
      <c r="N1" s="793"/>
      <c r="T1" s="269">
        <f>はじめに!E4+3</f>
        <v>3</v>
      </c>
      <c r="U1" s="262"/>
      <c r="V1" s="262"/>
      <c r="W1" s="262"/>
      <c r="X1" s="262"/>
      <c r="Y1" s="262"/>
      <c r="Z1" s="262"/>
      <c r="AA1" s="262"/>
      <c r="AB1" s="262"/>
      <c r="AC1" s="262"/>
      <c r="AD1" s="262"/>
      <c r="AE1" s="262"/>
      <c r="AF1" s="262"/>
      <c r="AG1" s="262"/>
    </row>
    <row r="2" spans="1:37">
      <c r="G2" s="270"/>
      <c r="H2" s="270"/>
      <c r="I2" s="270"/>
      <c r="J2" s="270"/>
      <c r="K2" s="270"/>
      <c r="L2" s="270"/>
      <c r="M2" s="270"/>
      <c r="N2" s="270"/>
      <c r="T2" s="271"/>
    </row>
    <row r="3" spans="1:37" ht="22.2" thickBot="1">
      <c r="C3" s="272" t="s">
        <v>5254</v>
      </c>
      <c r="D3" s="272"/>
      <c r="E3" s="270"/>
      <c r="I3" s="270"/>
      <c r="J3" s="270"/>
      <c r="K3" s="270"/>
      <c r="L3" s="270"/>
      <c r="M3" s="270"/>
      <c r="N3" s="270"/>
      <c r="P3" s="272"/>
      <c r="Q3" s="272"/>
      <c r="R3" s="272"/>
      <c r="S3" s="272"/>
      <c r="T3" s="273"/>
      <c r="U3" s="272" t="s">
        <v>5254</v>
      </c>
      <c r="X3" s="274"/>
      <c r="Y3" s="274"/>
    </row>
    <row r="4" spans="1:37" ht="19.350000000000001" customHeight="1" thickBot="1">
      <c r="C4" s="762" t="s">
        <v>5257</v>
      </c>
      <c r="D4" s="763"/>
      <c r="E4" s="763"/>
      <c r="F4" s="763"/>
      <c r="G4" s="763"/>
      <c r="H4" s="764"/>
      <c r="I4" s="735" t="s">
        <v>127</v>
      </c>
      <c r="J4" s="737" t="s">
        <v>40</v>
      </c>
      <c r="K4" s="739" t="s">
        <v>41</v>
      </c>
      <c r="L4" s="741" t="s">
        <v>42</v>
      </c>
      <c r="M4" s="743" t="s">
        <v>5183</v>
      </c>
      <c r="N4" s="745" t="s">
        <v>5184</v>
      </c>
      <c r="O4" s="273"/>
      <c r="P4" s="272"/>
      <c r="Q4" s="272"/>
      <c r="R4" s="268">
        <f>IF(V4=0,0,1)</f>
        <v>0</v>
      </c>
      <c r="S4" s="272"/>
      <c r="T4" s="273"/>
      <c r="U4" s="275" t="s">
        <v>128</v>
      </c>
      <c r="V4" s="276">
        <f>SUM(M36,M57,M78,M90)</f>
        <v>0</v>
      </c>
      <c r="W4" s="277" t="s">
        <v>4186</v>
      </c>
    </row>
    <row r="5" spans="1:37" ht="19.350000000000001" customHeight="1">
      <c r="C5" s="765"/>
      <c r="D5" s="766"/>
      <c r="E5" s="766"/>
      <c r="F5" s="766"/>
      <c r="G5" s="766"/>
      <c r="H5" s="767"/>
      <c r="I5" s="736"/>
      <c r="J5" s="738"/>
      <c r="K5" s="740"/>
      <c r="L5" s="742"/>
      <c r="M5" s="744"/>
      <c r="N5" s="746"/>
      <c r="O5" s="273"/>
      <c r="P5" s="547" t="s">
        <v>5255</v>
      </c>
      <c r="Q5" s="547" t="s">
        <v>5256</v>
      </c>
      <c r="R5" s="547" t="s">
        <v>5059</v>
      </c>
      <c r="S5" s="547" t="s">
        <v>5209</v>
      </c>
      <c r="T5" s="273"/>
      <c r="U5" s="279" t="s">
        <v>129</v>
      </c>
      <c r="V5" s="280">
        <f>V4*0.0258</f>
        <v>0</v>
      </c>
      <c r="W5" s="281" t="s">
        <v>131</v>
      </c>
      <c r="X5" s="282"/>
    </row>
    <row r="6" spans="1:37" ht="19.350000000000001" customHeight="1" thickBot="1">
      <c r="C6" s="283"/>
      <c r="D6" s="77" t="s">
        <v>5258</v>
      </c>
      <c r="E6" s="10"/>
      <c r="F6" s="284"/>
      <c r="G6" s="284"/>
      <c r="H6" s="284"/>
      <c r="I6" s="11"/>
      <c r="J6" s="12"/>
      <c r="K6" s="285" t="str">
        <f t="shared" ref="K6:K33" si="0">IF(AND(I6="",J6=""),"",SUM(I6)-SUM(J6))</f>
        <v/>
      </c>
      <c r="L6" s="286" t="s">
        <v>5036</v>
      </c>
      <c r="M6" s="1072" t="str">
        <f t="shared" ref="M6:M33" si="1">IFERROR(IF(K6="","",$K6*R6),"----------")</f>
        <v/>
      </c>
      <c r="N6" s="287" t="str">
        <f t="shared" ref="N6:N33" si="2">IFERROR(IF(K6="","",$M6*S6*44/12),"----------")</f>
        <v/>
      </c>
      <c r="O6" s="288"/>
      <c r="P6" s="548" t="s">
        <v>120</v>
      </c>
      <c r="Q6" s="548" t="s">
        <v>120</v>
      </c>
      <c r="R6" s="548">
        <f t="shared" ref="R6:R34" si="3">IF($T$1=2022,VLOOKUP($P6,係数2022,7,0),VLOOKUP($Q6,係数2023,7,0))</f>
        <v>38.299999999999997</v>
      </c>
      <c r="S6" s="549">
        <f t="shared" ref="S6:S34" si="4">IF($T$1=2022,VLOOKUP($P6,係数2022,9,0),VLOOKUP($Q6,係数2023,9,0))</f>
        <v>1.9E-2</v>
      </c>
      <c r="T6" s="288"/>
      <c r="U6" s="291" t="s">
        <v>132</v>
      </c>
      <c r="V6" s="292">
        <f>ROUNDDOWN(SUM(N36,N57,N78,N90),0)</f>
        <v>0</v>
      </c>
      <c r="W6" s="293" t="s">
        <v>5185</v>
      </c>
    </row>
    <row r="7" spans="1:37" ht="19.350000000000001" customHeight="1">
      <c r="C7" s="294"/>
      <c r="D7" s="17" t="s">
        <v>5259</v>
      </c>
      <c r="E7" s="16"/>
      <c r="F7" s="295"/>
      <c r="G7" s="295"/>
      <c r="H7" s="296"/>
      <c r="I7" s="14"/>
      <c r="J7" s="15"/>
      <c r="K7" s="297" t="str">
        <f>IF(AND(I7="",J7=""),"",SUM(I7)-SUM(J7))</f>
        <v/>
      </c>
      <c r="L7" s="298" t="s">
        <v>5036</v>
      </c>
      <c r="M7" s="1073" t="str">
        <f t="shared" si="1"/>
        <v/>
      </c>
      <c r="N7" s="299" t="str">
        <f t="shared" si="2"/>
        <v/>
      </c>
      <c r="O7" s="288"/>
      <c r="P7" s="289" t="s">
        <v>121</v>
      </c>
      <c r="Q7" s="289" t="s">
        <v>121</v>
      </c>
      <c r="R7" s="289">
        <f t="shared" si="3"/>
        <v>34.799999999999997</v>
      </c>
      <c r="S7" s="290">
        <f t="shared" si="4"/>
        <v>1.83E-2</v>
      </c>
      <c r="T7" s="288"/>
    </row>
    <row r="8" spans="1:37" ht="19.350000000000001" customHeight="1">
      <c r="C8" s="294"/>
      <c r="D8" s="17" t="s">
        <v>5210</v>
      </c>
      <c r="E8" s="16"/>
      <c r="F8" s="295"/>
      <c r="G8" s="295"/>
      <c r="H8" s="296"/>
      <c r="I8" s="14"/>
      <c r="J8" s="15"/>
      <c r="K8" s="297" t="str">
        <f t="shared" si="0"/>
        <v/>
      </c>
      <c r="L8" s="298" t="s">
        <v>5036</v>
      </c>
      <c r="M8" s="1073" t="str">
        <f t="shared" si="1"/>
        <v/>
      </c>
      <c r="N8" s="299" t="str">
        <f t="shared" si="2"/>
        <v/>
      </c>
      <c r="O8" s="288"/>
      <c r="P8" s="289" t="s">
        <v>5210</v>
      </c>
      <c r="Q8" s="289" t="s">
        <v>5210</v>
      </c>
      <c r="R8" s="289">
        <f t="shared" si="3"/>
        <v>33.4</v>
      </c>
      <c r="S8" s="290">
        <f t="shared" si="4"/>
        <v>1.8700000000000001E-2</v>
      </c>
      <c r="T8" s="288"/>
      <c r="U8" s="752" t="s">
        <v>5013</v>
      </c>
      <c r="V8" s="719" t="s">
        <v>5014</v>
      </c>
      <c r="W8" s="967"/>
      <c r="X8" s="300"/>
      <c r="Y8" s="301"/>
      <c r="Z8" s="302"/>
      <c r="AA8" s="8"/>
      <c r="AB8" s="8"/>
      <c r="AC8" s="8"/>
      <c r="AD8" s="8"/>
      <c r="AE8" s="8"/>
      <c r="AF8" s="8"/>
    </row>
    <row r="9" spans="1:37" ht="19.350000000000001" customHeight="1">
      <c r="C9" s="294"/>
      <c r="D9" s="17" t="s">
        <v>44</v>
      </c>
      <c r="E9" s="16"/>
      <c r="F9" s="295"/>
      <c r="G9" s="295"/>
      <c r="H9" s="296"/>
      <c r="I9" s="14"/>
      <c r="J9" s="15"/>
      <c r="K9" s="297" t="str">
        <f t="shared" si="0"/>
        <v/>
      </c>
      <c r="L9" s="298" t="s">
        <v>5036</v>
      </c>
      <c r="M9" s="1073" t="str">
        <f t="shared" si="1"/>
        <v/>
      </c>
      <c r="N9" s="299" t="str">
        <f t="shared" si="2"/>
        <v/>
      </c>
      <c r="O9" s="288"/>
      <c r="P9" s="289" t="s">
        <v>44</v>
      </c>
      <c r="Q9" s="289" t="s">
        <v>44</v>
      </c>
      <c r="R9" s="289">
        <f t="shared" si="3"/>
        <v>33.299999999999997</v>
      </c>
      <c r="S9" s="290">
        <f t="shared" si="4"/>
        <v>1.8599999999999998E-2</v>
      </c>
      <c r="T9" s="288"/>
      <c r="U9" s="753"/>
      <c r="V9" s="721"/>
      <c r="W9" s="968"/>
      <c r="X9" s="717" t="s">
        <v>5015</v>
      </c>
      <c r="Y9" s="718"/>
      <c r="Z9" s="305" t="s">
        <v>5016</v>
      </c>
      <c r="AA9" s="8"/>
      <c r="AB9" s="8"/>
      <c r="AC9" s="8"/>
      <c r="AD9" s="8"/>
      <c r="AE9" s="8"/>
      <c r="AF9" s="8"/>
      <c r="AG9" s="8"/>
    </row>
    <row r="10" spans="1:37" ht="19.350000000000001" customHeight="1">
      <c r="C10" s="294"/>
      <c r="D10" s="17" t="s">
        <v>5211</v>
      </c>
      <c r="E10" s="16"/>
      <c r="F10" s="295"/>
      <c r="G10" s="295"/>
      <c r="H10" s="296"/>
      <c r="I10" s="14"/>
      <c r="J10" s="15"/>
      <c r="K10" s="297" t="str">
        <f t="shared" si="0"/>
        <v/>
      </c>
      <c r="L10" s="298" t="s">
        <v>5036</v>
      </c>
      <c r="M10" s="1073" t="str">
        <f t="shared" si="1"/>
        <v/>
      </c>
      <c r="N10" s="299" t="str">
        <f t="shared" si="2"/>
        <v/>
      </c>
      <c r="O10" s="288"/>
      <c r="P10" s="289" t="s">
        <v>5211</v>
      </c>
      <c r="Q10" s="289" t="s">
        <v>5211</v>
      </c>
      <c r="R10" s="289">
        <f t="shared" si="3"/>
        <v>36.299999999999997</v>
      </c>
      <c r="S10" s="290">
        <f t="shared" si="4"/>
        <v>1.8599999999999998E-2</v>
      </c>
      <c r="T10" s="288"/>
      <c r="U10" s="306" t="s">
        <v>5017</v>
      </c>
      <c r="V10" s="310">
        <f>M36</f>
        <v>0</v>
      </c>
      <c r="W10" s="311" t="s">
        <v>4186</v>
      </c>
      <c r="X10" s="758"/>
      <c r="Y10" s="759"/>
      <c r="Z10" s="309"/>
      <c r="AA10" s="8"/>
      <c r="AB10" s="8"/>
      <c r="AC10" s="8"/>
      <c r="AD10" s="8"/>
      <c r="AE10" s="8"/>
      <c r="AF10" s="8"/>
      <c r="AG10" s="8"/>
      <c r="AH10" s="268"/>
    </row>
    <row r="11" spans="1:37" ht="19.350000000000001" customHeight="1">
      <c r="C11" s="294"/>
      <c r="D11" s="17" t="s">
        <v>45</v>
      </c>
      <c r="E11" s="16"/>
      <c r="F11" s="295"/>
      <c r="G11" s="295"/>
      <c r="H11" s="296"/>
      <c r="I11" s="14"/>
      <c r="J11" s="15"/>
      <c r="K11" s="297" t="str">
        <f t="shared" si="0"/>
        <v/>
      </c>
      <c r="L11" s="298" t="s">
        <v>5036</v>
      </c>
      <c r="M11" s="1073" t="str">
        <f t="shared" si="1"/>
        <v/>
      </c>
      <c r="N11" s="299" t="str">
        <f t="shared" si="2"/>
        <v/>
      </c>
      <c r="O11" s="288"/>
      <c r="P11" s="289" t="s">
        <v>45</v>
      </c>
      <c r="Q11" s="289" t="s">
        <v>45</v>
      </c>
      <c r="R11" s="289">
        <f t="shared" si="3"/>
        <v>36.5</v>
      </c>
      <c r="S11" s="290">
        <f t="shared" si="4"/>
        <v>1.8700000000000001E-2</v>
      </c>
      <c r="T11" s="288"/>
      <c r="U11" s="306" t="s">
        <v>5018</v>
      </c>
      <c r="V11" s="310">
        <f>IF(T1=2022,"-------------------",SUM(M57))</f>
        <v>0</v>
      </c>
      <c r="W11" s="311" t="s">
        <v>4186</v>
      </c>
      <c r="X11" s="310">
        <f>IF(T1=2022,"-------------------",SUM(M57))</f>
        <v>0</v>
      </c>
      <c r="Y11" s="311" t="s">
        <v>4186</v>
      </c>
      <c r="Z11" s="312" t="str">
        <f>IF(T1=2022,"---------------",IF(V11&lt;&gt;0,X11/V11,"---------------"))</f>
        <v>---------------</v>
      </c>
      <c r="AA11" s="8"/>
      <c r="AB11" s="8"/>
      <c r="AC11" s="8"/>
      <c r="AD11" s="8"/>
      <c r="AE11" s="8"/>
      <c r="AF11" s="8"/>
      <c r="AI11" s="268"/>
      <c r="AJ11" s="268"/>
    </row>
    <row r="12" spans="1:37" ht="19.350000000000001" customHeight="1" thickBot="1">
      <c r="C12" s="294"/>
      <c r="D12" s="17" t="s">
        <v>46</v>
      </c>
      <c r="E12" s="16"/>
      <c r="F12" s="295"/>
      <c r="G12" s="295"/>
      <c r="H12" s="296"/>
      <c r="I12" s="14"/>
      <c r="J12" s="15"/>
      <c r="K12" s="297" t="str">
        <f t="shared" si="0"/>
        <v/>
      </c>
      <c r="L12" s="298" t="s">
        <v>5036</v>
      </c>
      <c r="M12" s="1073" t="str">
        <f t="shared" si="1"/>
        <v/>
      </c>
      <c r="N12" s="299" t="str">
        <f t="shared" si="2"/>
        <v/>
      </c>
      <c r="O12" s="288"/>
      <c r="P12" s="289" t="s">
        <v>46</v>
      </c>
      <c r="Q12" s="289" t="s">
        <v>46</v>
      </c>
      <c r="R12" s="289">
        <f t="shared" si="3"/>
        <v>38</v>
      </c>
      <c r="S12" s="290">
        <f t="shared" si="4"/>
        <v>1.8800000000000001E-2</v>
      </c>
      <c r="T12" s="288"/>
      <c r="U12" s="306" t="s">
        <v>5042</v>
      </c>
      <c r="V12" s="315">
        <f>SUM(M78)</f>
        <v>0</v>
      </c>
      <c r="W12" s="316" t="s">
        <v>4186</v>
      </c>
      <c r="X12" s="315">
        <f>IF(T1=2022,"-------------------",SUM(M77))</f>
        <v>0</v>
      </c>
      <c r="Y12" s="316" t="s">
        <v>4186</v>
      </c>
      <c r="Z12" s="317" t="str">
        <f>IF(T1=2022,"---------------",IF(V12=0,"---------------",X12/V12))</f>
        <v>---------------</v>
      </c>
      <c r="AA12" s="8"/>
      <c r="AB12" s="8"/>
      <c r="AC12" s="8"/>
      <c r="AD12" s="8"/>
      <c r="AE12" s="8"/>
      <c r="AF12" s="318"/>
      <c r="AG12" s="8"/>
      <c r="AI12" s="268"/>
      <c r="AJ12" s="268"/>
      <c r="AK12" s="268"/>
    </row>
    <row r="13" spans="1:37" ht="19.350000000000001" customHeight="1" thickTop="1">
      <c r="C13" s="319"/>
      <c r="D13" s="17" t="s">
        <v>47</v>
      </c>
      <c r="E13" s="16"/>
      <c r="F13" s="295"/>
      <c r="G13" s="295"/>
      <c r="H13" s="296"/>
      <c r="I13" s="14"/>
      <c r="J13" s="15"/>
      <c r="K13" s="297" t="str">
        <f t="shared" si="0"/>
        <v/>
      </c>
      <c r="L13" s="298" t="s">
        <v>5036</v>
      </c>
      <c r="M13" s="1073" t="str">
        <f t="shared" si="1"/>
        <v/>
      </c>
      <c r="N13" s="299" t="str">
        <f t="shared" si="2"/>
        <v/>
      </c>
      <c r="O13" s="288"/>
      <c r="P13" s="289" t="s">
        <v>47</v>
      </c>
      <c r="Q13" s="289" t="s">
        <v>47</v>
      </c>
      <c r="R13" s="289">
        <f t="shared" si="3"/>
        <v>38.9</v>
      </c>
      <c r="S13" s="290">
        <f t="shared" si="4"/>
        <v>1.9300000000000001E-2</v>
      </c>
      <c r="T13" s="288"/>
      <c r="U13" s="306" t="s">
        <v>5320</v>
      </c>
      <c r="V13" s="322">
        <f>SUM(V10:V12)</f>
        <v>0</v>
      </c>
      <c r="W13" s="323" t="s">
        <v>4186</v>
      </c>
      <c r="X13" s="322">
        <f>IF($T$1=2022,"-------------------",SUM(X11,X12))</f>
        <v>0</v>
      </c>
      <c r="Y13" s="323" t="s">
        <v>4186</v>
      </c>
      <c r="Z13" s="324">
        <f>IF($T$1=2022,"---------------",IF(X13=0,0,X13/V13))</f>
        <v>0</v>
      </c>
      <c r="AA13" s="8"/>
      <c r="AB13" s="8"/>
      <c r="AC13" s="8"/>
      <c r="AD13" s="8"/>
      <c r="AE13" s="8"/>
      <c r="AF13" s="318"/>
    </row>
    <row r="14" spans="1:37" ht="19.350000000000001" customHeight="1">
      <c r="C14" s="319"/>
      <c r="D14" s="325" t="s">
        <v>48</v>
      </c>
      <c r="E14" s="326"/>
      <c r="F14" s="327"/>
      <c r="G14" s="327"/>
      <c r="H14" s="328"/>
      <c r="I14" s="185"/>
      <c r="J14" s="15"/>
      <c r="K14" s="297" t="str">
        <f t="shared" si="0"/>
        <v/>
      </c>
      <c r="L14" s="298" t="s">
        <v>5036</v>
      </c>
      <c r="M14" s="1073" t="str">
        <f t="shared" si="1"/>
        <v/>
      </c>
      <c r="N14" s="299" t="str">
        <f t="shared" si="2"/>
        <v/>
      </c>
      <c r="O14" s="288"/>
      <c r="P14" s="289" t="s">
        <v>48</v>
      </c>
      <c r="Q14" s="289" t="s">
        <v>48</v>
      </c>
      <c r="R14" s="289">
        <f t="shared" si="3"/>
        <v>41.8</v>
      </c>
      <c r="S14" s="290">
        <f t="shared" si="4"/>
        <v>2.0199999999999999E-2</v>
      </c>
      <c r="T14" s="288"/>
      <c r="U14"/>
      <c r="V14" s="329"/>
      <c r="W14" s="329"/>
      <c r="X14" s="329"/>
      <c r="Y14" s="329"/>
      <c r="Z14" s="329"/>
      <c r="AA14"/>
      <c r="AB14" s="8"/>
      <c r="AC14" s="8"/>
      <c r="AD14" s="8"/>
      <c r="AE14" s="8"/>
    </row>
    <row r="15" spans="1:37" ht="19.350000000000001" customHeight="1">
      <c r="C15" s="319"/>
      <c r="D15" s="17" t="s">
        <v>49</v>
      </c>
      <c r="E15" s="16"/>
      <c r="F15" s="295"/>
      <c r="G15" s="295"/>
      <c r="H15" s="296"/>
      <c r="I15" s="185"/>
      <c r="J15" s="15"/>
      <c r="K15" s="297" t="str">
        <f t="shared" si="0"/>
        <v/>
      </c>
      <c r="L15" s="298" t="s">
        <v>5035</v>
      </c>
      <c r="M15" s="1073" t="str">
        <f t="shared" si="1"/>
        <v/>
      </c>
      <c r="N15" s="299" t="str">
        <f t="shared" si="2"/>
        <v/>
      </c>
      <c r="O15" s="288"/>
      <c r="P15" s="289" t="s">
        <v>49</v>
      </c>
      <c r="Q15" s="289" t="s">
        <v>49</v>
      </c>
      <c r="R15" s="289">
        <f t="shared" si="3"/>
        <v>40</v>
      </c>
      <c r="S15" s="290">
        <f t="shared" si="4"/>
        <v>2.0400000000000001E-2</v>
      </c>
      <c r="T15" s="288"/>
      <c r="U15" s="752" t="s">
        <v>5013</v>
      </c>
      <c r="V15" s="719" t="s">
        <v>5260</v>
      </c>
      <c r="W15" s="967"/>
      <c r="X15" s="300"/>
      <c r="Y15" s="301"/>
      <c r="Z15" s="302"/>
      <c r="AA15"/>
      <c r="AB15" s="8"/>
      <c r="AC15" s="8"/>
      <c r="AD15" s="8"/>
      <c r="AE15" s="8"/>
      <c r="AF15" s="8"/>
      <c r="AH15" s="268"/>
    </row>
    <row r="16" spans="1:37" ht="19.350000000000001" customHeight="1">
      <c r="C16" s="294"/>
      <c r="D16" s="330" t="s">
        <v>52</v>
      </c>
      <c r="E16" s="331"/>
      <c r="F16" s="295"/>
      <c r="G16" s="295"/>
      <c r="H16" s="296"/>
      <c r="I16" s="185"/>
      <c r="J16" s="15"/>
      <c r="K16" s="297" t="str">
        <f t="shared" si="0"/>
        <v/>
      </c>
      <c r="L16" s="298" t="s">
        <v>5035</v>
      </c>
      <c r="M16" s="1073" t="str">
        <f t="shared" si="1"/>
        <v/>
      </c>
      <c r="N16" s="299" t="str">
        <f t="shared" si="2"/>
        <v/>
      </c>
      <c r="O16" s="288"/>
      <c r="P16" s="289" t="s">
        <v>52</v>
      </c>
      <c r="Q16" s="289" t="s">
        <v>52</v>
      </c>
      <c r="R16" s="289">
        <f t="shared" si="3"/>
        <v>34.1</v>
      </c>
      <c r="S16" s="290">
        <f t="shared" si="4"/>
        <v>2.4500000000000001E-2</v>
      </c>
      <c r="T16" s="288"/>
      <c r="U16" s="753"/>
      <c r="V16" s="721"/>
      <c r="W16" s="968"/>
      <c r="X16" s="717" t="s">
        <v>5262</v>
      </c>
      <c r="Y16" s="718"/>
      <c r="Z16" s="305" t="s">
        <v>5016</v>
      </c>
    </row>
    <row r="17" spans="3:36" ht="19.350000000000001" customHeight="1">
      <c r="C17" s="319"/>
      <c r="D17" s="777" t="s">
        <v>53</v>
      </c>
      <c r="E17" s="778"/>
      <c r="F17" s="333" t="s">
        <v>5212</v>
      </c>
      <c r="G17" s="339"/>
      <c r="H17" s="335"/>
      <c r="I17" s="185"/>
      <c r="J17" s="15"/>
      <c r="K17" s="297" t="str">
        <f t="shared" si="0"/>
        <v/>
      </c>
      <c r="L17" s="298" t="s">
        <v>5035</v>
      </c>
      <c r="M17" s="1073" t="str">
        <f t="shared" si="1"/>
        <v/>
      </c>
      <c r="N17" s="299" t="str">
        <f t="shared" si="2"/>
        <v/>
      </c>
      <c r="O17" s="288"/>
      <c r="P17" s="289" t="s">
        <v>5212</v>
      </c>
      <c r="Q17" s="289" t="s">
        <v>5212</v>
      </c>
      <c r="R17" s="289">
        <f t="shared" si="3"/>
        <v>50.1</v>
      </c>
      <c r="S17" s="290">
        <f t="shared" si="4"/>
        <v>1.6299999999999999E-2</v>
      </c>
      <c r="T17" s="288"/>
      <c r="U17" s="306" t="s">
        <v>5019</v>
      </c>
      <c r="V17" s="550">
        <f>K90</f>
        <v>0</v>
      </c>
      <c r="W17" s="301" t="s">
        <v>5390</v>
      </c>
      <c r="X17" s="338">
        <f>K89</f>
        <v>0</v>
      </c>
      <c r="Y17" s="311" t="s">
        <v>5264</v>
      </c>
      <c r="Z17" s="312">
        <f>IF($T$1=2022,"----------",IF(V17=0,0,X17/V17))</f>
        <v>0</v>
      </c>
      <c r="AH17" s="268"/>
    </row>
    <row r="18" spans="3:36" ht="19.350000000000001" customHeight="1">
      <c r="C18" s="319"/>
      <c r="D18" s="779"/>
      <c r="E18" s="780"/>
      <c r="F18" s="268" t="s">
        <v>5404</v>
      </c>
      <c r="G18" s="16"/>
      <c r="H18" s="335"/>
      <c r="I18" s="185"/>
      <c r="J18" s="15"/>
      <c r="K18" s="297" t="str">
        <f t="shared" si="0"/>
        <v/>
      </c>
      <c r="L18" s="340" t="s">
        <v>5261</v>
      </c>
      <c r="M18" s="1073" t="str">
        <f t="shared" si="1"/>
        <v/>
      </c>
      <c r="N18" s="299" t="str">
        <f t="shared" si="2"/>
        <v/>
      </c>
      <c r="O18" s="288"/>
      <c r="P18" s="289" t="s">
        <v>5213</v>
      </c>
      <c r="Q18" s="289" t="s">
        <v>5213</v>
      </c>
      <c r="R18" s="289">
        <f t="shared" si="3"/>
        <v>46.1</v>
      </c>
      <c r="S18" s="290">
        <f t="shared" si="4"/>
        <v>1.44E-2</v>
      </c>
      <c r="T18" s="288"/>
      <c r="V18" s="263"/>
      <c r="W18" s="263"/>
      <c r="X18" s="263"/>
      <c r="Y18" s="263"/>
      <c r="Z18" s="263"/>
      <c r="AH18" s="268"/>
    </row>
    <row r="19" spans="3:36" ht="19.350000000000001" customHeight="1">
      <c r="C19" s="319" t="s">
        <v>5020</v>
      </c>
      <c r="D19" s="777" t="s">
        <v>56</v>
      </c>
      <c r="E19" s="778"/>
      <c r="F19" s="341" t="s">
        <v>5214</v>
      </c>
      <c r="G19" s="17"/>
      <c r="H19" s="335"/>
      <c r="I19" s="185"/>
      <c r="J19" s="15"/>
      <c r="K19" s="297" t="str">
        <f t="shared" si="0"/>
        <v/>
      </c>
      <c r="L19" s="298" t="s">
        <v>5035</v>
      </c>
      <c r="M19" s="1073" t="str">
        <f t="shared" si="1"/>
        <v/>
      </c>
      <c r="N19" s="299" t="str">
        <f t="shared" si="2"/>
        <v/>
      </c>
      <c r="O19" s="288"/>
      <c r="P19" s="289" t="s">
        <v>5214</v>
      </c>
      <c r="Q19" s="289" t="s">
        <v>5214</v>
      </c>
      <c r="R19" s="289">
        <f t="shared" si="3"/>
        <v>54.7</v>
      </c>
      <c r="S19" s="290">
        <f t="shared" si="4"/>
        <v>1.3899999999999999E-2</v>
      </c>
      <c r="T19" s="288"/>
      <c r="U19" s="342"/>
      <c r="V19" s="345" t="s">
        <v>5021</v>
      </c>
      <c r="W19" s="346"/>
      <c r="X19" s="345" t="s">
        <v>5022</v>
      </c>
      <c r="Y19" s="346"/>
      <c r="Z19" s="263"/>
      <c r="AH19" s="268"/>
    </row>
    <row r="20" spans="3:36" ht="19.350000000000001" customHeight="1">
      <c r="C20" s="319" t="s">
        <v>5023</v>
      </c>
      <c r="D20" s="779"/>
      <c r="E20" s="780"/>
      <c r="F20" s="339" t="s">
        <v>58</v>
      </c>
      <c r="G20" s="16"/>
      <c r="H20" s="335"/>
      <c r="I20" s="185"/>
      <c r="J20" s="15"/>
      <c r="K20" s="297" t="str">
        <f t="shared" si="0"/>
        <v/>
      </c>
      <c r="L20" s="340" t="s">
        <v>5261</v>
      </c>
      <c r="M20" s="1073" t="str">
        <f t="shared" si="1"/>
        <v/>
      </c>
      <c r="N20" s="299" t="str">
        <f t="shared" si="2"/>
        <v/>
      </c>
      <c r="O20" s="288"/>
      <c r="P20" s="289" t="s">
        <v>58</v>
      </c>
      <c r="Q20" s="289" t="s">
        <v>58</v>
      </c>
      <c r="R20" s="289">
        <f t="shared" si="3"/>
        <v>38.4</v>
      </c>
      <c r="S20" s="290">
        <f t="shared" si="4"/>
        <v>1.3899999999999999E-2</v>
      </c>
      <c r="T20" s="288"/>
      <c r="U20" s="306" t="s">
        <v>5265</v>
      </c>
      <c r="V20" s="751">
        <f>IF($T$1=2022,"----------",IF(X17=0,0,X17/V17))</f>
        <v>0</v>
      </c>
      <c r="W20" s="964"/>
      <c r="X20" s="751">
        <f>Z13</f>
        <v>0</v>
      </c>
      <c r="Y20" s="718"/>
      <c r="Z20" s="263"/>
      <c r="AH20" s="268"/>
    </row>
    <row r="21" spans="3:36" ht="19.350000000000001" customHeight="1">
      <c r="C21" s="319" t="s">
        <v>5024</v>
      </c>
      <c r="D21" s="347" t="s">
        <v>60</v>
      </c>
      <c r="E21" s="332"/>
      <c r="F21" s="348"/>
      <c r="G21" s="17" t="s">
        <v>5025</v>
      </c>
      <c r="H21" s="335"/>
      <c r="I21" s="185"/>
      <c r="J21" s="15"/>
      <c r="K21" s="297" t="str">
        <f t="shared" ref="K21" si="5">IF(AND(I21="",J21=""),"",SUM(I21)-SUM(J21))</f>
        <v/>
      </c>
      <c r="L21" s="298" t="s">
        <v>5035</v>
      </c>
      <c r="M21" s="1073" t="str">
        <f t="shared" si="1"/>
        <v/>
      </c>
      <c r="N21" s="299" t="str">
        <f t="shared" si="2"/>
        <v/>
      </c>
      <c r="O21" s="288"/>
      <c r="P21" s="289" t="s">
        <v>61</v>
      </c>
      <c r="Q21" s="289" t="s">
        <v>5025</v>
      </c>
      <c r="R21" s="289">
        <f t="shared" si="3"/>
        <v>28.7</v>
      </c>
      <c r="S21" s="290">
        <f t="shared" si="4"/>
        <v>2.46E-2</v>
      </c>
      <c r="T21" s="288"/>
      <c r="V21" s="263"/>
      <c r="W21" s="263"/>
      <c r="X21" s="263"/>
      <c r="Y21" s="263"/>
      <c r="Z21" s="263"/>
      <c r="AH21" s="268"/>
    </row>
    <row r="22" spans="3:36" ht="19.350000000000001" customHeight="1" thickBot="1">
      <c r="C22" s="319" t="s">
        <v>5026</v>
      </c>
      <c r="D22" s="349"/>
      <c r="E22" s="350"/>
      <c r="F22" s="351" t="s">
        <v>5027</v>
      </c>
      <c r="G22" s="17" t="s">
        <v>5028</v>
      </c>
      <c r="H22" s="335"/>
      <c r="I22" s="185"/>
      <c r="J22" s="15"/>
      <c r="K22" s="297" t="str">
        <f t="shared" si="0"/>
        <v/>
      </c>
      <c r="L22" s="298" t="s">
        <v>5035</v>
      </c>
      <c r="M22" s="1073" t="str">
        <f t="shared" si="1"/>
        <v/>
      </c>
      <c r="N22" s="299" t="str">
        <f t="shared" si="2"/>
        <v/>
      </c>
      <c r="O22" s="288"/>
      <c r="P22" s="551"/>
      <c r="Q22" s="289" t="s">
        <v>5028</v>
      </c>
      <c r="R22" s="289">
        <f t="shared" si="3"/>
        <v>28.9</v>
      </c>
      <c r="S22" s="290">
        <f t="shared" si="4"/>
        <v>2.4500000000000001E-2</v>
      </c>
      <c r="T22" s="288"/>
      <c r="U22" s="272" t="s">
        <v>5187</v>
      </c>
      <c r="AH22" s="268"/>
    </row>
    <row r="23" spans="3:36" ht="19.350000000000001" customHeight="1" thickBot="1">
      <c r="C23" s="294"/>
      <c r="D23" s="349"/>
      <c r="E23" s="350"/>
      <c r="F23" s="352"/>
      <c r="G23" s="17" t="s">
        <v>5029</v>
      </c>
      <c r="H23" s="335"/>
      <c r="I23" s="185"/>
      <c r="J23" s="15"/>
      <c r="K23" s="297" t="str">
        <f t="shared" ref="K23:K26" si="6">IF(AND(I23="",J23=""),"",SUM(I23)-SUM(J23))</f>
        <v/>
      </c>
      <c r="L23" s="298" t="s">
        <v>5035</v>
      </c>
      <c r="M23" s="1073" t="str">
        <f t="shared" si="1"/>
        <v/>
      </c>
      <c r="N23" s="299" t="str">
        <f t="shared" si="2"/>
        <v/>
      </c>
      <c r="O23" s="288"/>
      <c r="P23" s="551"/>
      <c r="Q23" s="289" t="s">
        <v>5029</v>
      </c>
      <c r="R23" s="289">
        <f t="shared" si="3"/>
        <v>28.3</v>
      </c>
      <c r="S23" s="290">
        <f t="shared" si="4"/>
        <v>2.5100000000000001E-2</v>
      </c>
      <c r="T23" s="288"/>
      <c r="U23" s="353" t="s">
        <v>132</v>
      </c>
      <c r="V23" s="354">
        <f>SUM(G103)</f>
        <v>0</v>
      </c>
      <c r="W23" s="355" t="s">
        <v>5185</v>
      </c>
      <c r="AH23" s="268"/>
    </row>
    <row r="24" spans="3:36" ht="19.350000000000001" customHeight="1">
      <c r="C24" s="294"/>
      <c r="D24" s="349"/>
      <c r="E24" s="350"/>
      <c r="F24" s="775" t="s">
        <v>5030</v>
      </c>
      <c r="G24" s="17" t="s">
        <v>5031</v>
      </c>
      <c r="H24" s="335"/>
      <c r="I24" s="185"/>
      <c r="J24" s="15"/>
      <c r="K24" s="297" t="str">
        <f t="shared" si="6"/>
        <v/>
      </c>
      <c r="L24" s="298" t="s">
        <v>5035</v>
      </c>
      <c r="M24" s="1073" t="str">
        <f t="shared" si="1"/>
        <v/>
      </c>
      <c r="N24" s="299" t="str">
        <f t="shared" si="2"/>
        <v/>
      </c>
      <c r="O24" s="288"/>
      <c r="P24" s="289" t="s">
        <v>5218</v>
      </c>
      <c r="Q24" s="289" t="s">
        <v>5031</v>
      </c>
      <c r="R24" s="289">
        <f t="shared" si="3"/>
        <v>26.1</v>
      </c>
      <c r="S24" s="290">
        <f t="shared" si="4"/>
        <v>2.4299999999999999E-2</v>
      </c>
      <c r="T24" s="288"/>
      <c r="AH24" s="268"/>
    </row>
    <row r="25" spans="3:36" ht="19.350000000000001" customHeight="1" thickBot="1">
      <c r="C25" s="294"/>
      <c r="D25" s="349"/>
      <c r="E25" s="350"/>
      <c r="F25" s="776"/>
      <c r="G25" s="356" t="s">
        <v>5032</v>
      </c>
      <c r="H25" s="335"/>
      <c r="I25" s="185"/>
      <c r="J25" s="15"/>
      <c r="K25" s="297" t="str">
        <f t="shared" si="6"/>
        <v/>
      </c>
      <c r="L25" s="298" t="s">
        <v>5035</v>
      </c>
      <c r="M25" s="1073" t="str">
        <f t="shared" si="1"/>
        <v/>
      </c>
      <c r="N25" s="299" t="str">
        <f t="shared" si="2"/>
        <v/>
      </c>
      <c r="O25" s="288"/>
      <c r="P25" s="551"/>
      <c r="Q25" s="289" t="s">
        <v>5032</v>
      </c>
      <c r="R25" s="289">
        <f t="shared" si="3"/>
        <v>24.2</v>
      </c>
      <c r="S25" s="290">
        <f t="shared" si="4"/>
        <v>2.4199999999999999E-2</v>
      </c>
      <c r="T25" s="288"/>
      <c r="U25" s="272" t="s">
        <v>141</v>
      </c>
      <c r="AH25" s="268"/>
    </row>
    <row r="26" spans="3:36" ht="19.350000000000001" customHeight="1" thickBot="1">
      <c r="C26" s="294"/>
      <c r="D26" s="349"/>
      <c r="E26" s="350"/>
      <c r="F26" s="357" t="s">
        <v>5033</v>
      </c>
      <c r="G26" s="358"/>
      <c r="H26" s="359"/>
      <c r="I26" s="185"/>
      <c r="J26" s="15"/>
      <c r="K26" s="297" t="str">
        <f t="shared" si="6"/>
        <v/>
      </c>
      <c r="L26" s="298" t="s">
        <v>5035</v>
      </c>
      <c r="M26" s="1073" t="str">
        <f t="shared" si="1"/>
        <v/>
      </c>
      <c r="N26" s="299" t="str">
        <f t="shared" si="2"/>
        <v/>
      </c>
      <c r="O26" s="288"/>
      <c r="P26" s="289" t="s">
        <v>5220</v>
      </c>
      <c r="Q26" s="289" t="s">
        <v>5033</v>
      </c>
      <c r="R26" s="289">
        <f t="shared" si="3"/>
        <v>27.8</v>
      </c>
      <c r="S26" s="290">
        <f t="shared" si="4"/>
        <v>2.5899999999999999E-2</v>
      </c>
      <c r="T26" s="288"/>
      <c r="U26" s="353" t="s">
        <v>165</v>
      </c>
      <c r="V26" s="354">
        <f>SUM(G116)</f>
        <v>0</v>
      </c>
      <c r="W26" s="355" t="s">
        <v>5185</v>
      </c>
      <c r="AH26" s="268"/>
    </row>
    <row r="27" spans="3:36" ht="19.350000000000001" customHeight="1" thickBot="1">
      <c r="C27" s="294"/>
      <c r="D27" s="17" t="s">
        <v>62</v>
      </c>
      <c r="E27" s="360"/>
      <c r="F27" s="16"/>
      <c r="G27" s="16"/>
      <c r="H27" s="335"/>
      <c r="I27" s="185"/>
      <c r="J27" s="15"/>
      <c r="K27" s="297" t="str">
        <f t="shared" si="0"/>
        <v/>
      </c>
      <c r="L27" s="298" t="s">
        <v>5035</v>
      </c>
      <c r="M27" s="1073" t="str">
        <f t="shared" si="1"/>
        <v/>
      </c>
      <c r="N27" s="299" t="str">
        <f t="shared" si="2"/>
        <v/>
      </c>
      <c r="O27" s="288"/>
      <c r="P27" s="289" t="s">
        <v>62</v>
      </c>
      <c r="Q27" s="289" t="s">
        <v>62</v>
      </c>
      <c r="R27" s="289">
        <f t="shared" si="3"/>
        <v>29</v>
      </c>
      <c r="S27" s="290">
        <f t="shared" si="4"/>
        <v>2.9899999999999999E-2</v>
      </c>
      <c r="T27" s="288"/>
      <c r="AH27" s="268"/>
    </row>
    <row r="28" spans="3:36" ht="19.350000000000001" customHeight="1" thickBot="1">
      <c r="C28" s="294"/>
      <c r="D28" s="17" t="s">
        <v>63</v>
      </c>
      <c r="E28" s="16"/>
      <c r="F28" s="361"/>
      <c r="G28" s="16"/>
      <c r="H28" s="335"/>
      <c r="I28" s="185"/>
      <c r="J28" s="15"/>
      <c r="K28" s="297" t="str">
        <f t="shared" si="0"/>
        <v/>
      </c>
      <c r="L28" s="298" t="s">
        <v>5035</v>
      </c>
      <c r="M28" s="1073" t="str">
        <f t="shared" si="1"/>
        <v/>
      </c>
      <c r="N28" s="299" t="str">
        <f t="shared" si="2"/>
        <v/>
      </c>
      <c r="O28" s="288"/>
      <c r="P28" s="289" t="s">
        <v>63</v>
      </c>
      <c r="Q28" s="289" t="s">
        <v>63</v>
      </c>
      <c r="R28" s="289">
        <f t="shared" si="3"/>
        <v>37.299999999999997</v>
      </c>
      <c r="S28" s="290">
        <f t="shared" si="4"/>
        <v>2.0899999999999998E-2</v>
      </c>
      <c r="T28" s="288"/>
      <c r="U28" s="362" t="s">
        <v>166</v>
      </c>
      <c r="V28" s="363">
        <f>SUM(V6,V23)-V26</f>
        <v>0</v>
      </c>
      <c r="W28" s="355" t="s">
        <v>5185</v>
      </c>
      <c r="AH28" s="268"/>
    </row>
    <row r="29" spans="3:36" ht="19.350000000000001" customHeight="1">
      <c r="C29" s="294"/>
      <c r="D29" s="17" t="s">
        <v>64</v>
      </c>
      <c r="E29" s="16"/>
      <c r="F29" s="361"/>
      <c r="G29" s="16"/>
      <c r="H29" s="335"/>
      <c r="I29" s="185"/>
      <c r="J29" s="15"/>
      <c r="K29" s="297" t="str">
        <f t="shared" si="0"/>
        <v/>
      </c>
      <c r="L29" s="340" t="s">
        <v>5261</v>
      </c>
      <c r="M29" s="1073" t="str">
        <f t="shared" si="1"/>
        <v/>
      </c>
      <c r="N29" s="299" t="str">
        <f t="shared" si="2"/>
        <v/>
      </c>
      <c r="O29" s="288"/>
      <c r="P29" s="289" t="s">
        <v>64</v>
      </c>
      <c r="Q29" s="289" t="s">
        <v>64</v>
      </c>
      <c r="R29" s="289">
        <f t="shared" si="3"/>
        <v>18.399999999999999</v>
      </c>
      <c r="S29" s="290">
        <f t="shared" si="4"/>
        <v>1.09E-2</v>
      </c>
      <c r="T29" s="288"/>
      <c r="AH29" s="268"/>
      <c r="AJ29" s="268"/>
    </row>
    <row r="30" spans="3:36" ht="19.350000000000001" customHeight="1" thickBot="1">
      <c r="C30" s="294"/>
      <c r="D30" s="364" t="s">
        <v>65</v>
      </c>
      <c r="E30" s="13"/>
      <c r="F30" s="365"/>
      <c r="G30" s="13"/>
      <c r="H30" s="366"/>
      <c r="I30" s="185"/>
      <c r="J30" s="15"/>
      <c r="K30" s="297" t="str">
        <f t="shared" si="0"/>
        <v/>
      </c>
      <c r="L30" s="340" t="s">
        <v>5261</v>
      </c>
      <c r="M30" s="1073" t="str">
        <f t="shared" si="1"/>
        <v/>
      </c>
      <c r="N30" s="299" t="str">
        <f t="shared" si="2"/>
        <v/>
      </c>
      <c r="O30" s="288"/>
      <c r="P30" s="289" t="s">
        <v>65</v>
      </c>
      <c r="Q30" s="289" t="s">
        <v>65</v>
      </c>
      <c r="R30" s="289">
        <f t="shared" si="3"/>
        <v>3.23</v>
      </c>
      <c r="S30" s="290">
        <f t="shared" si="4"/>
        <v>2.64E-2</v>
      </c>
      <c r="T30" s="288"/>
      <c r="U30" s="272" t="s">
        <v>143</v>
      </c>
      <c r="AH30" s="268"/>
      <c r="AJ30" s="268"/>
    </row>
    <row r="31" spans="3:36" ht="19.350000000000001" customHeight="1" thickBot="1">
      <c r="C31" s="294"/>
      <c r="D31" s="17" t="s">
        <v>5034</v>
      </c>
      <c r="E31" s="16"/>
      <c r="F31" s="365"/>
      <c r="G31" s="16"/>
      <c r="H31" s="295"/>
      <c r="I31" s="185"/>
      <c r="J31" s="15"/>
      <c r="K31" s="297" t="str">
        <f t="shared" si="0"/>
        <v/>
      </c>
      <c r="L31" s="340" t="s">
        <v>5261</v>
      </c>
      <c r="M31" s="1073" t="str">
        <f t="shared" si="1"/>
        <v/>
      </c>
      <c r="N31" s="299" t="str">
        <f t="shared" si="2"/>
        <v/>
      </c>
      <c r="O31" s="288"/>
      <c r="P31" s="551"/>
      <c r="Q31" s="289" t="s">
        <v>5034</v>
      </c>
      <c r="R31" s="289">
        <f t="shared" si="3"/>
        <v>3.45</v>
      </c>
      <c r="S31" s="290">
        <f t="shared" si="4"/>
        <v>2.64E-2</v>
      </c>
      <c r="T31" s="288"/>
      <c r="U31" s="367" t="s">
        <v>3100</v>
      </c>
      <c r="V31" s="368">
        <f>IF(V28="","",IFERROR(ROUND(V28/G123,3-INT(LOG(V28/G123))),))</f>
        <v>0</v>
      </c>
      <c r="W31" s="733" t="str">
        <f>"t-CO2/"&amp;G122</f>
        <v>t-CO2/</v>
      </c>
      <c r="X31" s="734"/>
      <c r="AI31" s="268"/>
    </row>
    <row r="32" spans="3:36" ht="19.350000000000001" customHeight="1">
      <c r="C32" s="294"/>
      <c r="D32" s="17" t="s">
        <v>66</v>
      </c>
      <c r="E32" s="16"/>
      <c r="F32" s="365"/>
      <c r="G32" s="16"/>
      <c r="H32" s="335"/>
      <c r="I32" s="14"/>
      <c r="J32" s="15"/>
      <c r="K32" s="297" t="str">
        <f t="shared" si="0"/>
        <v/>
      </c>
      <c r="L32" s="340" t="s">
        <v>5261</v>
      </c>
      <c r="M32" s="1073" t="str">
        <f t="shared" si="1"/>
        <v/>
      </c>
      <c r="N32" s="299" t="str">
        <f t="shared" si="2"/>
        <v/>
      </c>
      <c r="O32" s="288"/>
      <c r="P32" s="289" t="s">
        <v>66</v>
      </c>
      <c r="Q32" s="289" t="s">
        <v>66</v>
      </c>
      <c r="R32" s="289">
        <f t="shared" si="3"/>
        <v>7.53</v>
      </c>
      <c r="S32" s="290">
        <f t="shared" si="4"/>
        <v>4.2000000000000003E-2</v>
      </c>
      <c r="T32" s="288"/>
      <c r="AH32" s="268"/>
      <c r="AJ32" s="268"/>
    </row>
    <row r="33" spans="3:36" ht="19.350000000000001" customHeight="1">
      <c r="C33" s="294"/>
      <c r="D33" s="17" t="s">
        <v>5221</v>
      </c>
      <c r="E33" s="16"/>
      <c r="F33" s="365"/>
      <c r="G33" s="16"/>
      <c r="H33" s="335"/>
      <c r="I33" s="14"/>
      <c r="J33" s="15"/>
      <c r="K33" s="297" t="str">
        <f t="shared" si="0"/>
        <v/>
      </c>
      <c r="L33" s="340" t="s">
        <v>5266</v>
      </c>
      <c r="M33" s="1073" t="str">
        <f t="shared" si="1"/>
        <v/>
      </c>
      <c r="N33" s="299" t="str">
        <f t="shared" si="2"/>
        <v/>
      </c>
      <c r="O33" s="288"/>
      <c r="P33" s="289" t="s">
        <v>5221</v>
      </c>
      <c r="Q33" s="289" t="s">
        <v>5221</v>
      </c>
      <c r="R33" s="289">
        <f t="shared" si="3"/>
        <v>45</v>
      </c>
      <c r="S33" s="290">
        <f t="shared" si="4"/>
        <v>1.4E-2</v>
      </c>
      <c r="T33" s="288"/>
      <c r="U33" s="305" t="s">
        <v>5316</v>
      </c>
      <c r="V33" s="369" t="s">
        <v>87</v>
      </c>
      <c r="W33" s="369" t="s">
        <v>119</v>
      </c>
      <c r="AF33" s="22"/>
      <c r="AH33" s="268"/>
      <c r="AJ33" s="268"/>
    </row>
    <row r="34" spans="3:36" ht="19.350000000000001" customHeight="1">
      <c r="C34" s="294"/>
      <c r="D34" s="17" t="s">
        <v>5316</v>
      </c>
      <c r="E34" s="16"/>
      <c r="F34" s="365"/>
      <c r="G34" s="16"/>
      <c r="H34" s="335"/>
      <c r="I34" s="14"/>
      <c r="J34" s="15"/>
      <c r="K34" s="297" t="str">
        <f t="shared" ref="K34:K35" si="7">IF(AND(I34="",J34=""),"",SUM(I34)-SUM(J34))</f>
        <v/>
      </c>
      <c r="L34" s="298" t="s">
        <v>130</v>
      </c>
      <c r="M34" s="1073" t="str">
        <f>IFERROR(IF(K34="","",$K34*R34),"----------")</f>
        <v/>
      </c>
      <c r="N34" s="590"/>
      <c r="O34" s="288"/>
      <c r="P34" s="289" t="s">
        <v>5222</v>
      </c>
      <c r="Q34" s="289" t="s">
        <v>5222</v>
      </c>
      <c r="R34" s="289">
        <f t="shared" si="3"/>
        <v>1.19</v>
      </c>
      <c r="S34" s="290" t="str">
        <f t="shared" si="4"/>
        <v>ー</v>
      </c>
      <c r="T34" s="288"/>
      <c r="U34" s="26"/>
      <c r="V34" s="309"/>
      <c r="W34" s="221"/>
      <c r="AC34" s="22"/>
      <c r="AF34" s="22"/>
      <c r="AG34" s="22"/>
      <c r="AJ34" s="268"/>
    </row>
    <row r="35" spans="3:36" ht="18" thickBot="1">
      <c r="C35" s="370"/>
      <c r="D35" s="17" t="str">
        <f>"その他（"&amp;U37&amp;"）"</f>
        <v>その他（）</v>
      </c>
      <c r="E35" s="16"/>
      <c r="F35" s="365"/>
      <c r="G35" s="16"/>
      <c r="H35" s="335"/>
      <c r="I35" s="20"/>
      <c r="J35" s="21"/>
      <c r="K35" s="371" t="str">
        <f t="shared" si="7"/>
        <v/>
      </c>
      <c r="L35" s="589"/>
      <c r="M35" s="1074"/>
      <c r="N35" s="231"/>
      <c r="O35" s="22"/>
      <c r="P35"/>
      <c r="Q35"/>
      <c r="R35"/>
      <c r="S35"/>
      <c r="T35" s="22"/>
      <c r="U35" s="263"/>
      <c r="V35" s="263"/>
      <c r="W35" s="263"/>
      <c r="AA35" s="22"/>
      <c r="AB35" s="22"/>
      <c r="AC35" s="22"/>
      <c r="AD35" s="22"/>
      <c r="AE35" s="22"/>
      <c r="AG35" s="22"/>
      <c r="AJ35" s="268"/>
    </row>
    <row r="36" spans="3:36" ht="18.600000000000001" customHeight="1" thickTop="1" thickBot="1">
      <c r="C36" s="691" t="s">
        <v>72</v>
      </c>
      <c r="D36" s="692"/>
      <c r="E36" s="692"/>
      <c r="F36" s="692"/>
      <c r="G36" s="692"/>
      <c r="H36" s="693"/>
      <c r="I36" s="372" t="s">
        <v>73</v>
      </c>
      <c r="J36" s="373" t="s">
        <v>73</v>
      </c>
      <c r="K36" s="373" t="s">
        <v>73</v>
      </c>
      <c r="L36" s="374" t="s">
        <v>73</v>
      </c>
      <c r="M36" s="1075">
        <f>SUM(M6:M35)</f>
        <v>0</v>
      </c>
      <c r="N36" s="375">
        <f>SUM(N6:N35)</f>
        <v>0</v>
      </c>
      <c r="O36" s="288"/>
      <c r="P36"/>
      <c r="Q36"/>
      <c r="R36"/>
      <c r="S36"/>
      <c r="T36" s="288"/>
      <c r="U36" s="305" t="s">
        <v>5267</v>
      </c>
      <c r="V36" s="369" t="s">
        <v>87</v>
      </c>
      <c r="W36" s="369" t="s">
        <v>119</v>
      </c>
      <c r="X36" s="22"/>
      <c r="Y36" s="22"/>
      <c r="Z36" s="22"/>
      <c r="AF36" s="377"/>
    </row>
    <row r="37" spans="3:36" ht="19.350000000000001" customHeight="1" thickBot="1">
      <c r="C37" s="762" t="s">
        <v>5268</v>
      </c>
      <c r="D37" s="763"/>
      <c r="E37" s="763"/>
      <c r="F37" s="763"/>
      <c r="G37" s="763"/>
      <c r="H37" s="764"/>
      <c r="I37" s="735" t="s">
        <v>127</v>
      </c>
      <c r="J37" s="737" t="s">
        <v>40</v>
      </c>
      <c r="K37" s="739" t="s">
        <v>41</v>
      </c>
      <c r="L37" s="741" t="s">
        <v>42</v>
      </c>
      <c r="M37" s="747" t="s">
        <v>5183</v>
      </c>
      <c r="N37" s="794" t="s">
        <v>5184</v>
      </c>
      <c r="O37" s="288"/>
      <c r="P37"/>
      <c r="Q37"/>
      <c r="R37"/>
      <c r="S37"/>
      <c r="T37" s="288"/>
      <c r="U37" s="26"/>
      <c r="V37" s="222"/>
      <c r="W37" s="221"/>
      <c r="Y37" s="22"/>
      <c r="Z37" s="22"/>
      <c r="AC37" s="377"/>
      <c r="AF37" s="377"/>
      <c r="AG37" s="377"/>
    </row>
    <row r="38" spans="3:36" ht="19.350000000000001" customHeight="1" thickBot="1">
      <c r="C38" s="768"/>
      <c r="D38" s="769"/>
      <c r="E38" s="769"/>
      <c r="F38" s="769"/>
      <c r="G38" s="769"/>
      <c r="H38" s="770"/>
      <c r="I38" s="736"/>
      <c r="J38" s="738"/>
      <c r="K38" s="740"/>
      <c r="L38" s="742"/>
      <c r="M38" s="748"/>
      <c r="N38" s="795"/>
      <c r="O38" s="288"/>
      <c r="P38" s="547" t="s">
        <v>5255</v>
      </c>
      <c r="Q38" s="547" t="s">
        <v>5256</v>
      </c>
      <c r="R38" s="547" t="s">
        <v>5059</v>
      </c>
      <c r="S38" s="547" t="s">
        <v>5209</v>
      </c>
      <c r="T38" s="288"/>
      <c r="Y38" s="22"/>
      <c r="Z38" s="22"/>
      <c r="AA38" s="377"/>
      <c r="AB38" s="377"/>
      <c r="AC38" s="377"/>
      <c r="AD38" s="377"/>
      <c r="AE38" s="377"/>
      <c r="AF38" s="377"/>
      <c r="AG38" s="377"/>
    </row>
    <row r="39" spans="3:36" ht="19.350000000000001" customHeight="1">
      <c r="C39" s="378"/>
      <c r="D39" s="379" t="s">
        <v>5269</v>
      </c>
      <c r="E39" s="379"/>
      <c r="F39" s="380"/>
      <c r="G39" s="381"/>
      <c r="H39" s="382"/>
      <c r="I39" s="23"/>
      <c r="J39" s="24"/>
      <c r="K39" s="383" t="str">
        <f t="shared" ref="K39:K56" si="8">IF(AND(I39="",J39=""),"",SUM(I39)-SUM(J39))</f>
        <v/>
      </c>
      <c r="L39" s="384" t="s">
        <v>5035</v>
      </c>
      <c r="M39" s="1076" t="str">
        <f t="shared" ref="M39:M55" si="9">IFERROR(IF(K39="","",$K39*R39),"----------")</f>
        <v/>
      </c>
      <c r="N39" s="635"/>
      <c r="P39" s="552"/>
      <c r="Q39" s="552" t="s">
        <v>5062</v>
      </c>
      <c r="R39" s="552">
        <f t="shared" ref="R39:R55" si="10">IF($T$1=2022,VLOOKUP($P39,係数2023,7,0),VLOOKUP($Q39,係数2023,7,0))</f>
        <v>13.6</v>
      </c>
      <c r="S39" s="553" t="str">
        <f t="shared" ref="S39:S55" si="11">IF($T$1=2022,VLOOKUP($P39,係数2023,9,0),VLOOKUP($Q39,係数2023,9,0))</f>
        <v>ー</v>
      </c>
      <c r="X39" s="22"/>
      <c r="Y39" s="22"/>
      <c r="Z39" s="22"/>
      <c r="AA39" s="377"/>
      <c r="AB39" s="377"/>
      <c r="AC39" s="377"/>
      <c r="AD39" s="377"/>
      <c r="AE39" s="377"/>
      <c r="AF39" s="377"/>
      <c r="AG39" s="377"/>
    </row>
    <row r="40" spans="3:36" ht="19.350000000000001" customHeight="1">
      <c r="C40" s="370"/>
      <c r="D40" s="16" t="s">
        <v>5270</v>
      </c>
      <c r="E40" s="16"/>
      <c r="F40" s="365"/>
      <c r="G40" s="19"/>
      <c r="H40" s="387"/>
      <c r="I40" s="20"/>
      <c r="J40" s="21"/>
      <c r="K40" s="371" t="str">
        <f t="shared" si="8"/>
        <v/>
      </c>
      <c r="L40" s="388" t="s">
        <v>5035</v>
      </c>
      <c r="M40" s="1073" t="str">
        <f t="shared" si="9"/>
        <v/>
      </c>
      <c r="N40" s="636"/>
      <c r="P40" s="389"/>
      <c r="Q40" s="389" t="s">
        <v>5064</v>
      </c>
      <c r="R40" s="385">
        <f t="shared" si="10"/>
        <v>13.2</v>
      </c>
      <c r="S40" s="386" t="str">
        <f t="shared" si="11"/>
        <v>ー</v>
      </c>
      <c r="U40" s="22"/>
      <c r="V40" s="22"/>
      <c r="W40" s="22"/>
      <c r="X40" s="22"/>
      <c r="Y40" s="22"/>
      <c r="Z40" s="22"/>
      <c r="AA40" s="377"/>
      <c r="AB40" s="377"/>
      <c r="AC40" s="377"/>
      <c r="AD40" s="377"/>
      <c r="AE40" s="377"/>
      <c r="AF40" s="377"/>
      <c r="AG40" s="377"/>
    </row>
    <row r="41" spans="3:36" ht="19.350000000000001" customHeight="1">
      <c r="C41" s="294"/>
      <c r="D41" s="16" t="s">
        <v>5271</v>
      </c>
      <c r="E41" s="16"/>
      <c r="F41" s="365"/>
      <c r="G41" s="19"/>
      <c r="H41" s="387"/>
      <c r="I41" s="20"/>
      <c r="J41" s="21"/>
      <c r="K41" s="371" t="str">
        <f t="shared" si="8"/>
        <v/>
      </c>
      <c r="L41" s="388" t="s">
        <v>5035</v>
      </c>
      <c r="M41" s="1073" t="str">
        <f t="shared" si="9"/>
        <v/>
      </c>
      <c r="N41" s="636"/>
      <c r="P41" s="385"/>
      <c r="Q41" s="385" t="s">
        <v>5065</v>
      </c>
      <c r="R41" s="385">
        <f t="shared" si="10"/>
        <v>17.100000000000001</v>
      </c>
      <c r="S41" s="386" t="str">
        <f t="shared" si="11"/>
        <v>ー</v>
      </c>
      <c r="X41" s="22"/>
      <c r="Y41" s="22"/>
      <c r="Z41" s="22"/>
      <c r="AA41" s="377"/>
      <c r="AB41" s="377"/>
      <c r="AC41" s="377"/>
      <c r="AD41" s="377"/>
      <c r="AE41" s="377"/>
      <c r="AF41" s="377"/>
      <c r="AG41" s="377"/>
    </row>
    <row r="42" spans="3:36" ht="19.350000000000001" customHeight="1">
      <c r="C42" s="294"/>
      <c r="D42" s="16" t="s">
        <v>5066</v>
      </c>
      <c r="E42" s="16"/>
      <c r="F42" s="365"/>
      <c r="G42" s="19"/>
      <c r="H42" s="387"/>
      <c r="I42" s="20"/>
      <c r="J42" s="21"/>
      <c r="K42" s="371" t="str">
        <f t="shared" si="8"/>
        <v/>
      </c>
      <c r="L42" s="388" t="s">
        <v>5036</v>
      </c>
      <c r="M42" s="1073" t="str">
        <f t="shared" si="9"/>
        <v/>
      </c>
      <c r="N42" s="636"/>
      <c r="P42" s="385"/>
      <c r="Q42" s="385" t="s">
        <v>5066</v>
      </c>
      <c r="R42" s="385">
        <f t="shared" si="10"/>
        <v>23.4</v>
      </c>
      <c r="S42" s="386" t="str">
        <f t="shared" si="11"/>
        <v>ー</v>
      </c>
      <c r="X42" s="22"/>
      <c r="Y42" s="22"/>
      <c r="Z42" s="22"/>
      <c r="AA42" s="377"/>
      <c r="AB42" s="377"/>
      <c r="AC42" s="377"/>
      <c r="AD42" s="377"/>
      <c r="AE42" s="377"/>
      <c r="AF42" s="377"/>
      <c r="AG42" s="377"/>
    </row>
    <row r="43" spans="3:36" ht="19.350000000000001" customHeight="1">
      <c r="C43" s="319"/>
      <c r="D43" s="16" t="s">
        <v>5068</v>
      </c>
      <c r="E43" s="16"/>
      <c r="F43" s="365"/>
      <c r="G43" s="19"/>
      <c r="H43" s="387"/>
      <c r="I43" s="20"/>
      <c r="J43" s="21"/>
      <c r="K43" s="371" t="str">
        <f t="shared" si="8"/>
        <v/>
      </c>
      <c r="L43" s="388" t="s">
        <v>5036</v>
      </c>
      <c r="M43" s="1073" t="str">
        <f t="shared" si="9"/>
        <v/>
      </c>
      <c r="N43" s="636"/>
      <c r="P43" s="385"/>
      <c r="Q43" s="385" t="s">
        <v>5068</v>
      </c>
      <c r="R43" s="385">
        <f t="shared" si="10"/>
        <v>35.6</v>
      </c>
      <c r="S43" s="386" t="str">
        <f t="shared" si="11"/>
        <v>ー</v>
      </c>
      <c r="U43" s="22"/>
      <c r="V43" s="22"/>
      <c r="W43" s="22"/>
      <c r="X43" s="22"/>
      <c r="Y43" s="22"/>
      <c r="Z43" s="22"/>
      <c r="AA43" s="377"/>
      <c r="AB43" s="377"/>
      <c r="AC43" s="377"/>
      <c r="AD43" s="377"/>
      <c r="AE43" s="377"/>
      <c r="AF43" s="377"/>
      <c r="AG43" s="377"/>
    </row>
    <row r="44" spans="3:36" ht="19.350000000000001" customHeight="1">
      <c r="C44" s="319"/>
      <c r="D44" s="16" t="s">
        <v>5069</v>
      </c>
      <c r="E44" s="16"/>
      <c r="F44" s="365"/>
      <c r="G44" s="19"/>
      <c r="H44" s="387"/>
      <c r="I44" s="20"/>
      <c r="J44" s="21"/>
      <c r="K44" s="371" t="str">
        <f t="shared" si="8"/>
        <v/>
      </c>
      <c r="L44" s="388" t="s">
        <v>5038</v>
      </c>
      <c r="M44" s="1073" t="str">
        <f t="shared" si="9"/>
        <v/>
      </c>
      <c r="N44" s="636"/>
      <c r="P44" s="385"/>
      <c r="Q44" s="385" t="s">
        <v>5069</v>
      </c>
      <c r="R44" s="385">
        <f t="shared" si="10"/>
        <v>21.2</v>
      </c>
      <c r="S44" s="386" t="str">
        <f t="shared" si="11"/>
        <v>ー</v>
      </c>
      <c r="U44" s="22"/>
      <c r="V44" s="22"/>
      <c r="W44" s="22"/>
      <c r="X44" s="22"/>
      <c r="Y44" s="22"/>
      <c r="Z44" s="22"/>
      <c r="AA44" s="377"/>
      <c r="AB44" s="377"/>
      <c r="AC44" s="377"/>
      <c r="AD44" s="377"/>
      <c r="AE44" s="377"/>
      <c r="AF44" s="377"/>
      <c r="AG44" s="377"/>
    </row>
    <row r="45" spans="3:36" ht="19.350000000000001" customHeight="1">
      <c r="C45" s="319" t="s">
        <v>5037</v>
      </c>
      <c r="D45" s="16" t="s">
        <v>5272</v>
      </c>
      <c r="E45" s="16"/>
      <c r="F45" s="365"/>
      <c r="G45" s="19"/>
      <c r="H45" s="387"/>
      <c r="I45" s="20"/>
      <c r="J45" s="21"/>
      <c r="K45" s="371" t="str">
        <f t="shared" si="8"/>
        <v/>
      </c>
      <c r="L45" s="388" t="s">
        <v>5035</v>
      </c>
      <c r="M45" s="1073" t="str">
        <f t="shared" si="9"/>
        <v/>
      </c>
      <c r="N45" s="636"/>
      <c r="P45" s="385"/>
      <c r="Q45" s="385" t="s">
        <v>5071</v>
      </c>
      <c r="R45" s="385">
        <f t="shared" si="10"/>
        <v>13.2</v>
      </c>
      <c r="S45" s="386" t="str">
        <f t="shared" si="11"/>
        <v>ー</v>
      </c>
      <c r="U45" s="22"/>
      <c r="V45" s="22"/>
      <c r="W45" s="22"/>
      <c r="X45" s="22"/>
      <c r="Y45" s="22"/>
      <c r="Z45" s="22"/>
      <c r="AA45" s="377"/>
      <c r="AB45" s="377"/>
      <c r="AC45" s="377"/>
      <c r="AD45" s="377"/>
      <c r="AE45" s="377"/>
      <c r="AF45" s="377"/>
      <c r="AG45" s="377"/>
    </row>
    <row r="46" spans="3:36" ht="19.350000000000001" customHeight="1">
      <c r="C46" s="319" t="s">
        <v>5020</v>
      </c>
      <c r="D46" s="16" t="s">
        <v>5072</v>
      </c>
      <c r="E46" s="16"/>
      <c r="F46" s="365"/>
      <c r="G46" s="19"/>
      <c r="H46" s="387"/>
      <c r="I46" s="20"/>
      <c r="J46" s="21"/>
      <c r="K46" s="371" t="str">
        <f t="shared" si="8"/>
        <v/>
      </c>
      <c r="L46" s="388" t="s">
        <v>5035</v>
      </c>
      <c r="M46" s="1073" t="str">
        <f t="shared" si="9"/>
        <v/>
      </c>
      <c r="N46" s="299" t="str">
        <f t="shared" ref="N46:N51" si="12">IFERROR(IF(K46="","",$M46*S46*44/12),"----------")</f>
        <v/>
      </c>
      <c r="P46" s="385"/>
      <c r="Q46" s="385" t="s">
        <v>5072</v>
      </c>
      <c r="R46" s="385">
        <f t="shared" si="10"/>
        <v>18</v>
      </c>
      <c r="S46" s="386">
        <f t="shared" si="11"/>
        <v>1.6199999999999999E-2</v>
      </c>
      <c r="U46" s="22"/>
      <c r="V46" s="22"/>
      <c r="W46" s="22"/>
      <c r="X46" s="22"/>
      <c r="Y46" s="22"/>
      <c r="Z46" s="22"/>
      <c r="AA46" s="377"/>
      <c r="AB46" s="377"/>
      <c r="AC46" s="377"/>
      <c r="AD46" s="377"/>
      <c r="AE46" s="377"/>
      <c r="AF46" s="377"/>
      <c r="AG46" s="377"/>
    </row>
    <row r="47" spans="3:36" ht="19.350000000000001" customHeight="1">
      <c r="C47" s="319" t="s">
        <v>5023</v>
      </c>
      <c r="D47" s="16" t="s">
        <v>5073</v>
      </c>
      <c r="E47" s="16"/>
      <c r="F47" s="365"/>
      <c r="G47" s="19"/>
      <c r="H47" s="387"/>
      <c r="I47" s="20"/>
      <c r="J47" s="21"/>
      <c r="K47" s="371" t="str">
        <f t="shared" si="8"/>
        <v/>
      </c>
      <c r="L47" s="388" t="s">
        <v>5035</v>
      </c>
      <c r="M47" s="1073" t="str">
        <f t="shared" si="9"/>
        <v/>
      </c>
      <c r="N47" s="299" t="str">
        <f t="shared" si="12"/>
        <v/>
      </c>
      <c r="P47" s="385"/>
      <c r="Q47" s="385" t="s">
        <v>5073</v>
      </c>
      <c r="R47" s="385">
        <f t="shared" si="10"/>
        <v>26.9</v>
      </c>
      <c r="S47" s="386">
        <f t="shared" si="11"/>
        <v>1.66E-2</v>
      </c>
      <c r="U47" s="22"/>
      <c r="V47" s="22"/>
      <c r="W47" s="22"/>
      <c r="X47" s="22"/>
      <c r="Y47" s="22"/>
      <c r="Z47" s="22"/>
      <c r="AA47" s="377"/>
      <c r="AB47" s="377"/>
      <c r="AC47" s="377"/>
      <c r="AD47" s="377"/>
      <c r="AE47" s="377"/>
      <c r="AF47" s="377"/>
      <c r="AG47" s="377"/>
    </row>
    <row r="48" spans="3:36" ht="19.350000000000001" customHeight="1">
      <c r="C48" s="319" t="s">
        <v>5024</v>
      </c>
      <c r="D48" s="16" t="s">
        <v>5273</v>
      </c>
      <c r="E48" s="16"/>
      <c r="F48" s="365"/>
      <c r="G48" s="19"/>
      <c r="H48" s="387"/>
      <c r="I48" s="20"/>
      <c r="J48" s="21"/>
      <c r="K48" s="371" t="str">
        <f t="shared" si="8"/>
        <v/>
      </c>
      <c r="L48" s="388" t="s">
        <v>5035</v>
      </c>
      <c r="M48" s="1073" t="str">
        <f t="shared" si="9"/>
        <v/>
      </c>
      <c r="N48" s="299" t="str">
        <f t="shared" si="12"/>
        <v/>
      </c>
      <c r="P48" s="385"/>
      <c r="Q48" s="385" t="s">
        <v>5074</v>
      </c>
      <c r="R48" s="385">
        <f t="shared" si="10"/>
        <v>33.200000000000003</v>
      </c>
      <c r="S48" s="386">
        <f t="shared" si="11"/>
        <v>1.35E-2</v>
      </c>
      <c r="U48" s="22"/>
      <c r="V48" s="22"/>
      <c r="W48" s="22"/>
      <c r="X48" s="22"/>
      <c r="Y48" s="22"/>
      <c r="Z48" s="22"/>
      <c r="AA48" s="377"/>
      <c r="AB48" s="377"/>
      <c r="AC48" s="377"/>
      <c r="AD48" s="377"/>
      <c r="AE48" s="377"/>
      <c r="AG48" s="377"/>
    </row>
    <row r="49" spans="3:31" ht="19.350000000000001" customHeight="1">
      <c r="C49" s="319" t="s">
        <v>5026</v>
      </c>
      <c r="D49" s="771" t="s">
        <v>5275</v>
      </c>
      <c r="E49" s="772"/>
      <c r="F49" s="365" t="s">
        <v>5076</v>
      </c>
      <c r="G49" s="19"/>
      <c r="H49" s="387"/>
      <c r="I49" s="20"/>
      <c r="J49" s="21"/>
      <c r="K49" s="371" t="str">
        <f t="shared" si="8"/>
        <v/>
      </c>
      <c r="L49" s="388" t="s">
        <v>5035</v>
      </c>
      <c r="M49" s="1073" t="str">
        <f t="shared" si="9"/>
        <v/>
      </c>
      <c r="N49" s="299" t="str">
        <f t="shared" si="12"/>
        <v/>
      </c>
      <c r="P49" s="385"/>
      <c r="Q49" s="385" t="s">
        <v>5274</v>
      </c>
      <c r="R49" s="385">
        <f t="shared" si="10"/>
        <v>29.3</v>
      </c>
      <c r="S49" s="386">
        <f t="shared" si="11"/>
        <v>2.5700000000000001E-2</v>
      </c>
      <c r="U49" s="22"/>
      <c r="V49" s="22"/>
      <c r="W49" s="22"/>
      <c r="X49" s="22"/>
      <c r="Y49" s="22"/>
      <c r="Z49" s="22"/>
      <c r="AA49" s="377"/>
      <c r="AB49" s="377"/>
      <c r="AD49" s="377"/>
      <c r="AE49" s="377"/>
    </row>
    <row r="50" spans="3:31" ht="19.350000000000001" customHeight="1">
      <c r="C50" s="319"/>
      <c r="D50" s="773"/>
      <c r="E50" s="774"/>
      <c r="F50" s="365" t="s">
        <v>5077</v>
      </c>
      <c r="G50" s="19"/>
      <c r="H50" s="387"/>
      <c r="I50" s="20"/>
      <c r="J50" s="21"/>
      <c r="K50" s="371" t="str">
        <f t="shared" si="8"/>
        <v/>
      </c>
      <c r="L50" s="388" t="s">
        <v>5035</v>
      </c>
      <c r="M50" s="1073" t="str">
        <f t="shared" si="9"/>
        <v/>
      </c>
      <c r="N50" s="299" t="str">
        <f t="shared" si="12"/>
        <v/>
      </c>
      <c r="P50" s="385"/>
      <c r="Q50" s="385" t="s">
        <v>5276</v>
      </c>
      <c r="R50" s="385">
        <f t="shared" si="10"/>
        <v>29.3</v>
      </c>
      <c r="S50" s="386">
        <f t="shared" si="11"/>
        <v>2.3900000000000001E-2</v>
      </c>
      <c r="U50" s="22"/>
      <c r="V50" s="22"/>
      <c r="W50" s="22"/>
      <c r="X50" s="22"/>
      <c r="Y50" s="22"/>
      <c r="Z50" s="22"/>
    </row>
    <row r="51" spans="3:31" ht="19.350000000000001" customHeight="1">
      <c r="C51" s="319"/>
      <c r="D51" s="16" t="s">
        <v>5277</v>
      </c>
      <c r="E51" s="16"/>
      <c r="F51" s="365"/>
      <c r="G51" s="19"/>
      <c r="H51" s="387"/>
      <c r="I51" s="20"/>
      <c r="J51" s="21"/>
      <c r="K51" s="371" t="str">
        <f t="shared" si="8"/>
        <v/>
      </c>
      <c r="L51" s="388" t="s">
        <v>5036</v>
      </c>
      <c r="M51" s="1073" t="str">
        <f t="shared" si="9"/>
        <v/>
      </c>
      <c r="N51" s="299" t="str">
        <f t="shared" si="12"/>
        <v/>
      </c>
      <c r="P51" s="385"/>
      <c r="Q51" s="385" t="s">
        <v>5078</v>
      </c>
      <c r="R51" s="385">
        <f t="shared" si="10"/>
        <v>40.200000000000003</v>
      </c>
      <c r="S51" s="386">
        <f t="shared" si="11"/>
        <v>1.7899999999999999E-2</v>
      </c>
      <c r="U51" s="22"/>
      <c r="V51" s="22"/>
      <c r="W51" s="22"/>
      <c r="X51" s="22"/>
      <c r="Y51" s="22"/>
      <c r="Z51" s="22"/>
    </row>
    <row r="52" spans="3:31" ht="19.350000000000001" customHeight="1">
      <c r="C52" s="319"/>
      <c r="D52" s="16" t="s">
        <v>5278</v>
      </c>
      <c r="E52" s="16"/>
      <c r="F52" s="365"/>
      <c r="G52" s="19"/>
      <c r="H52" s="387"/>
      <c r="I52" s="20"/>
      <c r="J52" s="21"/>
      <c r="K52" s="371" t="str">
        <f t="shared" si="8"/>
        <v/>
      </c>
      <c r="L52" s="388" t="s">
        <v>5038</v>
      </c>
      <c r="M52" s="1073" t="str">
        <f t="shared" si="9"/>
        <v/>
      </c>
      <c r="N52" s="636"/>
      <c r="P52" s="385"/>
      <c r="Q52" s="385" t="s">
        <v>5079</v>
      </c>
      <c r="R52" s="385">
        <f t="shared" si="10"/>
        <v>21.2</v>
      </c>
      <c r="S52" s="386" t="str">
        <f t="shared" si="11"/>
        <v>ー</v>
      </c>
      <c r="U52" s="22"/>
      <c r="V52" s="22"/>
      <c r="W52" s="22"/>
      <c r="X52" s="22"/>
      <c r="Y52" s="22"/>
      <c r="Z52" s="22"/>
    </row>
    <row r="53" spans="3:31" ht="19.350000000000001" customHeight="1">
      <c r="C53" s="319"/>
      <c r="D53" s="16" t="s">
        <v>5279</v>
      </c>
      <c r="E53" s="16"/>
      <c r="F53" s="365"/>
      <c r="G53" s="19"/>
      <c r="H53" s="387"/>
      <c r="I53" s="20"/>
      <c r="J53" s="21"/>
      <c r="K53" s="371" t="str">
        <f t="shared" si="8"/>
        <v/>
      </c>
      <c r="L53" s="388" t="s">
        <v>5035</v>
      </c>
      <c r="M53" s="1073" t="str">
        <f t="shared" si="9"/>
        <v/>
      </c>
      <c r="N53" s="636"/>
      <c r="P53" s="385"/>
      <c r="Q53" s="385" t="s">
        <v>5080</v>
      </c>
      <c r="R53" s="385">
        <f t="shared" si="10"/>
        <v>17.100000000000001</v>
      </c>
      <c r="S53" s="386" t="str">
        <f t="shared" si="11"/>
        <v>ー</v>
      </c>
      <c r="U53" s="263"/>
      <c r="V53" s="263"/>
      <c r="W53" s="263"/>
      <c r="X53" s="376"/>
      <c r="Y53" s="376"/>
      <c r="Z53" s="376"/>
      <c r="AA53" s="263"/>
      <c r="AB53" s="263"/>
    </row>
    <row r="54" spans="3:31" ht="19.350000000000001" customHeight="1">
      <c r="C54" s="294"/>
      <c r="D54" s="16" t="s">
        <v>5280</v>
      </c>
      <c r="E54" s="16"/>
      <c r="F54" s="365"/>
      <c r="G54" s="19"/>
      <c r="H54" s="387"/>
      <c r="I54" s="20"/>
      <c r="J54" s="21"/>
      <c r="K54" s="371" t="str">
        <f t="shared" si="8"/>
        <v/>
      </c>
      <c r="L54" s="388" t="s">
        <v>5035</v>
      </c>
      <c r="M54" s="1073" t="str">
        <f t="shared" si="9"/>
        <v/>
      </c>
      <c r="N54" s="636"/>
      <c r="P54" s="385"/>
      <c r="Q54" s="385" t="s">
        <v>5081</v>
      </c>
      <c r="R54" s="385">
        <f t="shared" si="10"/>
        <v>142</v>
      </c>
      <c r="S54" s="386" t="str">
        <f t="shared" si="11"/>
        <v>ー</v>
      </c>
      <c r="U54" s="329"/>
      <c r="V54" s="329"/>
      <c r="W54" s="329"/>
      <c r="X54" s="376"/>
      <c r="Y54" s="376"/>
      <c r="Z54" s="376"/>
      <c r="AA54" s="263"/>
      <c r="AB54" s="263"/>
    </row>
    <row r="55" spans="3:31">
      <c r="C55" s="294"/>
      <c r="D55" s="16" t="s">
        <v>5309</v>
      </c>
      <c r="E55" s="390"/>
      <c r="F55" s="365"/>
      <c r="G55" s="19"/>
      <c r="H55" s="387"/>
      <c r="I55" s="20"/>
      <c r="J55" s="21"/>
      <c r="K55" s="371" t="str">
        <f t="shared" si="8"/>
        <v/>
      </c>
      <c r="L55" s="388" t="s">
        <v>5035</v>
      </c>
      <c r="M55" s="1073" t="str">
        <f t="shared" si="9"/>
        <v/>
      </c>
      <c r="N55" s="636"/>
      <c r="P55" s="385"/>
      <c r="Q55" s="385" t="s">
        <v>5309</v>
      </c>
      <c r="R55" s="385">
        <f t="shared" si="10"/>
        <v>22.5</v>
      </c>
      <c r="S55" s="386" t="str">
        <f t="shared" si="11"/>
        <v>ー</v>
      </c>
      <c r="U55" s="305" t="s">
        <v>5281</v>
      </c>
      <c r="V55" s="369" t="s">
        <v>87</v>
      </c>
      <c r="W55" s="369" t="s">
        <v>119</v>
      </c>
      <c r="X55" s="376"/>
      <c r="Y55" s="376"/>
      <c r="Z55" s="376"/>
      <c r="AA55" s="263"/>
      <c r="AB55" s="263"/>
    </row>
    <row r="56" spans="3:31" ht="18" thickBot="1">
      <c r="C56" s="391"/>
      <c r="D56" s="16" t="str">
        <f>"その他（"&amp;U56&amp;"）"</f>
        <v>その他（）</v>
      </c>
      <c r="E56" s="16"/>
      <c r="F56" s="365"/>
      <c r="G56" s="19"/>
      <c r="H56" s="387"/>
      <c r="I56" s="20"/>
      <c r="J56" s="21"/>
      <c r="K56" s="371" t="str">
        <f t="shared" si="8"/>
        <v/>
      </c>
      <c r="L56" s="589"/>
      <c r="M56" s="1074"/>
      <c r="N56" s="231"/>
      <c r="P56" s="385"/>
      <c r="Q56" s="385"/>
      <c r="R56" s="385"/>
      <c r="S56" s="385"/>
      <c r="U56" s="26"/>
      <c r="V56" s="222"/>
      <c r="W56" s="221"/>
      <c r="X56" s="376"/>
      <c r="Y56" s="376"/>
      <c r="Z56" s="376"/>
      <c r="AA56" s="263"/>
      <c r="AB56" s="263"/>
    </row>
    <row r="57" spans="3:31" ht="19.350000000000001" customHeight="1" thickTop="1" thickBot="1">
      <c r="C57" s="691" t="s">
        <v>72</v>
      </c>
      <c r="D57" s="692"/>
      <c r="E57" s="692"/>
      <c r="F57" s="692"/>
      <c r="G57" s="692"/>
      <c r="H57" s="693"/>
      <c r="I57" s="372" t="s">
        <v>73</v>
      </c>
      <c r="J57" s="373" t="s">
        <v>73</v>
      </c>
      <c r="K57" s="373" t="s">
        <v>73</v>
      </c>
      <c r="L57" s="374" t="s">
        <v>73</v>
      </c>
      <c r="M57" s="1075">
        <f>SUM(M39:M56)</f>
        <v>0</v>
      </c>
      <c r="N57" s="375">
        <f>SUM(N39:N56)</f>
        <v>0</v>
      </c>
      <c r="P57"/>
      <c r="Q57"/>
      <c r="R57"/>
      <c r="S57"/>
      <c r="U57" s="376"/>
      <c r="V57" s="376"/>
      <c r="W57" s="376"/>
      <c r="X57" s="376"/>
      <c r="Y57" s="376"/>
      <c r="Z57" s="376"/>
      <c r="AA57" s="263"/>
      <c r="AB57" s="263"/>
    </row>
    <row r="58" spans="3:31" ht="19.350000000000001" customHeight="1" thickBot="1">
      <c r="C58" s="762" t="s">
        <v>5282</v>
      </c>
      <c r="D58" s="763"/>
      <c r="E58" s="763"/>
      <c r="F58" s="763"/>
      <c r="G58" s="763"/>
      <c r="H58" s="764"/>
      <c r="I58" s="735" t="s">
        <v>127</v>
      </c>
      <c r="J58" s="737" t="s">
        <v>40</v>
      </c>
      <c r="K58" s="739" t="s">
        <v>41</v>
      </c>
      <c r="L58" s="741" t="s">
        <v>42</v>
      </c>
      <c r="M58" s="743" t="s">
        <v>5183</v>
      </c>
      <c r="N58" s="745" t="s">
        <v>5184</v>
      </c>
      <c r="P58"/>
      <c r="Q58"/>
      <c r="R58"/>
      <c r="S58"/>
      <c r="U58" s="376"/>
      <c r="V58" s="376"/>
      <c r="W58" s="376"/>
      <c r="X58" s="376"/>
      <c r="Y58" s="376"/>
      <c r="Z58" s="376"/>
      <c r="AA58" s="263"/>
      <c r="AB58" s="263"/>
    </row>
    <row r="59" spans="3:31" ht="19.350000000000001" customHeight="1">
      <c r="C59" s="765"/>
      <c r="D59" s="766"/>
      <c r="E59" s="766"/>
      <c r="F59" s="766"/>
      <c r="G59" s="766"/>
      <c r="H59" s="767"/>
      <c r="I59" s="736"/>
      <c r="J59" s="738"/>
      <c r="K59" s="740"/>
      <c r="L59" s="742"/>
      <c r="M59" s="744"/>
      <c r="N59" s="746"/>
      <c r="P59" s="547" t="s">
        <v>5255</v>
      </c>
      <c r="Q59" s="547" t="s">
        <v>5256</v>
      </c>
      <c r="R59" s="547" t="s">
        <v>5059</v>
      </c>
      <c r="S59" s="547" t="s">
        <v>5209</v>
      </c>
      <c r="U59" s="329"/>
      <c r="V59" s="329"/>
      <c r="W59" s="329"/>
      <c r="X59" s="376"/>
      <c r="Y59" s="376"/>
      <c r="Z59" s="376"/>
      <c r="AA59" s="263"/>
      <c r="AB59" s="263"/>
    </row>
    <row r="60" spans="3:31" ht="19.350000000000001" customHeight="1">
      <c r="C60" s="554"/>
      <c r="D60" s="796" t="s">
        <v>5284</v>
      </c>
      <c r="E60" s="393" t="s">
        <v>123</v>
      </c>
      <c r="F60" s="394"/>
      <c r="G60" s="284"/>
      <c r="H60" s="395"/>
      <c r="I60" s="11"/>
      <c r="J60" s="12"/>
      <c r="K60" s="297" t="str">
        <f>IF(I60="","",SUM(I60)-SUM(J60))</f>
        <v/>
      </c>
      <c r="L60" s="286" t="s">
        <v>68</v>
      </c>
      <c r="M60" s="1072" t="str">
        <f>IFERROR(IF(K60="","",$K60*R60),"----------")</f>
        <v/>
      </c>
      <c r="N60" s="287" t="str">
        <f>IFERROR(IF(K60="","",K60*S60),"----------")</f>
        <v/>
      </c>
      <c r="P60" s="555" t="s">
        <v>123</v>
      </c>
      <c r="Q60" s="555" t="s">
        <v>5283</v>
      </c>
      <c r="R60" s="556">
        <f t="shared" ref="R60:R67" si="13">IF($T$1=2022,VLOOKUP($P60,係数2022,7,0),VLOOKUP($Q60,係数2023,7,0))</f>
        <v>1.17</v>
      </c>
      <c r="S60" s="556">
        <f t="shared" ref="S60:S67" si="14">IF($T$1=2022,VLOOKUP($P60,係数2022,9,0),VLOOKUP($Q60,係数2023,9,0))</f>
        <v>6.54E-2</v>
      </c>
      <c r="U60" s="329"/>
      <c r="V60" s="329"/>
      <c r="W60" s="329"/>
      <c r="X60" s="376"/>
      <c r="Y60" s="376"/>
      <c r="Z60" s="376"/>
      <c r="AA60" s="263"/>
      <c r="AB60" s="263"/>
    </row>
    <row r="61" spans="3:31" ht="19.350000000000001" customHeight="1">
      <c r="C61" s="557"/>
      <c r="D61" s="797"/>
      <c r="E61" s="397"/>
      <c r="F61" s="398" t="s">
        <v>5285</v>
      </c>
      <c r="G61" s="361"/>
      <c r="H61" s="399"/>
      <c r="I61" s="186"/>
      <c r="J61" s="187"/>
      <c r="K61" s="297" t="str">
        <f t="shared" ref="K61:K69" si="15">IF(I61="","",SUM(I61)-SUM(J61))</f>
        <v/>
      </c>
      <c r="L61" s="298" t="s">
        <v>68</v>
      </c>
      <c r="M61" s="1077" t="str">
        <f>IFERROR(IF(K61="","",$K61*R61),"----------")</f>
        <v/>
      </c>
      <c r="N61" s="400"/>
      <c r="P61" s="558"/>
      <c r="Q61" s="558" t="s">
        <v>5229</v>
      </c>
      <c r="R61" s="556">
        <f t="shared" si="13"/>
        <v>1.17</v>
      </c>
      <c r="S61" s="556" t="str">
        <f t="shared" si="14"/>
        <v>ー</v>
      </c>
      <c r="U61" s="305" t="s">
        <v>126</v>
      </c>
      <c r="V61" s="369" t="s">
        <v>87</v>
      </c>
      <c r="W61" s="369" t="s">
        <v>119</v>
      </c>
      <c r="X61" s="376"/>
      <c r="Y61" s="376"/>
      <c r="Z61" s="376"/>
      <c r="AA61" s="263"/>
      <c r="AB61" s="263"/>
    </row>
    <row r="62" spans="3:31" ht="19.350000000000001" customHeight="1">
      <c r="C62" s="557"/>
      <c r="D62" s="797"/>
      <c r="E62" s="401" t="s">
        <v>133</v>
      </c>
      <c r="F62" s="402"/>
      <c r="G62" s="361"/>
      <c r="H62" s="296"/>
      <c r="I62" s="14"/>
      <c r="J62" s="15"/>
      <c r="K62" s="297" t="str">
        <f t="shared" si="15"/>
        <v/>
      </c>
      <c r="L62" s="298" t="s">
        <v>68</v>
      </c>
      <c r="M62" s="1073" t="str">
        <f t="shared" ref="M62:M67" si="16">IFERROR(IF(K62="","",$K62*R62),"----------")</f>
        <v/>
      </c>
      <c r="N62" s="299" t="str">
        <f>IF(K62="","",
      IF($T$1=2022,K62*S62,
                  IF(OR(W62="",K62=""),"",K62*W62)))</f>
        <v/>
      </c>
      <c r="P62" s="558" t="s">
        <v>133</v>
      </c>
      <c r="Q62" s="558" t="s">
        <v>5226</v>
      </c>
      <c r="R62" s="556">
        <f t="shared" si="13"/>
        <v>1.19</v>
      </c>
      <c r="S62" s="556" t="str">
        <f t="shared" si="14"/>
        <v>ー</v>
      </c>
      <c r="U62" s="403" t="s">
        <v>5286</v>
      </c>
      <c r="V62" s="404"/>
      <c r="W62" s="221"/>
      <c r="X62" s="376"/>
      <c r="Y62" s="376"/>
      <c r="Z62" s="376"/>
      <c r="AA62" s="263"/>
      <c r="AB62" s="263"/>
    </row>
    <row r="63" spans="3:31" ht="19.350000000000001" customHeight="1">
      <c r="C63" s="557"/>
      <c r="D63" s="797"/>
      <c r="E63" s="397"/>
      <c r="F63" s="398" t="s">
        <v>5285</v>
      </c>
      <c r="G63" s="361"/>
      <c r="H63" s="296"/>
      <c r="I63" s="14"/>
      <c r="J63" s="15"/>
      <c r="K63" s="297" t="str">
        <f t="shared" si="15"/>
        <v/>
      </c>
      <c r="L63" s="298" t="s">
        <v>68</v>
      </c>
      <c r="M63" s="1073" t="str">
        <f>IFERROR(IF(K63="","",$K63*R63),"----------")</f>
        <v/>
      </c>
      <c r="N63" s="400"/>
      <c r="P63" s="558"/>
      <c r="Q63" s="558" t="s">
        <v>5230</v>
      </c>
      <c r="R63" s="556">
        <f t="shared" si="13"/>
        <v>1.19</v>
      </c>
      <c r="S63" s="556" t="str">
        <f t="shared" si="14"/>
        <v>ー</v>
      </c>
      <c r="U63" s="403" t="s">
        <v>5287</v>
      </c>
      <c r="V63" s="404"/>
      <c r="W63" s="221"/>
      <c r="X63" s="376"/>
      <c r="Y63" s="376"/>
      <c r="Z63" s="376"/>
      <c r="AA63" s="263"/>
      <c r="AB63" s="263"/>
    </row>
    <row r="64" spans="3:31" ht="19.350000000000001" customHeight="1">
      <c r="C64" s="557"/>
      <c r="D64" s="797"/>
      <c r="E64" s="401" t="s">
        <v>70</v>
      </c>
      <c r="F64" s="361"/>
      <c r="G64" s="361"/>
      <c r="H64" s="296"/>
      <c r="I64" s="14"/>
      <c r="J64" s="15"/>
      <c r="K64" s="297" t="str">
        <f t="shared" si="15"/>
        <v/>
      </c>
      <c r="L64" s="298" t="s">
        <v>68</v>
      </c>
      <c r="M64" s="1073" t="str">
        <f>IFERROR(IF(K64="","",$K64*R64),"----------")</f>
        <v/>
      </c>
      <c r="N64" s="299" t="str">
        <f>IF(K64="","",
      IF($T$1=2022,K64*S64,
                  IF(OR(W63="",K64=""),"",K64*W63)))</f>
        <v/>
      </c>
      <c r="P64" s="558" t="s">
        <v>70</v>
      </c>
      <c r="Q64" s="558" t="s">
        <v>5227</v>
      </c>
      <c r="R64" s="556">
        <f t="shared" si="13"/>
        <v>1.19</v>
      </c>
      <c r="S64" s="556" t="str">
        <f t="shared" si="14"/>
        <v>ー</v>
      </c>
      <c r="U64" s="171" t="s">
        <v>5288</v>
      </c>
      <c r="V64" s="309"/>
      <c r="W64" s="221"/>
      <c r="X64" s="376"/>
      <c r="Y64" s="376"/>
      <c r="Z64" s="376"/>
      <c r="AA64" s="263"/>
      <c r="AB64" s="263"/>
    </row>
    <row r="65" spans="2:38" ht="19.350000000000001" customHeight="1">
      <c r="C65" s="559"/>
      <c r="D65" s="797"/>
      <c r="E65" s="397"/>
      <c r="F65" s="398" t="s">
        <v>5285</v>
      </c>
      <c r="G65" s="361"/>
      <c r="H65" s="406"/>
      <c r="I65" s="14"/>
      <c r="J65" s="15"/>
      <c r="K65" s="297" t="str">
        <f t="shared" si="15"/>
        <v/>
      </c>
      <c r="L65" s="298" t="s">
        <v>68</v>
      </c>
      <c r="M65" s="1073" t="str">
        <f t="shared" si="16"/>
        <v/>
      </c>
      <c r="N65" s="400"/>
      <c r="P65" s="558"/>
      <c r="Q65" s="558" t="s">
        <v>5231</v>
      </c>
      <c r="R65" s="556">
        <f t="shared" si="13"/>
        <v>1.19</v>
      </c>
      <c r="S65" s="556" t="str">
        <f t="shared" si="14"/>
        <v>ー</v>
      </c>
      <c r="U65" s="329"/>
      <c r="V65" s="329"/>
      <c r="W65" s="329"/>
      <c r="X65" s="376"/>
      <c r="Y65" s="376"/>
      <c r="Z65" s="376"/>
      <c r="AA65" s="263"/>
      <c r="AB65" s="263"/>
    </row>
    <row r="66" spans="2:38" ht="19.350000000000001" customHeight="1">
      <c r="C66" s="559"/>
      <c r="D66" s="797"/>
      <c r="E66" s="401" t="s">
        <v>71</v>
      </c>
      <c r="F66" s="361"/>
      <c r="G66" s="361"/>
      <c r="H66" s="296"/>
      <c r="I66" s="14"/>
      <c r="J66" s="15"/>
      <c r="K66" s="297" t="str">
        <f t="shared" si="15"/>
        <v/>
      </c>
      <c r="L66" s="298" t="s">
        <v>68</v>
      </c>
      <c r="M66" s="1073" t="str">
        <f>IFERROR(IF(K66="","",$K66*R66),"----------")</f>
        <v/>
      </c>
      <c r="N66" s="299" t="str">
        <f>IF(K66="","",
      IF($T$1=2022,K66*S66,
                  IF(OR(W64="",K66=""),"",K66*W64)))</f>
        <v/>
      </c>
      <c r="P66" s="558" t="s">
        <v>71</v>
      </c>
      <c r="Q66" s="558" t="s">
        <v>5228</v>
      </c>
      <c r="R66" s="556">
        <f t="shared" si="13"/>
        <v>1.19</v>
      </c>
      <c r="S66" s="556" t="str">
        <f t="shared" si="14"/>
        <v>ー</v>
      </c>
      <c r="U66" s="329"/>
      <c r="V66" s="329"/>
      <c r="W66" s="329"/>
      <c r="X66" s="376"/>
      <c r="Y66" s="376"/>
      <c r="Z66" s="376"/>
      <c r="AA66" s="263"/>
      <c r="AB66" s="263"/>
    </row>
    <row r="67" spans="2:38" ht="19.350000000000001" customHeight="1">
      <c r="C67" s="559" t="s">
        <v>5083</v>
      </c>
      <c r="D67" s="797"/>
      <c r="E67" s="397"/>
      <c r="F67" s="398" t="s">
        <v>5285</v>
      </c>
      <c r="G67" s="361"/>
      <c r="H67" s="296"/>
      <c r="I67" s="186"/>
      <c r="J67" s="187"/>
      <c r="K67" s="407" t="str">
        <f t="shared" si="15"/>
        <v/>
      </c>
      <c r="L67" s="408" t="s">
        <v>68</v>
      </c>
      <c r="M67" s="1077" t="str">
        <f t="shared" si="16"/>
        <v/>
      </c>
      <c r="N67" s="400"/>
      <c r="P67" s="560"/>
      <c r="Q67" s="558" t="s">
        <v>5232</v>
      </c>
      <c r="R67" s="561">
        <f t="shared" si="13"/>
        <v>1.19</v>
      </c>
      <c r="S67" s="556" t="str">
        <f t="shared" si="14"/>
        <v>ー</v>
      </c>
      <c r="U67" s="305" t="s">
        <v>5289</v>
      </c>
      <c r="V67" s="369" t="s">
        <v>87</v>
      </c>
      <c r="W67" s="369" t="s">
        <v>119</v>
      </c>
      <c r="X67" s="376"/>
      <c r="Y67" s="376"/>
      <c r="Z67" s="376"/>
      <c r="AA67" s="263"/>
      <c r="AB67" s="263"/>
    </row>
    <row r="68" spans="2:38" s="268" customFormat="1" ht="19.350000000000001" customHeight="1">
      <c r="B68" s="263"/>
      <c r="C68" s="557"/>
      <c r="D68" s="797"/>
      <c r="E68" s="401" t="str">
        <f>"その他（"&amp;U68&amp;"）"</f>
        <v>その他（）</v>
      </c>
      <c r="F68" s="361"/>
      <c r="G68" s="361"/>
      <c r="H68" s="296"/>
      <c r="I68" s="14"/>
      <c r="J68" s="15"/>
      <c r="K68" s="297" t="str">
        <f t="shared" si="15"/>
        <v/>
      </c>
      <c r="L68" s="298" t="s">
        <v>68</v>
      </c>
      <c r="M68" s="1078"/>
      <c r="N68" s="590"/>
      <c r="P68" s="560"/>
      <c r="Q68" s="560"/>
      <c r="R68" s="561"/>
      <c r="S68" s="561"/>
      <c r="U68" s="26"/>
      <c r="V68" s="222"/>
      <c r="W68" s="221"/>
      <c r="X68" s="376"/>
      <c r="Y68" s="376"/>
      <c r="Z68" s="376"/>
      <c r="AA68" s="263"/>
      <c r="AB68" s="263"/>
      <c r="AH68" s="8"/>
      <c r="AI68" s="8"/>
      <c r="AJ68" s="8"/>
      <c r="AK68" s="8"/>
      <c r="AL68" s="8"/>
    </row>
    <row r="69" spans="2:38" s="268" customFormat="1" ht="19.350000000000001" customHeight="1">
      <c r="B69" s="263"/>
      <c r="C69" s="557"/>
      <c r="D69" s="798"/>
      <c r="E69" s="410"/>
      <c r="F69" s="411" t="s">
        <v>5285</v>
      </c>
      <c r="G69" s="328"/>
      <c r="H69" s="406"/>
      <c r="I69" s="188"/>
      <c r="J69" s="189"/>
      <c r="K69" s="412" t="str">
        <f t="shared" si="15"/>
        <v/>
      </c>
      <c r="L69" s="413" t="s">
        <v>68</v>
      </c>
      <c r="M69" s="1079"/>
      <c r="N69" s="414"/>
      <c r="P69" s="560"/>
      <c r="Q69" s="560"/>
      <c r="R69" s="561"/>
      <c r="S69" s="561"/>
      <c r="U69" s="415" t="s">
        <v>5285</v>
      </c>
      <c r="V69" s="416" t="str">
        <f>IF(V68="","",V68)</f>
        <v/>
      </c>
      <c r="W69" s="417"/>
      <c r="X69" s="376"/>
      <c r="Y69" s="376"/>
      <c r="Z69" s="376"/>
      <c r="AA69" s="263"/>
      <c r="AB69" s="263"/>
      <c r="AH69" s="8"/>
      <c r="AI69" s="8"/>
      <c r="AJ69" s="8"/>
      <c r="AK69" s="8"/>
    </row>
    <row r="70" spans="2:38" s="268" customFormat="1" ht="14.1" customHeight="1">
      <c r="B70" s="263"/>
      <c r="C70" s="557"/>
      <c r="D70" s="418"/>
      <c r="E70" s="419"/>
      <c r="F70" s="419"/>
      <c r="G70" s="419"/>
      <c r="H70" s="419"/>
      <c r="I70" s="419"/>
      <c r="J70" s="419"/>
      <c r="K70" s="419"/>
      <c r="L70" s="419"/>
      <c r="M70" s="562"/>
      <c r="N70" s="563"/>
      <c r="O70" s="564"/>
      <c r="P70" s="561"/>
      <c r="Q70" s="561"/>
      <c r="R70" s="561"/>
      <c r="S70" s="561"/>
      <c r="U70" s="329"/>
      <c r="V70" s="329"/>
      <c r="W70" s="329"/>
      <c r="X70" s="376"/>
      <c r="Y70" s="376"/>
      <c r="Z70" s="376"/>
      <c r="AA70" s="263"/>
      <c r="AB70" s="263"/>
      <c r="AH70" s="8"/>
      <c r="AI70" s="8"/>
      <c r="AJ70" s="8"/>
      <c r="AK70" s="8"/>
    </row>
    <row r="71" spans="2:38" s="268" customFormat="1" ht="19.350000000000001" customHeight="1">
      <c r="B71" s="263"/>
      <c r="C71" s="557"/>
      <c r="D71" s="421"/>
      <c r="E71" s="422"/>
      <c r="F71" s="422"/>
      <c r="G71" s="422"/>
      <c r="H71" s="422"/>
      <c r="I71" s="422"/>
      <c r="J71" s="422"/>
      <c r="K71" s="565"/>
      <c r="L71" s="565"/>
      <c r="M71" s="566"/>
      <c r="N71" s="567"/>
      <c r="O71" s="564"/>
      <c r="P71" s="561"/>
      <c r="Q71" s="561"/>
      <c r="R71" s="561"/>
      <c r="S71" s="561"/>
      <c r="T71" s="568"/>
      <c r="U71" s="305" t="s">
        <v>5313</v>
      </c>
      <c r="V71" s="369" t="s">
        <v>87</v>
      </c>
      <c r="W71" s="263"/>
      <c r="X71" s="376"/>
      <c r="Y71" s="376"/>
      <c r="Z71" s="376"/>
      <c r="AA71" s="263"/>
      <c r="AB71" s="263"/>
      <c r="AH71" s="8"/>
      <c r="AI71" s="8"/>
      <c r="AJ71" s="8"/>
      <c r="AK71" s="8"/>
    </row>
    <row r="72" spans="2:38" s="268" customFormat="1" ht="32.1" customHeight="1">
      <c r="B72" s="263"/>
      <c r="C72" s="559"/>
      <c r="D72" s="781" t="s">
        <v>5312</v>
      </c>
      <c r="E72" s="394" t="s">
        <v>5043</v>
      </c>
      <c r="F72" s="284"/>
      <c r="G72" s="284"/>
      <c r="H72" s="395"/>
      <c r="I72" s="11"/>
      <c r="J72" s="12"/>
      <c r="K72" s="424" t="str">
        <f t="shared" ref="K72:K75" si="17">IF(I72="","",SUM(I72)-SUM(J72))</f>
        <v/>
      </c>
      <c r="L72" s="286" t="s">
        <v>68</v>
      </c>
      <c r="M72" s="1072" t="str">
        <f>IF($T$1=2022,"----------",IFERROR(IF(V72="","",$K72*V72),""))</f>
        <v/>
      </c>
      <c r="N72" s="569"/>
      <c r="O72" s="564"/>
      <c r="P72" s="556"/>
      <c r="Q72" s="556"/>
      <c r="R72" s="556"/>
      <c r="S72" s="556"/>
      <c r="U72" s="171" t="s">
        <v>5043</v>
      </c>
      <c r="V72" s="222"/>
      <c r="W72" s="376"/>
      <c r="X72" s="376"/>
      <c r="Y72" s="376"/>
      <c r="Z72" s="376"/>
      <c r="AA72" s="263"/>
      <c r="AB72" s="263"/>
      <c r="AH72" s="8"/>
      <c r="AI72" s="8"/>
      <c r="AJ72" s="8"/>
      <c r="AK72" s="8"/>
    </row>
    <row r="73" spans="2:38" ht="32.1" customHeight="1">
      <c r="C73" s="557"/>
      <c r="D73" s="782"/>
      <c r="E73" s="402" t="s">
        <v>5044</v>
      </c>
      <c r="F73" s="361"/>
      <c r="G73" s="361"/>
      <c r="H73" s="296"/>
      <c r="I73" s="14"/>
      <c r="J73" s="15"/>
      <c r="K73" s="297" t="str">
        <f t="shared" si="17"/>
        <v/>
      </c>
      <c r="L73" s="298" t="s">
        <v>68</v>
      </c>
      <c r="M73" s="1073" t="str">
        <f>IF($T$1=2022,"----------",IFERROR(IF(V73="","",$K73*V73),""))</f>
        <v/>
      </c>
      <c r="N73" s="400"/>
      <c r="P73" s="558"/>
      <c r="Q73" s="558"/>
      <c r="R73" s="556"/>
      <c r="S73" s="556"/>
      <c r="U73" s="171" t="s">
        <v>5044</v>
      </c>
      <c r="V73" s="222"/>
      <c r="W73" s="263"/>
      <c r="X73" s="376"/>
      <c r="Y73" s="263"/>
      <c r="Z73" s="263"/>
      <c r="AA73" s="263"/>
      <c r="AB73" s="263"/>
      <c r="AL73" s="268"/>
    </row>
    <row r="74" spans="2:38" ht="32.1" customHeight="1">
      <c r="C74" s="557"/>
      <c r="D74" s="782"/>
      <c r="E74" s="402" t="s">
        <v>5045</v>
      </c>
      <c r="F74" s="361"/>
      <c r="G74" s="361"/>
      <c r="H74" s="296"/>
      <c r="I74" s="14"/>
      <c r="J74" s="15"/>
      <c r="K74" s="297" t="str">
        <f t="shared" si="17"/>
        <v/>
      </c>
      <c r="L74" s="298" t="s">
        <v>68</v>
      </c>
      <c r="M74" s="1073" t="str">
        <f>IF($T$1=2022,"----------",IFERROR(IF(V74="","",$K74*V74),""))</f>
        <v/>
      </c>
      <c r="N74" s="400"/>
      <c r="P74" s="558"/>
      <c r="Q74" s="558"/>
      <c r="R74" s="556"/>
      <c r="S74" s="556"/>
      <c r="U74" s="171" t="s">
        <v>5045</v>
      </c>
      <c r="V74" s="222"/>
      <c r="W74" s="263"/>
      <c r="X74" s="376"/>
      <c r="Y74" s="263"/>
      <c r="Z74" s="263"/>
      <c r="AA74" s="263"/>
      <c r="AB74" s="263"/>
      <c r="AL74" s="268"/>
    </row>
    <row r="75" spans="2:38" ht="32.1" customHeight="1">
      <c r="C75" s="557"/>
      <c r="D75" s="782"/>
      <c r="E75" s="402" t="s">
        <v>5046</v>
      </c>
      <c r="F75" s="361"/>
      <c r="G75" s="361"/>
      <c r="H75" s="296"/>
      <c r="I75" s="14"/>
      <c r="J75" s="15"/>
      <c r="K75" s="297" t="str">
        <f t="shared" si="17"/>
        <v/>
      </c>
      <c r="L75" s="298" t="s">
        <v>68</v>
      </c>
      <c r="M75" s="1073" t="str">
        <f>IF($T$1=2022,"----------",IFERROR(IF(V75="","",$K75*V75),""))</f>
        <v/>
      </c>
      <c r="N75" s="400"/>
      <c r="P75" s="558"/>
      <c r="Q75" s="558"/>
      <c r="R75" s="556"/>
      <c r="S75" s="556"/>
      <c r="U75" s="171" t="s">
        <v>5046</v>
      </c>
      <c r="V75" s="222"/>
      <c r="W75" s="263"/>
      <c r="X75" s="376"/>
      <c r="Y75" s="263"/>
      <c r="Z75" s="263"/>
      <c r="AA75" s="263"/>
      <c r="AB75" s="263"/>
      <c r="AC75" s="427"/>
      <c r="AF75" s="427"/>
      <c r="AG75" s="427"/>
    </row>
    <row r="76" spans="2:38" ht="32.1" customHeight="1" thickBot="1">
      <c r="C76" s="557"/>
      <c r="D76" s="783"/>
      <c r="E76" s="428" t="str">
        <f>"その他 （"&amp;U76&amp;"）"</f>
        <v>その他 （）</v>
      </c>
      <c r="F76" s="429"/>
      <c r="G76" s="429"/>
      <c r="H76" s="430"/>
      <c r="I76" s="27"/>
      <c r="J76" s="28"/>
      <c r="K76" s="431" t="str">
        <f>IF(I76="","",SUM(I76)-SUM(J76))</f>
        <v/>
      </c>
      <c r="L76" s="298" t="s">
        <v>68</v>
      </c>
      <c r="M76" s="1073" t="str">
        <f>IF($T$1=2022,"----------",IFERROR(IF(V76="","",$K76*V76),""))</f>
        <v/>
      </c>
      <c r="N76" s="472"/>
      <c r="P76" s="558"/>
      <c r="Q76" s="556"/>
      <c r="R76" s="556"/>
      <c r="S76" s="556"/>
      <c r="U76" s="26"/>
      <c r="V76" s="222"/>
      <c r="W76" s="263"/>
      <c r="X76" s="376"/>
      <c r="Y76" s="263"/>
      <c r="Z76" s="263"/>
      <c r="AA76" s="263"/>
      <c r="AB76" s="263"/>
      <c r="AC76" s="377"/>
      <c r="AF76" s="377"/>
      <c r="AG76" s="377"/>
    </row>
    <row r="77" spans="2:38" ht="19.350000000000001" customHeight="1" thickTop="1">
      <c r="C77" s="502"/>
      <c r="D77" s="434"/>
      <c r="E77" s="435"/>
      <c r="F77" s="436" t="s">
        <v>5047</v>
      </c>
      <c r="G77" s="437"/>
      <c r="H77" s="438"/>
      <c r="I77" s="439">
        <f>SUM(I61,I63,I65,I67,I69,I72:I76)</f>
        <v>0</v>
      </c>
      <c r="J77" s="440">
        <f>SUM(J61,J63,J65,J67,J69,J72:J76)</f>
        <v>0</v>
      </c>
      <c r="K77" s="440">
        <f>SUM(K61,K63,K65,K67,K69,K72:K76)</f>
        <v>0</v>
      </c>
      <c r="L77" s="441" t="s">
        <v>68</v>
      </c>
      <c r="M77" s="1080">
        <f>SUM(M61,M63,M65,M67,M69,M72:M76)</f>
        <v>0</v>
      </c>
      <c r="N77" s="442"/>
      <c r="P77" s="570"/>
      <c r="Q77" s="570"/>
      <c r="R77" s="570"/>
      <c r="S77" s="570"/>
      <c r="U77" s="376"/>
      <c r="V77" s="376"/>
      <c r="W77" s="263"/>
      <c r="X77" s="376"/>
      <c r="Y77" s="263"/>
      <c r="Z77" s="263"/>
      <c r="AA77" s="263"/>
      <c r="AB77" s="263"/>
      <c r="AC77" s="377"/>
      <c r="AD77" s="427"/>
      <c r="AE77" s="427"/>
      <c r="AF77" s="377"/>
      <c r="AG77" s="377"/>
    </row>
    <row r="78" spans="2:38" ht="19.350000000000001" customHeight="1" thickBot="1">
      <c r="C78" s="784" t="s">
        <v>72</v>
      </c>
      <c r="D78" s="785"/>
      <c r="E78" s="785"/>
      <c r="F78" s="785"/>
      <c r="G78" s="785"/>
      <c r="H78" s="786"/>
      <c r="I78" s="443">
        <f>SUM(I60,I62,I64,I66,I68,I72:I76)</f>
        <v>0</v>
      </c>
      <c r="J78" s="444">
        <f>SUM(J60,J62,J64,J66,J68,J72:J76)</f>
        <v>0</v>
      </c>
      <c r="K78" s="444">
        <f>SUM(K60,K62,K64,K66,K68,K72:K76)</f>
        <v>0</v>
      </c>
      <c r="L78" s="445" t="s">
        <v>68</v>
      </c>
      <c r="M78" s="1081">
        <f>SUM(M60,M62,M64,M66,M68,M72:M76)</f>
        <v>0</v>
      </c>
      <c r="N78" s="446">
        <f>SUM(N60:N69)</f>
        <v>0</v>
      </c>
      <c r="P78"/>
      <c r="Q78"/>
      <c r="R78"/>
      <c r="S78"/>
      <c r="U78" s="263"/>
      <c r="V78" s="263"/>
      <c r="W78" s="263"/>
      <c r="X78" s="263"/>
      <c r="Y78" s="263"/>
      <c r="Z78" s="263"/>
      <c r="AA78" s="263"/>
      <c r="AB78" s="263"/>
      <c r="AC78" s="377"/>
      <c r="AD78" s="377"/>
      <c r="AE78" s="377"/>
      <c r="AF78" s="377"/>
      <c r="AG78" s="377"/>
    </row>
    <row r="79" spans="2:38" ht="19.350000000000001" customHeight="1" thickBot="1">
      <c r="C79" s="762" t="s">
        <v>5290</v>
      </c>
      <c r="D79" s="763"/>
      <c r="E79" s="763"/>
      <c r="F79" s="763"/>
      <c r="G79" s="763"/>
      <c r="H79" s="764"/>
      <c r="I79" s="735" t="s">
        <v>127</v>
      </c>
      <c r="J79" s="737" t="s">
        <v>40</v>
      </c>
      <c r="K79" s="739" t="s">
        <v>41</v>
      </c>
      <c r="L79" s="741" t="s">
        <v>42</v>
      </c>
      <c r="M79" s="760" t="s">
        <v>5183</v>
      </c>
      <c r="N79" s="745" t="s">
        <v>5184</v>
      </c>
      <c r="P79"/>
      <c r="Q79"/>
      <c r="R79"/>
      <c r="S79"/>
      <c r="U79" s="731" t="s">
        <v>5048</v>
      </c>
      <c r="V79" s="715" t="s">
        <v>5291</v>
      </c>
      <c r="W79" s="715" t="s">
        <v>5292</v>
      </c>
      <c r="X79" s="715" t="s">
        <v>5049</v>
      </c>
      <c r="Y79" s="715" t="s">
        <v>5392</v>
      </c>
      <c r="Z79" s="715" t="s">
        <v>5395</v>
      </c>
      <c r="AA79" s="715" t="s">
        <v>5396</v>
      </c>
      <c r="AB79" s="448"/>
      <c r="AC79" s="377"/>
      <c r="AD79" s="377"/>
      <c r="AE79" s="377"/>
      <c r="AF79" s="377"/>
      <c r="AG79" s="377"/>
    </row>
    <row r="80" spans="2:38" ht="19.350000000000001" customHeight="1">
      <c r="C80" s="790"/>
      <c r="D80" s="791"/>
      <c r="E80" s="791"/>
      <c r="F80" s="791"/>
      <c r="G80" s="791"/>
      <c r="H80" s="792"/>
      <c r="I80" s="736"/>
      <c r="J80" s="738"/>
      <c r="K80" s="740"/>
      <c r="L80" s="742"/>
      <c r="M80" s="744"/>
      <c r="N80" s="746"/>
      <c r="P80" s="547" t="s">
        <v>5255</v>
      </c>
      <c r="Q80" s="547" t="s">
        <v>5256</v>
      </c>
      <c r="R80" s="547" t="s">
        <v>5059</v>
      </c>
      <c r="S80" s="547" t="s">
        <v>5209</v>
      </c>
      <c r="U80" s="732"/>
      <c r="V80" s="716"/>
      <c r="W80" s="716"/>
      <c r="X80" s="716"/>
      <c r="Y80" s="716"/>
      <c r="Z80" s="716"/>
      <c r="AA80" s="716"/>
      <c r="AB80" s="448"/>
      <c r="AC80" s="377"/>
      <c r="AD80" s="377"/>
      <c r="AE80" s="377"/>
      <c r="AF80" s="377"/>
      <c r="AG80" s="377"/>
    </row>
    <row r="81" spans="1:34" ht="19.350000000000001" customHeight="1">
      <c r="C81" s="449"/>
      <c r="D81" s="410" t="s">
        <v>5295</v>
      </c>
      <c r="E81" s="273"/>
      <c r="F81" s="419"/>
      <c r="G81" s="419"/>
      <c r="H81" s="395"/>
      <c r="I81" s="450" t="str">
        <f>IF(COUNTBLANK(V81:W85)=10,"",SUM(I82:I83))</f>
        <v/>
      </c>
      <c r="J81" s="451"/>
      <c r="K81" s="452" t="str">
        <f>I81</f>
        <v/>
      </c>
      <c r="L81" s="453" t="s">
        <v>5190</v>
      </c>
      <c r="M81" s="1082" t="str">
        <f>IF(COUNTBLANK(V81:W85)=10,"",SUM(M82,M83))</f>
        <v/>
      </c>
      <c r="N81" s="287" t="str">
        <f>IF(COUNTBLANK(V81:W85)=10,"",SUM(N82,N83))</f>
        <v/>
      </c>
      <c r="P81" s="454"/>
      <c r="Q81" s="454"/>
      <c r="R81" s="454"/>
      <c r="S81" s="454"/>
      <c r="U81" s="227"/>
      <c r="V81" s="223"/>
      <c r="W81" s="223"/>
      <c r="X81" s="225"/>
      <c r="Y81" s="226"/>
      <c r="Z81" s="455" t="str">
        <f>IF(V81="","",V81*Y81)</f>
        <v/>
      </c>
      <c r="AA81" s="455" t="str">
        <f>IF(W81="","",W81*Y81)</f>
        <v/>
      </c>
      <c r="AB81" s="447"/>
      <c r="AC81" s="457"/>
      <c r="AD81" s="377"/>
      <c r="AE81" s="377"/>
      <c r="AF81" s="457"/>
      <c r="AG81" s="457"/>
    </row>
    <row r="82" spans="1:34" ht="19.350000000000001" customHeight="1">
      <c r="C82" s="449"/>
      <c r="D82" s="410"/>
      <c r="E82" s="334" t="s">
        <v>5318</v>
      </c>
      <c r="F82" s="334"/>
      <c r="G82" s="458"/>
      <c r="H82" s="335"/>
      <c r="I82" s="459" t="str">
        <f>IF(COUNTBLANK(V81:W85)=10,"",V86)</f>
        <v/>
      </c>
      <c r="J82" s="460"/>
      <c r="K82" s="461" t="str">
        <f t="shared" ref="K82:K85" si="18">I82</f>
        <v/>
      </c>
      <c r="L82" s="571" t="s">
        <v>5296</v>
      </c>
      <c r="M82" s="1083" t="str">
        <f>IFERROR(IF(K82="","",$K82*R82),"-------------")</f>
        <v/>
      </c>
      <c r="N82" s="299" t="str">
        <f>IF(COUNTBLANK(V81:W85)=10,"",Z86)</f>
        <v/>
      </c>
      <c r="P82" s="454" t="s">
        <v>5234</v>
      </c>
      <c r="Q82" s="454" t="s">
        <v>5234</v>
      </c>
      <c r="R82" s="454">
        <f t="shared" ref="R82:R86" si="19">IF($T$1=2022,VLOOKUP($P82,係数2022,7,0),VLOOKUP($Q82,係数2023,7,0))</f>
        <v>8.64</v>
      </c>
      <c r="S82" s="454"/>
      <c r="U82" s="227"/>
      <c r="V82" s="223"/>
      <c r="W82" s="223"/>
      <c r="X82" s="225"/>
      <c r="Y82" s="226"/>
      <c r="Z82" s="455" t="str">
        <f t="shared" ref="Z82:Z85" si="20">IF(V82="","",V82*Y82)</f>
        <v/>
      </c>
      <c r="AA82" s="455" t="str">
        <f t="shared" ref="AA82:AA85" si="21">IF(W82="","",W82*Y82)</f>
        <v/>
      </c>
      <c r="AB82" s="447"/>
      <c r="AC82" s="457"/>
      <c r="AD82" s="377"/>
      <c r="AE82" s="377"/>
      <c r="AF82" s="457"/>
      <c r="AG82" s="457"/>
    </row>
    <row r="83" spans="1:34" ht="19.350000000000001" customHeight="1">
      <c r="C83" s="449"/>
      <c r="D83" s="410"/>
      <c r="E83" s="334" t="s">
        <v>5319</v>
      </c>
      <c r="F83" s="334"/>
      <c r="G83" s="458"/>
      <c r="H83" s="463"/>
      <c r="I83" s="459" t="str">
        <f>IF(COUNTBLANK(V81:W85)=10,"",W86)</f>
        <v/>
      </c>
      <c r="J83" s="460"/>
      <c r="K83" s="461" t="str">
        <f t="shared" si="18"/>
        <v/>
      </c>
      <c r="L83" s="571" t="s">
        <v>5297</v>
      </c>
      <c r="M83" s="1083" t="str">
        <f>IFERROR(IF(K83="","",$K83*R83),"-------------")</f>
        <v/>
      </c>
      <c r="N83" s="299" t="str">
        <f>IF(COUNTBLANK(V81:W85)=10,"",AA86)</f>
        <v/>
      </c>
      <c r="P83" s="454" t="s">
        <v>5235</v>
      </c>
      <c r="Q83" s="454" t="s">
        <v>5235</v>
      </c>
      <c r="R83" s="454">
        <f t="shared" si="19"/>
        <v>8.64</v>
      </c>
      <c r="S83" s="454"/>
      <c r="U83" s="227"/>
      <c r="V83" s="223"/>
      <c r="W83" s="223"/>
      <c r="X83" s="225"/>
      <c r="Y83" s="226"/>
      <c r="Z83" s="455" t="str">
        <f t="shared" si="20"/>
        <v/>
      </c>
      <c r="AA83" s="455" t="str">
        <f t="shared" si="21"/>
        <v/>
      </c>
      <c r="AB83" s="447"/>
      <c r="AC83" s="8"/>
      <c r="AD83" s="457"/>
      <c r="AE83" s="457"/>
      <c r="AF83" s="8"/>
      <c r="AG83" s="8"/>
    </row>
    <row r="84" spans="1:34" ht="19.350000000000001" customHeight="1">
      <c r="C84" s="464" t="s">
        <v>5050</v>
      </c>
      <c r="D84" s="465"/>
      <c r="E84" s="39"/>
      <c r="F84" s="466" t="s">
        <v>5041</v>
      </c>
      <c r="G84" s="467"/>
      <c r="H84" s="430"/>
      <c r="I84" s="468" t="str">
        <f>IF($T$1=2022,"----------",IF(COUNTBLANK(V81:W85)=10,"",SUMPRODUCT(V81:V85,X81:X85)+SUMPRODUCT(W81:W85,X81:X85)))</f>
        <v/>
      </c>
      <c r="J84" s="469"/>
      <c r="K84" s="470" t="str">
        <f>I84</f>
        <v/>
      </c>
      <c r="L84" s="572" t="s">
        <v>5190</v>
      </c>
      <c r="M84" s="1084" t="str">
        <f>IF($T$1=2022,"----------",IF(M81&lt;&gt;"",K84*R84,""))</f>
        <v/>
      </c>
      <c r="N84" s="472"/>
      <c r="P84" s="454"/>
      <c r="Q84" s="454" t="s">
        <v>5298</v>
      </c>
      <c r="R84" s="454">
        <f t="shared" si="19"/>
        <v>8.64</v>
      </c>
      <c r="S84" s="454"/>
      <c r="U84" s="228"/>
      <c r="V84" s="223"/>
      <c r="W84" s="223"/>
      <c r="X84" s="225"/>
      <c r="Y84" s="226"/>
      <c r="Z84" s="455" t="str">
        <f t="shared" si="20"/>
        <v/>
      </c>
      <c r="AA84" s="455" t="str">
        <f t="shared" si="21"/>
        <v/>
      </c>
      <c r="AB84" s="447"/>
      <c r="AC84" s="8"/>
      <c r="AD84" s="8"/>
      <c r="AE84" s="8"/>
      <c r="AF84" s="8"/>
      <c r="AG84" s="8"/>
      <c r="AH84" s="268"/>
    </row>
    <row r="85" spans="1:34" ht="19.350000000000001" customHeight="1" thickBot="1">
      <c r="C85" s="464" t="s">
        <v>5299</v>
      </c>
      <c r="D85" s="410" t="s">
        <v>5301</v>
      </c>
      <c r="E85" s="273"/>
      <c r="F85" s="419"/>
      <c r="G85" s="419"/>
      <c r="H85" s="473"/>
      <c r="I85" s="474" t="str">
        <f>IF(COUNTBLANK(W91:W93)+COUNTBLANK(W97:W98)=5,"",W99)</f>
        <v/>
      </c>
      <c r="J85" s="475"/>
      <c r="K85" s="476" t="str">
        <f t="shared" si="18"/>
        <v/>
      </c>
      <c r="L85" s="573" t="s">
        <v>5190</v>
      </c>
      <c r="M85" s="1082" t="str">
        <f>IF(K85="","",IF(COUNTBLANK(W91:W93)+COUNTBLANK(W97:W98)=5,"",SUM(AB99)))</f>
        <v/>
      </c>
      <c r="N85" s="478" t="str">
        <f>IF(I85="","",SUMPRODUCT(W91:W93,Y91:Y93)+SUMPRODUCT(W97:W98,Y97:Y98))</f>
        <v/>
      </c>
      <c r="P85" s="479" t="s">
        <v>5300</v>
      </c>
      <c r="Q85" s="479" t="s">
        <v>5300</v>
      </c>
      <c r="R85" s="454">
        <f t="shared" si="19"/>
        <v>8.64</v>
      </c>
      <c r="S85" s="480"/>
      <c r="U85" s="229"/>
      <c r="V85" s="230"/>
      <c r="W85" s="230"/>
      <c r="X85" s="225"/>
      <c r="Y85" s="226"/>
      <c r="Z85" s="455" t="str">
        <f t="shared" si="20"/>
        <v/>
      </c>
      <c r="AA85" s="455" t="str">
        <f t="shared" si="21"/>
        <v/>
      </c>
      <c r="AB85" s="447"/>
      <c r="AC85" s="8"/>
      <c r="AD85" s="8"/>
      <c r="AE85" s="8"/>
      <c r="AF85" s="8"/>
      <c r="AG85" s="8"/>
      <c r="AH85" s="268"/>
    </row>
    <row r="86" spans="1:34" ht="19.350000000000001" customHeight="1" thickTop="1">
      <c r="C86" s="464"/>
      <c r="D86" s="465"/>
      <c r="E86" s="39"/>
      <c r="F86" s="466" t="s">
        <v>5041</v>
      </c>
      <c r="G86" s="467"/>
      <c r="H86" s="430"/>
      <c r="I86" s="468" t="str">
        <f>IF($T$1=2022,"----------",IF(COUNTBLANK(W91:W93)+COUNTBLANK(W97:W98)=5,"",SUMPRODUCT(W91:W98,X91:X98)))</f>
        <v/>
      </c>
      <c r="J86" s="469"/>
      <c r="K86" s="470" t="str">
        <f>I86</f>
        <v/>
      </c>
      <c r="L86" s="572" t="s">
        <v>5190</v>
      </c>
      <c r="M86" s="1084" t="str">
        <f>IF($T$1=2022,"----------",IF(COUNTBLANK(W91:W93)+COUNTBLANK(W97:W98)=5,"",SUM(AB99)*X99))</f>
        <v/>
      </c>
      <c r="N86" s="472"/>
      <c r="P86" s="479"/>
      <c r="Q86" s="479" t="s">
        <v>5300</v>
      </c>
      <c r="R86" s="454">
        <f t="shared" si="19"/>
        <v>8.64</v>
      </c>
      <c r="S86" s="480"/>
      <c r="U86" s="481" t="s">
        <v>118</v>
      </c>
      <c r="V86" s="482" t="str">
        <f>IF(COUNTBLANK(V81:V85)=5,"",SUM(V81:V85))</f>
        <v/>
      </c>
      <c r="W86" s="482" t="str">
        <f>IF(COUNTBLANK(W81:W85)=5,"",SUM(W81:W85))</f>
        <v/>
      </c>
      <c r="X86" s="483" t="str">
        <f>IF(COUNTBLANK(U81:U85)=5,"",
         IFERROR(
                 IF($T$1=2022,"---------------",
                        (SUMPRODUCT(V81:V85,X81:X85)+SUMPRODUCT(W81:W85,X81:X85))/SUM(V86,W86)),"使用量未入力"))</f>
        <v/>
      </c>
      <c r="Y86" s="484"/>
      <c r="Z86" s="485" t="str">
        <f>IF(COUNTBLANK(V81:V85)=5,"",SUM(Z81:Z85))</f>
        <v/>
      </c>
      <c r="AA86" s="485" t="str">
        <f>IF(COUNTBLANK(W81:W85)=5,"",SUM(AA81:AA85))</f>
        <v/>
      </c>
      <c r="AB86" s="456"/>
      <c r="AC86" s="8"/>
      <c r="AD86" s="8"/>
      <c r="AE86" s="8"/>
      <c r="AF86" s="8"/>
      <c r="AG86" s="8"/>
      <c r="AH86" s="268"/>
    </row>
    <row r="87" spans="1:34" ht="19.350000000000001" customHeight="1">
      <c r="C87" s="464"/>
      <c r="D87" s="486" t="s">
        <v>124</v>
      </c>
      <c r="E87" s="487"/>
      <c r="F87" s="488"/>
      <c r="G87" s="488"/>
      <c r="H87" s="489"/>
      <c r="I87" s="490"/>
      <c r="J87" s="491" t="str">
        <f>IF(W103="","",SUM(W103))</f>
        <v/>
      </c>
      <c r="K87" s="491" t="str">
        <f>IF(J87="","",-SUM(J87))</f>
        <v/>
      </c>
      <c r="L87" s="574" t="s">
        <v>5190</v>
      </c>
      <c r="M87" s="1085" t="str">
        <f>IF(K87="","",$K87*X103)</f>
        <v/>
      </c>
      <c r="N87" s="493" t="str">
        <f>IF(J87="","",-SUM(Z103))</f>
        <v/>
      </c>
      <c r="P87" s="454"/>
      <c r="Q87" s="454"/>
      <c r="R87" s="454"/>
      <c r="S87" s="480"/>
      <c r="U87" s="494"/>
      <c r="V87" s="447"/>
      <c r="W87" s="447"/>
      <c r="X87" s="495"/>
      <c r="Y87" s="447"/>
      <c r="Z87" s="456"/>
      <c r="AA87" s="456"/>
      <c r="AB87" s="456"/>
      <c r="AC87" s="8"/>
      <c r="AD87" s="8"/>
      <c r="AE87" s="8"/>
      <c r="AF87" s="8"/>
      <c r="AG87" s="8"/>
      <c r="AH87" s="268"/>
    </row>
    <row r="88" spans="1:34" ht="19.350000000000001" customHeight="1" thickBot="1">
      <c r="C88" s="496"/>
      <c r="D88" s="497" t="s">
        <v>5051</v>
      </c>
      <c r="E88" s="498"/>
      <c r="F88" s="498"/>
      <c r="G88" s="498"/>
      <c r="H88" s="499"/>
      <c r="I88" s="474" t="str">
        <f>IF($T$1=2022,"----------",IF(COUNTBLANK(W107:W110)=4,"",W111))</f>
        <v/>
      </c>
      <c r="J88" s="475"/>
      <c r="K88" s="476" t="str">
        <f>IF(T1=2022,"----------",IF(I88="","",SUM(I88)))</f>
        <v/>
      </c>
      <c r="L88" s="573" t="s">
        <v>5190</v>
      </c>
      <c r="M88" s="1086" t="str">
        <f>IF(COUNTBLANK(W107:W110)=4,"",K88*3.6)</f>
        <v/>
      </c>
      <c r="N88" s="500"/>
      <c r="P88" s="501"/>
      <c r="Q88" s="501"/>
      <c r="R88" s="501"/>
      <c r="S88" s="501"/>
      <c r="U88" s="494"/>
      <c r="V88" s="447"/>
      <c r="W88" s="447"/>
      <c r="X88" s="263"/>
      <c r="Y88" s="263"/>
      <c r="Z88" s="303"/>
      <c r="AA88" s="303"/>
      <c r="AB88" s="303"/>
      <c r="AC88" s="8"/>
      <c r="AD88" s="8"/>
      <c r="AE88" s="8"/>
      <c r="AF88" s="8"/>
      <c r="AG88" s="8"/>
      <c r="AH88" s="268"/>
    </row>
    <row r="89" spans="1:34" ht="19.350000000000001" customHeight="1" thickTop="1">
      <c r="C89" s="502"/>
      <c r="D89" s="434"/>
      <c r="E89" s="503"/>
      <c r="F89" s="787" t="s">
        <v>5047</v>
      </c>
      <c r="G89" s="788"/>
      <c r="H89" s="789"/>
      <c r="I89" s="504">
        <f>IF($T$1=2022,"----------",SUM(I84,I86,I88))</f>
        <v>0</v>
      </c>
      <c r="J89" s="505"/>
      <c r="K89" s="506">
        <f>IF($T$1=2022,"----------",SUM(K84,K86,K88))</f>
        <v>0</v>
      </c>
      <c r="L89" s="507" t="s">
        <v>5317</v>
      </c>
      <c r="M89" s="1088">
        <f>SUM(M84,M86,M88)</f>
        <v>0</v>
      </c>
      <c r="N89" s="508"/>
      <c r="P89" s="570"/>
      <c r="Q89" s="570"/>
      <c r="R89" s="570"/>
      <c r="S89" s="570"/>
      <c r="U89" s="723" t="s">
        <v>5302</v>
      </c>
      <c r="V89" s="725"/>
      <c r="W89" s="715" t="s">
        <v>3110</v>
      </c>
      <c r="X89" s="715" t="s">
        <v>5049</v>
      </c>
      <c r="Y89" s="715" t="s">
        <v>5392</v>
      </c>
      <c r="Z89" s="715" t="s">
        <v>5393</v>
      </c>
      <c r="AA89" s="715" t="s">
        <v>3108</v>
      </c>
      <c r="AB89" s="727" t="s">
        <v>5303</v>
      </c>
      <c r="AC89" s="8"/>
      <c r="AD89" s="8"/>
      <c r="AE89" s="8"/>
      <c r="AF89" s="8"/>
      <c r="AG89" s="8"/>
      <c r="AH89" s="268"/>
    </row>
    <row r="90" spans="1:34" ht="19.350000000000001" customHeight="1" thickBot="1">
      <c r="C90" s="784" t="s">
        <v>72</v>
      </c>
      <c r="D90" s="785"/>
      <c r="E90" s="785"/>
      <c r="F90" s="785"/>
      <c r="G90" s="785"/>
      <c r="H90" s="786"/>
      <c r="I90" s="509">
        <f>SUM(I81,I85,I87,I88)</f>
        <v>0</v>
      </c>
      <c r="J90" s="510">
        <f>SUM(J87)</f>
        <v>0</v>
      </c>
      <c r="K90" s="510">
        <f>SUM(K81,K85,K87,K88)</f>
        <v>0</v>
      </c>
      <c r="L90" s="511" t="s">
        <v>5317</v>
      </c>
      <c r="M90" s="1089">
        <f>SUM(M81,M85,M87,M88)</f>
        <v>0</v>
      </c>
      <c r="N90" s="512">
        <f>SUM(N81,N85,N87)</f>
        <v>0</v>
      </c>
      <c r="P90"/>
      <c r="Q90"/>
      <c r="R90"/>
      <c r="S90"/>
      <c r="U90" s="724"/>
      <c r="V90" s="726"/>
      <c r="W90" s="716"/>
      <c r="X90" s="716"/>
      <c r="Y90" s="716"/>
      <c r="Z90" s="716"/>
      <c r="AA90" s="716"/>
      <c r="AB90" s="728"/>
      <c r="AC90" s="8"/>
      <c r="AD90" s="8"/>
      <c r="AE90" s="8"/>
      <c r="AF90" s="8"/>
      <c r="AG90" s="8"/>
      <c r="AH90" s="268"/>
    </row>
    <row r="91" spans="1:34" ht="19.350000000000001" customHeight="1">
      <c r="C91" s="513"/>
      <c r="D91" s="513"/>
      <c r="E91" s="513"/>
      <c r="F91" s="513"/>
      <c r="G91" s="513"/>
      <c r="H91" s="513"/>
      <c r="I91" s="513"/>
      <c r="J91" s="513"/>
      <c r="K91" s="513"/>
      <c r="L91" s="513"/>
      <c r="M91" s="513"/>
      <c r="N91" s="513"/>
      <c r="P91"/>
      <c r="Q91"/>
      <c r="R91"/>
      <c r="S91"/>
      <c r="U91" s="514" t="s">
        <v>5304</v>
      </c>
      <c r="V91" s="515"/>
      <c r="W91" s="223"/>
      <c r="X91" s="516">
        <v>1</v>
      </c>
      <c r="Y91" s="517"/>
      <c r="Z91" s="455" t="str">
        <f>IF(W91="","",W91*Y91)</f>
        <v/>
      </c>
      <c r="AA91" s="518">
        <v>3.6</v>
      </c>
      <c r="AB91" s="519" t="str">
        <f>IF(W91="","",W91*AA91)</f>
        <v/>
      </c>
      <c r="AC91" s="8"/>
      <c r="AD91" s="8"/>
      <c r="AE91" s="8"/>
      <c r="AF91" s="8"/>
      <c r="AG91" s="8"/>
      <c r="AH91" s="268"/>
    </row>
    <row r="92" spans="1:34" ht="19.350000000000001" customHeight="1">
      <c r="C92" s="520"/>
      <c r="D92" s="520"/>
      <c r="E92" s="520"/>
      <c r="F92" s="520"/>
      <c r="G92" s="520"/>
      <c r="H92" s="520"/>
      <c r="I92" s="520"/>
      <c r="J92" s="520"/>
      <c r="K92" s="520"/>
      <c r="L92" s="520"/>
      <c r="M92" s="520"/>
      <c r="N92" s="520"/>
      <c r="P92"/>
      <c r="Q92"/>
      <c r="R92"/>
      <c r="S92"/>
      <c r="U92" s="514" t="s">
        <v>5305</v>
      </c>
      <c r="V92" s="515"/>
      <c r="W92" s="223"/>
      <c r="X92" s="516">
        <v>1</v>
      </c>
      <c r="Y92" s="517"/>
      <c r="Z92" s="455" t="str">
        <f>IF(W92="","",W92*Y92)</f>
        <v/>
      </c>
      <c r="AA92" s="518">
        <v>3.6</v>
      </c>
      <c r="AB92" s="519" t="str">
        <f t="shared" ref="AB92" si="22">IF(W92="","",W92*AA92)</f>
        <v/>
      </c>
      <c r="AC92" s="8"/>
      <c r="AD92" s="8"/>
      <c r="AE92" s="8"/>
      <c r="AF92" s="8"/>
      <c r="AG92" s="8"/>
      <c r="AH92" s="268"/>
    </row>
    <row r="93" spans="1:34" ht="19.350000000000001" customHeight="1" thickBot="1">
      <c r="C93" s="272" t="s">
        <v>5187</v>
      </c>
      <c r="D93" s="272"/>
      <c r="I93" s="520"/>
      <c r="J93" s="520"/>
      <c r="K93" s="520"/>
      <c r="L93" s="520"/>
      <c r="M93" s="520"/>
      <c r="N93" s="520"/>
      <c r="P93"/>
      <c r="Q93"/>
      <c r="R93"/>
      <c r="S93"/>
      <c r="U93" s="514" t="s">
        <v>5306</v>
      </c>
      <c r="V93" s="515"/>
      <c r="W93" s="224"/>
      <c r="X93" s="225"/>
      <c r="Y93" s="226"/>
      <c r="Z93" s="455" t="str">
        <f>IF(W93="","",W93*Y93)</f>
        <v/>
      </c>
      <c r="AA93" s="518">
        <v>8.64</v>
      </c>
      <c r="AB93" s="519" t="str">
        <f>IF(W93="","",W93*AA93)</f>
        <v/>
      </c>
      <c r="AC93" s="8"/>
      <c r="AD93" s="8"/>
      <c r="AE93" s="8"/>
      <c r="AF93" s="8"/>
      <c r="AG93" s="8"/>
      <c r="AH93" s="268"/>
    </row>
    <row r="94" spans="1:34" ht="19.350000000000001" customHeight="1">
      <c r="C94" s="700" t="s">
        <v>5307</v>
      </c>
      <c r="D94" s="701"/>
      <c r="E94" s="701"/>
      <c r="F94" s="799"/>
      <c r="G94" s="801" t="s">
        <v>5184</v>
      </c>
      <c r="H94" s="802"/>
      <c r="I94" s="520"/>
      <c r="J94" s="520"/>
      <c r="K94" s="761"/>
      <c r="L94" s="520"/>
      <c r="M94" s="520"/>
      <c r="N94" s="520"/>
      <c r="P94"/>
      <c r="Q94"/>
      <c r="R94"/>
      <c r="S94"/>
      <c r="U94" s="521"/>
      <c r="V94" s="522"/>
      <c r="W94" s="523"/>
      <c r="X94" s="524"/>
      <c r="Y94" s="525"/>
      <c r="Z94" s="523"/>
      <c r="AA94" s="523"/>
      <c r="AB94" s="526"/>
      <c r="AC94" s="8"/>
      <c r="AD94" s="8"/>
      <c r="AE94" s="8"/>
      <c r="AH94" s="268"/>
    </row>
    <row r="95" spans="1:34" ht="19.350000000000001" customHeight="1" thickBot="1">
      <c r="C95" s="703"/>
      <c r="D95" s="704"/>
      <c r="E95" s="704"/>
      <c r="F95" s="800"/>
      <c r="G95" s="803"/>
      <c r="H95" s="804"/>
      <c r="I95" s="520"/>
      <c r="J95" s="520"/>
      <c r="K95" s="761"/>
      <c r="L95" s="520"/>
      <c r="M95" s="520"/>
      <c r="N95" s="520"/>
      <c r="P95"/>
      <c r="Q95"/>
      <c r="R95"/>
      <c r="S95"/>
      <c r="U95" s="527"/>
      <c r="V95" s="729" t="s">
        <v>79</v>
      </c>
      <c r="W95" s="715" t="s">
        <v>3110</v>
      </c>
      <c r="X95" s="715" t="s">
        <v>5049</v>
      </c>
      <c r="Y95" s="715" t="s">
        <v>5392</v>
      </c>
      <c r="Z95" s="715" t="s">
        <v>5393</v>
      </c>
      <c r="AA95" s="715" t="s">
        <v>3108</v>
      </c>
      <c r="AB95" s="727" t="s">
        <v>5303</v>
      </c>
    </row>
    <row r="96" spans="1:34" ht="19.350000000000001" customHeight="1">
      <c r="A96" s="520"/>
      <c r="B96" s="520"/>
      <c r="C96" s="528" t="s">
        <v>5191</v>
      </c>
      <c r="D96" s="528"/>
      <c r="E96" s="380"/>
      <c r="F96" s="380"/>
      <c r="G96" s="811"/>
      <c r="H96" s="812"/>
      <c r="P96"/>
      <c r="Q96"/>
      <c r="R96"/>
      <c r="S96"/>
      <c r="U96" s="527" t="s">
        <v>125</v>
      </c>
      <c r="V96" s="730"/>
      <c r="W96" s="716"/>
      <c r="X96" s="716"/>
      <c r="Y96" s="716"/>
      <c r="Z96" s="716"/>
      <c r="AA96" s="716"/>
      <c r="AB96" s="728"/>
    </row>
    <row r="97" spans="2:38" ht="19.350000000000001" customHeight="1">
      <c r="C97" s="529" t="s">
        <v>5192</v>
      </c>
      <c r="D97" s="529"/>
      <c r="E97" s="361"/>
      <c r="F97" s="361"/>
      <c r="G97" s="809"/>
      <c r="H97" s="810"/>
      <c r="P97"/>
      <c r="Q97"/>
      <c r="R97"/>
      <c r="S97"/>
      <c r="U97" s="530"/>
      <c r="V97" s="224"/>
      <c r="W97" s="224"/>
      <c r="X97" s="225"/>
      <c r="Y97" s="226"/>
      <c r="Z97" s="455" t="str">
        <f t="shared" ref="Z97:Z98" si="23">IF(W97="","",X97*Y97)</f>
        <v/>
      </c>
      <c r="AA97" s="518">
        <f>IFERROR(IF($T$1=2022,VLOOKUP($U$96,係数2022,7,0),8.64),"-")</f>
        <v>8.64</v>
      </c>
      <c r="AB97" s="519" t="str">
        <f t="shared" ref="AB97:AB98" si="24">IF(W97="","",W97*AA97)</f>
        <v/>
      </c>
    </row>
    <row r="98" spans="2:38" ht="19.350000000000001" customHeight="1" thickBot="1">
      <c r="C98" s="529" t="s">
        <v>5193</v>
      </c>
      <c r="D98" s="529"/>
      <c r="E98" s="361"/>
      <c r="F98" s="361"/>
      <c r="G98" s="809"/>
      <c r="H98" s="810"/>
      <c r="P98"/>
      <c r="Q98"/>
      <c r="R98"/>
      <c r="S98"/>
      <c r="U98" s="531"/>
      <c r="V98" s="224"/>
      <c r="W98" s="224"/>
      <c r="X98" s="225"/>
      <c r="Y98" s="226"/>
      <c r="Z98" s="455" t="str">
        <f t="shared" si="23"/>
        <v/>
      </c>
      <c r="AA98" s="518">
        <f>IFERROR(IF($T$1=2022,VLOOKUP($U$96,係数2022,7,0),8.64),"-")</f>
        <v>8.64</v>
      </c>
      <c r="AB98" s="532" t="str">
        <f t="shared" si="24"/>
        <v/>
      </c>
    </row>
    <row r="99" spans="2:38" ht="19.350000000000001" customHeight="1" thickTop="1">
      <c r="C99" s="529" t="s">
        <v>137</v>
      </c>
      <c r="D99" s="529"/>
      <c r="E99" s="361"/>
      <c r="F99" s="361"/>
      <c r="G99" s="809"/>
      <c r="H99" s="810"/>
      <c r="P99"/>
      <c r="Q99"/>
      <c r="R99"/>
      <c r="S99"/>
      <c r="U99" s="533" t="s">
        <v>118</v>
      </c>
      <c r="V99" s="484"/>
      <c r="W99" s="534" t="str">
        <f>IF(COUNTBLANK(W91:W93)+COUNTBLANK(W97:W98)=5,"",SUM(W91:W93,W97:W98))</f>
        <v/>
      </c>
      <c r="X99" s="535" t="str">
        <f>IF(W99="","",SUM(SUMPRODUCT(W91:W93,X91:X93),SUMPRODUCT(W97:W98,X97:X98))/W99)</f>
        <v/>
      </c>
      <c r="Y99" s="484"/>
      <c r="Z99" s="536" t="str">
        <f>IF(W99="","",SUM(Z91:Z93,Z97:Z98))</f>
        <v/>
      </c>
      <c r="AA99" s="484"/>
      <c r="AB99" s="537" t="str">
        <f>IF(W99="","",SUM(AB91:AB93,AB97:AB98))</f>
        <v/>
      </c>
    </row>
    <row r="100" spans="2:38" ht="19.350000000000001" customHeight="1">
      <c r="C100" s="529" t="s">
        <v>138</v>
      </c>
      <c r="D100" s="529"/>
      <c r="E100" s="361"/>
      <c r="F100" s="361"/>
      <c r="G100" s="809"/>
      <c r="H100" s="810"/>
      <c r="P100"/>
      <c r="Q100"/>
      <c r="R100"/>
      <c r="S100"/>
      <c r="U100" s="263"/>
      <c r="V100" s="263"/>
      <c r="W100" s="263"/>
      <c r="X100" s="263"/>
      <c r="Y100" s="303"/>
      <c r="Z100" s="263"/>
      <c r="AA100" s="263"/>
      <c r="AB100" s="263"/>
      <c r="AH100" s="268"/>
    </row>
    <row r="101" spans="2:38" ht="19.350000000000001" customHeight="1">
      <c r="C101" s="529" t="s">
        <v>5194</v>
      </c>
      <c r="D101" s="529"/>
      <c r="E101" s="361"/>
      <c r="F101" s="361"/>
      <c r="G101" s="809"/>
      <c r="H101" s="810"/>
      <c r="P101"/>
      <c r="Q101"/>
      <c r="R101"/>
      <c r="S101"/>
      <c r="U101" s="719"/>
      <c r="V101" s="538"/>
      <c r="W101" s="715" t="s">
        <v>3109</v>
      </c>
      <c r="X101" s="715" t="s">
        <v>3108</v>
      </c>
      <c r="Y101" s="715" t="s">
        <v>5392</v>
      </c>
      <c r="Z101" s="715" t="s">
        <v>5394</v>
      </c>
      <c r="AA101" s="263"/>
      <c r="AB101" s="263"/>
      <c r="AH101" s="268"/>
    </row>
    <row r="102" spans="2:38" ht="19.350000000000001" customHeight="1" thickBot="1">
      <c r="C102" s="539" t="s">
        <v>5195</v>
      </c>
      <c r="D102" s="539"/>
      <c r="E102" s="429"/>
      <c r="F102" s="429"/>
      <c r="G102" s="807"/>
      <c r="H102" s="808"/>
      <c r="P102"/>
      <c r="Q102"/>
      <c r="R102"/>
      <c r="S102"/>
      <c r="U102" s="721"/>
      <c r="V102" s="540"/>
      <c r="W102" s="716"/>
      <c r="X102" s="716"/>
      <c r="Y102" s="716"/>
      <c r="Z102" s="716"/>
      <c r="AA102" s="263"/>
      <c r="AB102" s="263"/>
      <c r="AH102" s="268"/>
    </row>
    <row r="103" spans="2:38" ht="19.350000000000001" customHeight="1" thickTop="1" thickBot="1">
      <c r="C103" s="691" t="s">
        <v>140</v>
      </c>
      <c r="D103" s="692"/>
      <c r="E103" s="692"/>
      <c r="F103" s="693"/>
      <c r="G103" s="805" t="str">
        <f>IF(COUNTBLANK(G96:H102)=14,"",SUM(G96:H102))</f>
        <v/>
      </c>
      <c r="H103" s="806"/>
      <c r="P103"/>
      <c r="Q103"/>
      <c r="R103"/>
      <c r="S103"/>
      <c r="U103" s="717" t="s">
        <v>76</v>
      </c>
      <c r="V103" s="718"/>
      <c r="W103" s="223"/>
      <c r="X103" s="222"/>
      <c r="Y103" s="221"/>
      <c r="Z103" s="455" t="str">
        <f>IF(W103="","",W103*Y103)</f>
        <v/>
      </c>
      <c r="AA103" s="263"/>
      <c r="AB103" s="263"/>
      <c r="AH103" s="268"/>
    </row>
    <row r="104" spans="2:38" ht="19.350000000000001" customHeight="1">
      <c r="C104" s="273"/>
      <c r="D104" s="273"/>
      <c r="E104" s="273"/>
      <c r="F104" s="273"/>
      <c r="G104" s="541"/>
      <c r="H104" s="541"/>
      <c r="P104"/>
      <c r="Q104"/>
      <c r="R104"/>
      <c r="S104"/>
      <c r="U104" s="494"/>
      <c r="V104" s="494"/>
      <c r="W104" s="494"/>
      <c r="X104" s="494"/>
      <c r="Y104" s="494"/>
      <c r="Z104" s="494"/>
      <c r="AA104" s="494"/>
      <c r="AB104" s="263"/>
      <c r="AH104" s="268"/>
    </row>
    <row r="105" spans="2:38" s="268" customFormat="1" ht="19.350000000000001" customHeight="1">
      <c r="B105" s="263"/>
      <c r="P105"/>
      <c r="Q105"/>
      <c r="R105"/>
      <c r="S105"/>
      <c r="U105" s="719" t="s">
        <v>5052</v>
      </c>
      <c r="V105" s="720"/>
      <c r="W105" s="715" t="s">
        <v>5053</v>
      </c>
      <c r="X105" s="715" t="s">
        <v>3108</v>
      </c>
      <c r="Y105" s="263"/>
      <c r="Z105" s="303"/>
      <c r="AA105" s="263"/>
      <c r="AB105" s="263"/>
      <c r="AI105" s="8"/>
      <c r="AJ105" s="8"/>
      <c r="AK105" s="8"/>
      <c r="AL105" s="8"/>
    </row>
    <row r="106" spans="2:38" s="268" customFormat="1" ht="19.350000000000001" customHeight="1" thickBot="1">
      <c r="B106" s="263"/>
      <c r="C106" s="272" t="s">
        <v>141</v>
      </c>
      <c r="D106" s="272"/>
      <c r="P106"/>
      <c r="Q106"/>
      <c r="R106"/>
      <c r="S106"/>
      <c r="U106" s="721"/>
      <c r="V106" s="722"/>
      <c r="W106" s="716"/>
      <c r="X106" s="716"/>
      <c r="Y106" s="263"/>
      <c r="Z106" s="263"/>
      <c r="AA106" s="263"/>
      <c r="AB106" s="263"/>
      <c r="AI106" s="8"/>
      <c r="AJ106" s="8"/>
      <c r="AK106" s="8"/>
      <c r="AL106" s="8"/>
    </row>
    <row r="107" spans="2:38" s="268" customFormat="1" ht="19.350000000000001" customHeight="1">
      <c r="B107" s="263"/>
      <c r="C107" s="700" t="s">
        <v>5308</v>
      </c>
      <c r="D107" s="701"/>
      <c r="E107" s="701"/>
      <c r="F107" s="799"/>
      <c r="G107" s="801" t="s">
        <v>5184</v>
      </c>
      <c r="H107" s="802"/>
      <c r="P107"/>
      <c r="Q107"/>
      <c r="R107"/>
      <c r="S107"/>
      <c r="U107" s="542" t="s">
        <v>5054</v>
      </c>
      <c r="V107" s="543"/>
      <c r="W107" s="223"/>
      <c r="X107" s="544">
        <v>3.6</v>
      </c>
      <c r="Y107" s="447"/>
      <c r="Z107" s="263"/>
      <c r="AA107" s="263"/>
      <c r="AB107" s="263"/>
      <c r="AI107" s="8"/>
      <c r="AJ107" s="8"/>
      <c r="AK107" s="8"/>
      <c r="AL107" s="8"/>
    </row>
    <row r="108" spans="2:38" s="268" customFormat="1" ht="19.350000000000001" customHeight="1" thickBot="1">
      <c r="B108" s="263"/>
      <c r="C108" s="703"/>
      <c r="D108" s="704"/>
      <c r="E108" s="704"/>
      <c r="F108" s="800"/>
      <c r="G108" s="803"/>
      <c r="H108" s="804"/>
      <c r="P108"/>
      <c r="Q108"/>
      <c r="R108"/>
      <c r="S108"/>
      <c r="U108" s="542" t="s">
        <v>5055</v>
      </c>
      <c r="V108" s="543"/>
      <c r="W108" s="223"/>
      <c r="X108" s="544">
        <v>3.6</v>
      </c>
      <c r="Y108" s="447"/>
      <c r="Z108" s="263"/>
      <c r="AA108" s="263"/>
      <c r="AB108" s="263"/>
      <c r="AI108" s="8"/>
      <c r="AJ108" s="8"/>
      <c r="AK108" s="8"/>
      <c r="AL108" s="8"/>
    </row>
    <row r="109" spans="2:38" s="268" customFormat="1" ht="19.350000000000001" customHeight="1">
      <c r="B109" s="263"/>
      <c r="C109" s="819"/>
      <c r="D109" s="820"/>
      <c r="E109" s="820"/>
      <c r="F109" s="821"/>
      <c r="G109" s="811"/>
      <c r="H109" s="812"/>
      <c r="P109"/>
      <c r="Q109"/>
      <c r="R109"/>
      <c r="S109"/>
      <c r="U109" s="542" t="s">
        <v>5056</v>
      </c>
      <c r="V109" s="543"/>
      <c r="W109" s="223"/>
      <c r="X109" s="544">
        <v>3.6</v>
      </c>
      <c r="Y109" s="447"/>
      <c r="Z109" s="263"/>
      <c r="AA109" s="263"/>
      <c r="AB109" s="263"/>
      <c r="AI109" s="8"/>
      <c r="AJ109" s="8"/>
      <c r="AK109" s="8"/>
      <c r="AL109" s="8"/>
    </row>
    <row r="110" spans="2:38" s="268" customFormat="1" ht="19.350000000000001" customHeight="1" thickBot="1">
      <c r="B110" s="263"/>
      <c r="C110" s="816"/>
      <c r="D110" s="817"/>
      <c r="E110" s="817"/>
      <c r="F110" s="818"/>
      <c r="G110" s="809"/>
      <c r="H110" s="810"/>
      <c r="P110"/>
      <c r="Q110"/>
      <c r="R110"/>
      <c r="S110"/>
      <c r="U110" s="542" t="s">
        <v>5057</v>
      </c>
      <c r="V110" s="543"/>
      <c r="W110" s="223"/>
      <c r="X110" s="544">
        <v>3.6</v>
      </c>
      <c r="Y110" s="263"/>
      <c r="Z110" s="263"/>
      <c r="AA110" s="263"/>
      <c r="AB110" s="263"/>
      <c r="AI110" s="8"/>
      <c r="AJ110" s="8"/>
      <c r="AK110" s="8"/>
      <c r="AL110" s="8"/>
    </row>
    <row r="111" spans="2:38" s="268" customFormat="1" ht="19.350000000000001" customHeight="1" thickTop="1">
      <c r="B111" s="263"/>
      <c r="C111" s="816"/>
      <c r="D111" s="817"/>
      <c r="E111" s="817"/>
      <c r="F111" s="818"/>
      <c r="G111" s="809"/>
      <c r="H111" s="810"/>
      <c r="P111"/>
      <c r="Q111"/>
      <c r="R111"/>
      <c r="S111"/>
      <c r="U111" s="545" t="s">
        <v>118</v>
      </c>
      <c r="V111" s="546"/>
      <c r="W111" s="482">
        <f>SUM(W107:W110)</f>
        <v>0</v>
      </c>
      <c r="X111" s="484"/>
      <c r="Y111" s="303"/>
      <c r="Z111" s="263"/>
      <c r="AA111" s="263"/>
      <c r="AB111" s="263"/>
      <c r="AH111" s="8"/>
      <c r="AI111" s="8"/>
      <c r="AJ111" s="8"/>
      <c r="AK111" s="8"/>
    </row>
    <row r="112" spans="2:38" s="268" customFormat="1" ht="19.350000000000001" customHeight="1">
      <c r="B112" s="263"/>
      <c r="C112" s="816"/>
      <c r="D112" s="817"/>
      <c r="E112" s="817"/>
      <c r="F112" s="818"/>
      <c r="G112" s="809"/>
      <c r="H112" s="810"/>
      <c r="P112"/>
      <c r="Q112"/>
      <c r="R112"/>
      <c r="S112"/>
      <c r="U112" s="263"/>
      <c r="V112" s="263"/>
      <c r="W112" s="263"/>
      <c r="X112" s="263"/>
      <c r="Y112" s="263"/>
      <c r="Z112" s="263"/>
      <c r="AA112" s="263"/>
      <c r="AB112" s="263"/>
      <c r="AH112" s="8"/>
      <c r="AI112" s="8"/>
      <c r="AJ112" s="8"/>
      <c r="AK112" s="8"/>
    </row>
    <row r="113" spans="2:38" s="268" customFormat="1" ht="19.350000000000001" customHeight="1">
      <c r="B113" s="263"/>
      <c r="C113" s="816"/>
      <c r="D113" s="817"/>
      <c r="E113" s="817"/>
      <c r="F113" s="818"/>
      <c r="G113" s="809"/>
      <c r="H113" s="810"/>
      <c r="P113"/>
      <c r="Q113"/>
      <c r="R113"/>
      <c r="S113"/>
      <c r="U113" s="263"/>
      <c r="V113" s="263"/>
      <c r="W113" s="263"/>
      <c r="X113" s="263"/>
      <c r="Y113" s="263"/>
      <c r="Z113" s="263"/>
      <c r="AA113" s="263"/>
      <c r="AB113" s="263"/>
      <c r="AH113" s="8"/>
      <c r="AI113" s="8"/>
      <c r="AJ113" s="8"/>
      <c r="AK113" s="8"/>
    </row>
    <row r="114" spans="2:38" s="268" customFormat="1" ht="19.350000000000001" customHeight="1">
      <c r="B114" s="263"/>
      <c r="C114" s="816"/>
      <c r="D114" s="817"/>
      <c r="E114" s="817"/>
      <c r="F114" s="818"/>
      <c r="G114" s="809"/>
      <c r="H114" s="810"/>
      <c r="P114"/>
      <c r="Q114"/>
      <c r="R114"/>
      <c r="S114"/>
      <c r="U114" s="263"/>
      <c r="V114" s="263"/>
      <c r="W114" s="263"/>
      <c r="X114" s="263"/>
      <c r="Y114" s="263"/>
      <c r="Z114" s="263"/>
      <c r="AA114" s="263"/>
      <c r="AB114" s="263"/>
      <c r="AH114" s="8"/>
      <c r="AI114" s="8"/>
      <c r="AJ114" s="8"/>
      <c r="AK114" s="8"/>
    </row>
    <row r="115" spans="2:38" s="268" customFormat="1" ht="19.350000000000001" customHeight="1" thickBot="1">
      <c r="B115" s="263"/>
      <c r="C115" s="813"/>
      <c r="D115" s="814"/>
      <c r="E115" s="814"/>
      <c r="F115" s="815"/>
      <c r="G115" s="807"/>
      <c r="H115" s="808"/>
      <c r="P115"/>
      <c r="Q115"/>
      <c r="R115"/>
      <c r="S115"/>
      <c r="U115" s="263"/>
      <c r="V115" s="263"/>
      <c r="W115" s="263"/>
      <c r="X115" s="263"/>
      <c r="Y115" s="263"/>
      <c r="Z115" s="263"/>
      <c r="AA115" s="263"/>
      <c r="AB115" s="263"/>
      <c r="AH115" s="8"/>
      <c r="AI115" s="8"/>
      <c r="AJ115" s="8"/>
      <c r="AK115" s="8"/>
    </row>
    <row r="116" spans="2:38" s="268" customFormat="1" ht="18" customHeight="1" thickTop="1" thickBot="1">
      <c r="B116" s="263"/>
      <c r="C116" s="691" t="s">
        <v>140</v>
      </c>
      <c r="D116" s="692"/>
      <c r="E116" s="692"/>
      <c r="F116" s="693"/>
      <c r="G116" s="689" t="str">
        <f>IF(COUNTBLANK(G109:H115)=14,"",SUM(G109:H115))</f>
        <v/>
      </c>
      <c r="H116" s="690"/>
      <c r="P116"/>
      <c r="Q116"/>
      <c r="R116"/>
      <c r="S116"/>
      <c r="AH116" s="8"/>
      <c r="AI116" s="8"/>
      <c r="AJ116" s="8"/>
      <c r="AK116" s="8"/>
    </row>
    <row r="117" spans="2:38" s="268" customFormat="1" ht="18.600000000000001" customHeight="1">
      <c r="B117" s="263"/>
      <c r="O117" s="8"/>
      <c r="P117"/>
      <c r="Q117"/>
      <c r="R117"/>
      <c r="S117"/>
      <c r="AH117" s="8"/>
      <c r="AI117" s="8"/>
      <c r="AJ117" s="8"/>
      <c r="AK117" s="8"/>
    </row>
    <row r="118" spans="2:38" s="268" customFormat="1" ht="18.600000000000001" customHeight="1" thickBot="1">
      <c r="B118" s="263"/>
      <c r="C118" s="272" t="s">
        <v>143</v>
      </c>
      <c r="D118" s="272"/>
      <c r="O118" s="8"/>
      <c r="P118"/>
      <c r="Q118"/>
      <c r="R118"/>
      <c r="S118"/>
      <c r="AH118" s="8"/>
      <c r="AI118" s="8"/>
      <c r="AJ118" s="8"/>
      <c r="AK118" s="8"/>
    </row>
    <row r="119" spans="2:38" s="268" customFormat="1" ht="18" customHeight="1">
      <c r="B119" s="263"/>
      <c r="C119" s="700" t="s">
        <v>142</v>
      </c>
      <c r="D119" s="701"/>
      <c r="E119" s="701"/>
      <c r="F119" s="701"/>
      <c r="G119" s="701"/>
      <c r="H119" s="702"/>
      <c r="O119" s="8"/>
      <c r="P119"/>
      <c r="Q119"/>
      <c r="R119"/>
      <c r="S119"/>
      <c r="T119" s="8"/>
      <c r="AH119" s="8"/>
      <c r="AI119" s="8"/>
      <c r="AJ119" s="8"/>
      <c r="AK119" s="8"/>
    </row>
    <row r="120" spans="2:38" s="268" customFormat="1" ht="18" customHeight="1" thickBot="1">
      <c r="B120" s="263"/>
      <c r="C120" s="703"/>
      <c r="D120" s="704"/>
      <c r="E120" s="704"/>
      <c r="F120" s="704"/>
      <c r="G120" s="704"/>
      <c r="H120" s="705"/>
      <c r="P120"/>
      <c r="Q120"/>
      <c r="R120"/>
      <c r="S120"/>
      <c r="T120" s="8"/>
      <c r="Z120" s="377"/>
      <c r="AH120" s="8"/>
      <c r="AI120" s="8"/>
      <c r="AJ120" s="8"/>
      <c r="AK120" s="8"/>
    </row>
    <row r="121" spans="2:38" s="268" customFormat="1" ht="18.600000000000001" customHeight="1">
      <c r="B121" s="263"/>
      <c r="C121" s="697" t="s">
        <v>77</v>
      </c>
      <c r="D121" s="698"/>
      <c r="E121" s="698"/>
      <c r="F121" s="699"/>
      <c r="G121" s="958" t="str">
        <f>IF('事業所排出量内訳 (基準年度)'!G121="","",'事業所排出量内訳 (基準年度)'!G121)</f>
        <v/>
      </c>
      <c r="H121" s="959"/>
      <c r="P121"/>
      <c r="Q121"/>
      <c r="R121"/>
      <c r="S121"/>
      <c r="T121" s="8"/>
      <c r="Z121" s="377"/>
      <c r="AH121" s="8"/>
      <c r="AI121" s="8"/>
      <c r="AJ121" s="8"/>
      <c r="AK121" s="8"/>
    </row>
    <row r="122" spans="2:38" s="268" customFormat="1">
      <c r="B122" s="263"/>
      <c r="C122" s="694" t="s">
        <v>161</v>
      </c>
      <c r="D122" s="695"/>
      <c r="E122" s="695"/>
      <c r="F122" s="696"/>
      <c r="G122" s="960" t="str">
        <f>IF('事業所排出量内訳 (基準年度)'!G122="","",'事業所排出量内訳 (基準年度)'!G122)</f>
        <v/>
      </c>
      <c r="H122" s="961"/>
      <c r="P122"/>
      <c r="Q122"/>
      <c r="R122"/>
      <c r="S122"/>
      <c r="Z122" s="377"/>
      <c r="AH122" s="8"/>
      <c r="AI122" s="8"/>
      <c r="AJ122" s="8"/>
      <c r="AK122" s="8"/>
    </row>
    <row r="123" spans="2:38" ht="18" thickBot="1">
      <c r="C123" s="712" t="s">
        <v>160</v>
      </c>
      <c r="D123" s="713"/>
      <c r="E123" s="713"/>
      <c r="F123" s="714"/>
      <c r="G123" s="706"/>
      <c r="H123" s="707"/>
      <c r="I123" s="270"/>
      <c r="P123"/>
      <c r="Q123"/>
      <c r="R123"/>
      <c r="S123"/>
      <c r="Z123" s="8"/>
      <c r="AL123" s="268"/>
    </row>
    <row r="124" spans="2:38" s="268" customFormat="1">
      <c r="B124" s="263"/>
      <c r="H124" s="270"/>
      <c r="P124"/>
      <c r="Q124"/>
      <c r="R124"/>
      <c r="S124"/>
      <c r="Z124" s="8"/>
      <c r="AH124" s="8"/>
      <c r="AI124" s="8"/>
      <c r="AJ124" s="8"/>
      <c r="AK124" s="8"/>
    </row>
    <row r="125" spans="2:38">
      <c r="Z125" s="8"/>
    </row>
    <row r="126" spans="2:38">
      <c r="AL126" s="268"/>
    </row>
    <row r="127" spans="2:38">
      <c r="U127" s="8"/>
      <c r="V127" s="8"/>
      <c r="W127" s="8"/>
    </row>
  </sheetData>
  <sheetProtection algorithmName="SHA-512" hashValue="ya9kGN/jeuupPW9ts7l02z4t5Oq7hiaLRCQeNH2R0wcB7lq/lWO/x0hZMB+tW33KOPwno5ek3owwP1v5B005Kw==" saltValue="WNXEN8u5ky09WWfQqWkHxQ==" spinCount="100000" sheet="1" objects="1" scenarios="1" selectLockedCells="1"/>
  <mergeCells count="118">
    <mergeCell ref="U8:U9"/>
    <mergeCell ref="V8:W9"/>
    <mergeCell ref="X9:Y9"/>
    <mergeCell ref="X10:Y10"/>
    <mergeCell ref="U15:U16"/>
    <mergeCell ref="V15:W16"/>
    <mergeCell ref="X16:Y16"/>
    <mergeCell ref="M1:N1"/>
    <mergeCell ref="C4:H5"/>
    <mergeCell ref="I4:I5"/>
    <mergeCell ref="J4:J5"/>
    <mergeCell ref="K4:K5"/>
    <mergeCell ref="L4:L5"/>
    <mergeCell ref="M4:M5"/>
    <mergeCell ref="N4:N5"/>
    <mergeCell ref="C36:H36"/>
    <mergeCell ref="C37:H38"/>
    <mergeCell ref="I37:I38"/>
    <mergeCell ref="J37:J38"/>
    <mergeCell ref="K37:K38"/>
    <mergeCell ref="L37:L38"/>
    <mergeCell ref="D17:E18"/>
    <mergeCell ref="D19:E20"/>
    <mergeCell ref="V20:W20"/>
    <mergeCell ref="M37:M38"/>
    <mergeCell ref="N37:N38"/>
    <mergeCell ref="F24:F25"/>
    <mergeCell ref="W31:X31"/>
    <mergeCell ref="X20:Y20"/>
    <mergeCell ref="D49:E50"/>
    <mergeCell ref="C57:H57"/>
    <mergeCell ref="C58:H59"/>
    <mergeCell ref="I58:I59"/>
    <mergeCell ref="J58:J59"/>
    <mergeCell ref="K58:K59"/>
    <mergeCell ref="L58:L59"/>
    <mergeCell ref="M58:M59"/>
    <mergeCell ref="N58:N59"/>
    <mergeCell ref="D60:D69"/>
    <mergeCell ref="D72:D76"/>
    <mergeCell ref="C78:H78"/>
    <mergeCell ref="C79:H80"/>
    <mergeCell ref="I79:I80"/>
    <mergeCell ref="J79:J80"/>
    <mergeCell ref="K79:K80"/>
    <mergeCell ref="L79:L80"/>
    <mergeCell ref="M79:M80"/>
    <mergeCell ref="Z79:Z80"/>
    <mergeCell ref="AA79:AA80"/>
    <mergeCell ref="F89:H89"/>
    <mergeCell ref="U89:U90"/>
    <mergeCell ref="V89:V90"/>
    <mergeCell ref="W89:W90"/>
    <mergeCell ref="X89:X90"/>
    <mergeCell ref="Y89:Y90"/>
    <mergeCell ref="Z89:Z90"/>
    <mergeCell ref="AA89:AA90"/>
    <mergeCell ref="N79:N80"/>
    <mergeCell ref="U79:U80"/>
    <mergeCell ref="V79:V80"/>
    <mergeCell ref="W79:W80"/>
    <mergeCell ref="X79:X80"/>
    <mergeCell ref="Y79:Y80"/>
    <mergeCell ref="AA95:AA96"/>
    <mergeCell ref="AB95:AB96"/>
    <mergeCell ref="G96:H96"/>
    <mergeCell ref="G97:H97"/>
    <mergeCell ref="G98:H98"/>
    <mergeCell ref="G99:H99"/>
    <mergeCell ref="AB89:AB90"/>
    <mergeCell ref="C90:H90"/>
    <mergeCell ref="C94:F95"/>
    <mergeCell ref="G94:H95"/>
    <mergeCell ref="K94:K95"/>
    <mergeCell ref="V95:V96"/>
    <mergeCell ref="W95:W96"/>
    <mergeCell ref="X95:X96"/>
    <mergeCell ref="Y95:Y96"/>
    <mergeCell ref="Z95:Z96"/>
    <mergeCell ref="Z101:Z102"/>
    <mergeCell ref="G102:H102"/>
    <mergeCell ref="C103:F103"/>
    <mergeCell ref="G103:H103"/>
    <mergeCell ref="U103:V103"/>
    <mergeCell ref="U105:V106"/>
    <mergeCell ref="W105:W106"/>
    <mergeCell ref="X105:X106"/>
    <mergeCell ref="G100:H100"/>
    <mergeCell ref="G101:H101"/>
    <mergeCell ref="U101:U102"/>
    <mergeCell ref="W101:W102"/>
    <mergeCell ref="X101:X102"/>
    <mergeCell ref="Y101:Y102"/>
    <mergeCell ref="C111:F111"/>
    <mergeCell ref="G111:H111"/>
    <mergeCell ref="C112:F112"/>
    <mergeCell ref="G112:H112"/>
    <mergeCell ref="C113:F113"/>
    <mergeCell ref="G113:H113"/>
    <mergeCell ref="C107:F108"/>
    <mergeCell ref="G107:H108"/>
    <mergeCell ref="C109:F109"/>
    <mergeCell ref="G109:H109"/>
    <mergeCell ref="C110:F110"/>
    <mergeCell ref="G110:H110"/>
    <mergeCell ref="C119:H120"/>
    <mergeCell ref="C121:F121"/>
    <mergeCell ref="G121:H121"/>
    <mergeCell ref="C122:F122"/>
    <mergeCell ref="G122:H122"/>
    <mergeCell ref="C123:F123"/>
    <mergeCell ref="G123:H123"/>
    <mergeCell ref="C114:F114"/>
    <mergeCell ref="G114:H114"/>
    <mergeCell ref="C115:F115"/>
    <mergeCell ref="G115:H115"/>
    <mergeCell ref="C116:F116"/>
    <mergeCell ref="G116:H116"/>
  </mergeCells>
  <phoneticPr fontId="1"/>
  <conditionalFormatting sqref="U33">
    <cfRule type="expression" priority="1">
      <formula>T1048575=2022</formula>
    </cfRule>
  </conditionalFormatting>
  <conditionalFormatting sqref="U36">
    <cfRule type="expression" priority="2">
      <formula>T1=2022</formula>
    </cfRule>
  </conditionalFormatting>
  <conditionalFormatting sqref="AA97:AA98">
    <cfRule type="expression" dxfId="8" priority="3">
      <formula>$T$1=2022</formula>
    </cfRule>
  </conditionalFormatting>
  <dataValidations count="2">
    <dataValidation imeMode="hiragana" allowBlank="1" showInputMessage="1" showErrorMessage="1" sqref="C109:C115 G121:G122 U62:U64 U68:U69 V95 V97:V98 U72:U76 U81:U85 U107:V110 U37 U56 U34" xr:uid="{FC6D0425-B095-4420-B7EA-8FF0A78E7022}"/>
    <dataValidation imeMode="halfAlpha" allowBlank="1" showInputMessage="1" showErrorMessage="1" sqref="V68:W69 G123 W97:X98 I60:J69 W107:X110 I72:J76 W103:Y103 G109:G115 V56:W56 I6:J34 V72:V76 G96:G102 V62:W64 V81:X85 W91:X94" xr:uid="{78507787-C849-4A05-AA9C-56AF180C880C}"/>
  </dataValidations>
  <printOptions horizontalCentered="1"/>
  <pageMargins left="0.70866141732283472" right="0.55118110236220474" top="0.74803149606299213" bottom="0.74803149606299213" header="0.31496062992125984" footer="0.31496062992125984"/>
  <pageSetup paperSize="9" scale="32" orientation="portrait" verticalDpi="0" r:id="rId1"/>
  <headerFooter>
    <oddHeader>&amp;L様式第２号</oddHeader>
    <oddFooter>&amp;R&amp;8（事業所等用）</oddFooter>
  </headerFooter>
  <rowBreaks count="2" manualBreakCount="2">
    <brk id="35" min="2" max="33" man="1"/>
    <brk id="75" min="2" max="33" man="1"/>
  </rowBreaks>
  <colBreaks count="1" manualBreakCount="1">
    <brk id="19" max="122"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rgb="FF00B050"/>
  </sheetPr>
  <dimension ref="A3:Q34"/>
  <sheetViews>
    <sheetView showGridLines="0" view="pageBreakPreview" zoomScaleNormal="100" zoomScaleSheetLayoutView="100" workbookViewId="0"/>
  </sheetViews>
  <sheetFormatPr defaultColWidth="9" defaultRowHeight="17.399999999999999"/>
  <cols>
    <col min="1" max="8" width="5.6640625" style="8" customWidth="1"/>
    <col min="9" max="9" width="0.88671875" style="8" customWidth="1"/>
    <col min="10" max="38" width="5.6640625" style="8" customWidth="1"/>
    <col min="39" max="16384" width="9" style="8"/>
  </cols>
  <sheetData>
    <row r="3" spans="1:17" ht="25.5" customHeight="1">
      <c r="B3" s="672" t="s">
        <v>4141</v>
      </c>
      <c r="C3" s="672"/>
      <c r="D3" s="672"/>
      <c r="E3" s="672"/>
      <c r="F3" s="672"/>
      <c r="G3" s="672"/>
      <c r="H3" s="672"/>
      <c r="I3" s="672"/>
      <c r="J3" s="672"/>
      <c r="K3" s="672"/>
      <c r="L3" s="672"/>
      <c r="M3" s="672"/>
      <c r="N3" s="672"/>
      <c r="O3" s="672"/>
      <c r="P3" s="672"/>
    </row>
    <row r="4" spans="1:17" s="22" customFormat="1" ht="16.2"/>
    <row r="5" spans="1:17" s="22" customFormat="1" ht="16.2">
      <c r="L5" s="22" t="str">
        <f>IF(はじめに!E30="","",はじめに!E30)</f>
        <v/>
      </c>
      <c r="M5" s="119" t="s">
        <v>2</v>
      </c>
      <c r="N5" s="22" t="str">
        <f>IF(はじめに!G30="","",はじめに!G30)</f>
        <v/>
      </c>
      <c r="O5" s="119" t="s">
        <v>1</v>
      </c>
      <c r="P5" s="22" t="str">
        <f>IF(はじめに!I30="","",はじめに!I30)</f>
        <v/>
      </c>
      <c r="Q5" s="119" t="s">
        <v>0</v>
      </c>
    </row>
    <row r="6" spans="1:17" s="22" customFormat="1" ht="16.2">
      <c r="A6" s="22" t="s">
        <v>3</v>
      </c>
    </row>
    <row r="7" spans="1:17" s="22" customFormat="1" ht="16.2"/>
    <row r="8" spans="1:17" s="22" customFormat="1" ht="27" customHeight="1">
      <c r="G8" s="842" t="s">
        <v>4</v>
      </c>
      <c r="H8" s="842"/>
      <c r="J8" s="846" t="str">
        <f>IF(はじめに!E7="","",はじめに!E7)</f>
        <v/>
      </c>
      <c r="K8" s="846"/>
      <c r="L8" s="846"/>
      <c r="M8" s="846"/>
      <c r="N8" s="846"/>
      <c r="O8" s="846"/>
      <c r="P8" s="846"/>
    </row>
    <row r="9" spans="1:17" s="22" customFormat="1" ht="27" customHeight="1">
      <c r="G9" s="842" t="s">
        <v>20</v>
      </c>
      <c r="H9" s="842"/>
      <c r="J9" s="846" t="str">
        <f>IF(はじめに!E6="","",はじめに!E6)</f>
        <v/>
      </c>
      <c r="K9" s="846"/>
      <c r="L9" s="846"/>
      <c r="M9" s="846"/>
      <c r="N9" s="846"/>
      <c r="O9" s="846"/>
      <c r="P9" s="846"/>
    </row>
    <row r="10" spans="1:17" s="22" customFormat="1" ht="27" customHeight="1">
      <c r="G10" s="842" t="s">
        <v>38</v>
      </c>
      <c r="H10" s="842"/>
      <c r="J10" s="846" t="str">
        <f>IF(はじめに!E8="","",はじめに!E8)</f>
        <v/>
      </c>
      <c r="K10" s="846"/>
      <c r="L10" s="846"/>
      <c r="M10" s="846"/>
      <c r="N10" s="846"/>
      <c r="O10" s="846"/>
      <c r="P10" s="846"/>
      <c r="Q10" s="151"/>
    </row>
    <row r="11" spans="1:17" s="22" customFormat="1" ht="16.2"/>
    <row r="12" spans="1:17" s="22" customFormat="1" ht="16.2">
      <c r="A12" s="845" t="s">
        <v>4142</v>
      </c>
      <c r="B12" s="845"/>
      <c r="C12" s="845"/>
      <c r="D12" s="845"/>
      <c r="E12" s="845"/>
      <c r="F12" s="845"/>
      <c r="G12" s="845"/>
      <c r="H12" s="845"/>
      <c r="I12" s="845"/>
      <c r="J12" s="845"/>
      <c r="K12" s="845"/>
      <c r="L12" s="845"/>
      <c r="M12" s="845"/>
      <c r="N12" s="845"/>
      <c r="O12" s="845"/>
      <c r="P12" s="845"/>
      <c r="Q12" s="845"/>
    </row>
    <row r="13" spans="1:17" s="22" customFormat="1" ht="16.2">
      <c r="A13" s="845"/>
      <c r="B13" s="845"/>
      <c r="C13" s="845"/>
      <c r="D13" s="845"/>
      <c r="E13" s="845"/>
      <c r="F13" s="845"/>
      <c r="G13" s="845"/>
      <c r="H13" s="845"/>
      <c r="I13" s="845"/>
      <c r="J13" s="845"/>
      <c r="K13" s="845"/>
      <c r="L13" s="845"/>
      <c r="M13" s="845"/>
      <c r="N13" s="845"/>
      <c r="O13" s="845"/>
      <c r="P13" s="845"/>
      <c r="Q13" s="845"/>
    </row>
    <row r="14" spans="1:17" s="22" customFormat="1" ht="16.2"/>
    <row r="15" spans="1:17" s="22" customFormat="1" ht="27" customHeight="1">
      <c r="A15" s="673" t="s">
        <v>5</v>
      </c>
      <c r="B15" s="673"/>
      <c r="C15" s="673"/>
      <c r="D15" s="674" t="str">
        <f>IF(J9="","",J9)</f>
        <v/>
      </c>
      <c r="E15" s="674"/>
      <c r="F15" s="674"/>
      <c r="G15" s="674"/>
      <c r="H15" s="674"/>
      <c r="I15" s="674"/>
      <c r="J15" s="674"/>
      <c r="K15" s="674"/>
      <c r="L15" s="674"/>
      <c r="M15" s="674"/>
      <c r="N15" s="674"/>
      <c r="O15" s="674"/>
      <c r="P15" s="674"/>
      <c r="Q15" s="674"/>
    </row>
    <row r="16" spans="1:17" s="22" customFormat="1" ht="27" customHeight="1">
      <c r="A16" s="673" t="s">
        <v>6</v>
      </c>
      <c r="B16" s="673"/>
      <c r="C16" s="673"/>
      <c r="D16" s="674" t="str">
        <f>IF(はじめに!E14="","",はじめに!E14)</f>
        <v/>
      </c>
      <c r="E16" s="674"/>
      <c r="F16" s="674"/>
      <c r="G16" s="674"/>
      <c r="H16" s="674"/>
      <c r="I16" s="674"/>
      <c r="J16" s="674"/>
      <c r="K16" s="674"/>
      <c r="L16" s="674"/>
      <c r="M16" s="674"/>
      <c r="N16" s="674"/>
      <c r="O16" s="674"/>
      <c r="P16" s="674"/>
      <c r="Q16" s="674"/>
    </row>
    <row r="17" spans="1:17" s="22" customFormat="1" ht="27" customHeight="1">
      <c r="A17" s="673" t="s">
        <v>7</v>
      </c>
      <c r="B17" s="673"/>
      <c r="C17" s="673"/>
      <c r="D17" s="674" t="str">
        <f>IF(はじめに!E16="","",はじめに!E16)</f>
        <v/>
      </c>
      <c r="E17" s="674"/>
      <c r="F17" s="674"/>
      <c r="G17" s="674"/>
      <c r="H17" s="674"/>
      <c r="I17" s="674"/>
      <c r="J17" s="674"/>
      <c r="K17" s="674"/>
      <c r="L17" s="674"/>
      <c r="M17" s="674"/>
      <c r="N17" s="674"/>
      <c r="O17" s="674"/>
      <c r="P17" s="674"/>
      <c r="Q17" s="674"/>
    </row>
    <row r="18" spans="1:17" s="22" customFormat="1" ht="18.75" customHeight="1">
      <c r="A18" s="153"/>
      <c r="B18" s="153"/>
      <c r="C18" s="153"/>
      <c r="D18" s="152"/>
      <c r="E18" s="152"/>
      <c r="F18" s="152"/>
      <c r="G18" s="152"/>
      <c r="H18" s="152"/>
      <c r="I18" s="152"/>
      <c r="J18" s="152"/>
      <c r="K18" s="152"/>
      <c r="L18" s="152"/>
      <c r="M18" s="152"/>
      <c r="N18" s="152"/>
      <c r="O18" s="152"/>
      <c r="P18" s="152"/>
    </row>
    <row r="19" spans="1:17" s="22" customFormat="1" ht="33.75" customHeight="1">
      <c r="A19" s="664" t="s">
        <v>3111</v>
      </c>
      <c r="B19" s="665"/>
      <c r="C19" s="666"/>
      <c r="D19" s="120" t="str">
        <f>IF(はじめに!S10=TRUE,"〇","")</f>
        <v>〇</v>
      </c>
      <c r="E19" s="674" t="s">
        <v>4107</v>
      </c>
      <c r="F19" s="674"/>
      <c r="G19" s="674"/>
      <c r="H19" s="674"/>
      <c r="I19" s="674"/>
      <c r="J19" s="674"/>
      <c r="K19" s="674"/>
      <c r="L19" s="674"/>
      <c r="M19" s="674"/>
      <c r="N19" s="674"/>
      <c r="O19" s="674"/>
      <c r="P19" s="674"/>
      <c r="Q19" s="674"/>
    </row>
    <row r="20" spans="1:17" s="22" customFormat="1" ht="33.75" customHeight="1">
      <c r="A20" s="847"/>
      <c r="B20" s="848"/>
      <c r="C20" s="849"/>
      <c r="D20" s="120" t="str">
        <f>IF(はじめに!S11=TRUE,"〇","")</f>
        <v/>
      </c>
      <c r="E20" s="674" t="s">
        <v>4143</v>
      </c>
      <c r="F20" s="674"/>
      <c r="G20" s="674"/>
      <c r="H20" s="674"/>
      <c r="I20" s="674"/>
      <c r="J20" s="674"/>
      <c r="K20" s="674"/>
      <c r="L20" s="674"/>
      <c r="M20" s="674"/>
      <c r="N20" s="674"/>
      <c r="O20" s="674"/>
      <c r="P20" s="674"/>
      <c r="Q20" s="674"/>
    </row>
    <row r="21" spans="1:17" s="22" customFormat="1" ht="33.75" customHeight="1">
      <c r="A21" s="847"/>
      <c r="B21" s="848"/>
      <c r="C21" s="849"/>
      <c r="D21" s="120" t="str">
        <f>IF(はじめに!S12=TRUE,"〇","")</f>
        <v/>
      </c>
      <c r="E21" s="674" t="s">
        <v>4144</v>
      </c>
      <c r="F21" s="674"/>
      <c r="G21" s="674"/>
      <c r="H21" s="674"/>
      <c r="I21" s="674"/>
      <c r="J21" s="674"/>
      <c r="K21" s="674"/>
      <c r="L21" s="674"/>
      <c r="M21" s="674"/>
      <c r="N21" s="674"/>
      <c r="O21" s="674"/>
      <c r="P21" s="674"/>
      <c r="Q21" s="674"/>
    </row>
    <row r="22" spans="1:17" s="22" customFormat="1" ht="33.75" customHeight="1">
      <c r="A22" s="667"/>
      <c r="B22" s="668"/>
      <c r="C22" s="669"/>
      <c r="D22" s="120" t="str">
        <f>IF(はじめに!S13=TRUE,"〇","")</f>
        <v/>
      </c>
      <c r="E22" s="674" t="s">
        <v>4109</v>
      </c>
      <c r="F22" s="674"/>
      <c r="G22" s="674"/>
      <c r="H22" s="674"/>
      <c r="I22" s="674"/>
      <c r="J22" s="674"/>
      <c r="K22" s="674"/>
      <c r="L22" s="674"/>
      <c r="M22" s="674"/>
      <c r="N22" s="674"/>
      <c r="O22" s="674"/>
      <c r="P22" s="674"/>
      <c r="Q22" s="674"/>
    </row>
    <row r="23" spans="1:17" s="22" customFormat="1" ht="18.75" customHeight="1"/>
    <row r="24" spans="1:17" s="22" customFormat="1" ht="27" customHeight="1">
      <c r="A24" s="970" t="s">
        <v>4145</v>
      </c>
      <c r="B24" s="970"/>
      <c r="C24" s="970"/>
      <c r="D24" s="822" t="s">
        <v>12</v>
      </c>
      <c r="E24" s="824"/>
      <c r="F24" s="837" t="s">
        <v>13</v>
      </c>
      <c r="G24" s="661"/>
      <c r="H24" s="674" t="str">
        <f>IF(はじめに!E21="","",はじめに!E21)</f>
        <v/>
      </c>
      <c r="I24" s="674"/>
      <c r="J24" s="674"/>
      <c r="K24" s="674"/>
      <c r="L24" s="674"/>
      <c r="M24" s="674"/>
      <c r="N24" s="674"/>
      <c r="O24" s="674"/>
      <c r="P24" s="674"/>
      <c r="Q24" s="674"/>
    </row>
    <row r="25" spans="1:17" s="22" customFormat="1" ht="27" customHeight="1">
      <c r="A25" s="970"/>
      <c r="B25" s="970"/>
      <c r="C25" s="970"/>
      <c r="D25" s="825"/>
      <c r="E25" s="827"/>
      <c r="F25" s="837" t="s">
        <v>14</v>
      </c>
      <c r="G25" s="661"/>
      <c r="H25" s="674" t="str">
        <f>IF(はじめに!E24="","",はじめに!E24)</f>
        <v/>
      </c>
      <c r="I25" s="674"/>
      <c r="J25" s="674"/>
      <c r="K25" s="674"/>
      <c r="L25" s="674"/>
      <c r="M25" s="674"/>
      <c r="N25" s="674"/>
      <c r="O25" s="674"/>
      <c r="P25" s="674"/>
      <c r="Q25" s="674"/>
    </row>
    <row r="26" spans="1:17" s="22" customFormat="1" ht="27" customHeight="1">
      <c r="A26" s="970"/>
      <c r="B26" s="970"/>
      <c r="C26" s="970"/>
      <c r="D26" s="837" t="s">
        <v>3121</v>
      </c>
      <c r="E26" s="682"/>
      <c r="F26" s="682"/>
      <c r="G26" s="661"/>
      <c r="H26" s="674" t="str">
        <f>IF(はじめに!F22="","",はじめに!F22 &amp; "-")  &amp; IF(はじめに!H22="","",はじめに!H22)</f>
        <v/>
      </c>
      <c r="I26" s="674"/>
      <c r="J26" s="674"/>
      <c r="K26" s="674"/>
      <c r="L26" s="674"/>
      <c r="M26" s="674"/>
      <c r="N26" s="674"/>
      <c r="O26" s="674"/>
      <c r="P26" s="674"/>
      <c r="Q26" s="674"/>
    </row>
    <row r="27" spans="1:17" s="22" customFormat="1" ht="27" customHeight="1">
      <c r="A27" s="970"/>
      <c r="B27" s="970"/>
      <c r="C27" s="970"/>
      <c r="D27" s="837" t="s">
        <v>4146</v>
      </c>
      <c r="E27" s="682"/>
      <c r="F27" s="682"/>
      <c r="G27" s="661"/>
      <c r="H27" s="674" t="str">
        <f>IF(はじめに!E23="","",はじめに!E23)</f>
        <v/>
      </c>
      <c r="I27" s="674"/>
      <c r="J27" s="674"/>
      <c r="K27" s="674"/>
      <c r="L27" s="674"/>
      <c r="M27" s="674"/>
      <c r="N27" s="674"/>
      <c r="O27" s="674"/>
      <c r="P27" s="674"/>
      <c r="Q27" s="674"/>
    </row>
    <row r="28" spans="1:17" s="22" customFormat="1" ht="27" customHeight="1">
      <c r="A28" s="970"/>
      <c r="B28" s="970"/>
      <c r="C28" s="970"/>
      <c r="D28" s="837" t="s">
        <v>4147</v>
      </c>
      <c r="E28" s="682"/>
      <c r="F28" s="682"/>
      <c r="G28" s="661"/>
      <c r="H28" s="674" t="str">
        <f>IF(はじめに!E25="","",はじめに!E25)</f>
        <v/>
      </c>
      <c r="I28" s="674"/>
      <c r="J28" s="674"/>
      <c r="K28" s="674"/>
      <c r="L28" s="674"/>
      <c r="M28" s="674"/>
      <c r="N28" s="674"/>
      <c r="O28" s="674"/>
      <c r="P28" s="674"/>
      <c r="Q28" s="674"/>
    </row>
    <row r="29" spans="1:17" s="22" customFormat="1" ht="27" customHeight="1">
      <c r="A29" s="970"/>
      <c r="B29" s="970"/>
      <c r="C29" s="970"/>
      <c r="D29" s="837" t="s">
        <v>4148</v>
      </c>
      <c r="E29" s="682"/>
      <c r="F29" s="682"/>
      <c r="G29" s="661"/>
      <c r="H29" s="674" t="str">
        <f>IF(はじめに!E26="","",はじめに!E26)</f>
        <v/>
      </c>
      <c r="I29" s="674"/>
      <c r="J29" s="674"/>
      <c r="K29" s="674"/>
      <c r="L29" s="674"/>
      <c r="M29" s="674"/>
      <c r="N29" s="674"/>
      <c r="O29" s="674"/>
      <c r="P29" s="674"/>
      <c r="Q29" s="674"/>
    </row>
    <row r="30" spans="1:17" s="22" customFormat="1" ht="27" customHeight="1">
      <c r="A30" s="970"/>
      <c r="B30" s="970"/>
      <c r="C30" s="970"/>
      <c r="D30" s="837" t="s">
        <v>4149</v>
      </c>
      <c r="E30" s="682"/>
      <c r="F30" s="682"/>
      <c r="G30" s="661"/>
      <c r="H30" s="674" t="str">
        <f>IF(はじめに!E27="","",はじめに!E27)</f>
        <v/>
      </c>
      <c r="I30" s="674"/>
      <c r="J30" s="674"/>
      <c r="K30" s="674"/>
      <c r="L30" s="674"/>
      <c r="M30" s="674"/>
      <c r="N30" s="674"/>
      <c r="O30" s="674"/>
      <c r="P30" s="674"/>
      <c r="Q30" s="674"/>
    </row>
    <row r="31" spans="1:17" s="22" customFormat="1" ht="6.75" customHeight="1"/>
    <row r="32" spans="1:17" s="22" customFormat="1" ht="6.75" customHeight="1"/>
    <row r="33" spans="1:17" s="22" customFormat="1" ht="55.5" customHeight="1">
      <c r="A33" s="969" t="s">
        <v>15</v>
      </c>
      <c r="B33" s="839"/>
      <c r="C33" s="839"/>
      <c r="D33" s="839"/>
      <c r="E33" s="839"/>
      <c r="F33" s="154" t="s">
        <v>16</v>
      </c>
      <c r="G33" s="164"/>
      <c r="H33" s="838"/>
      <c r="I33" s="838"/>
      <c r="J33" s="838"/>
      <c r="K33" s="838"/>
      <c r="L33" s="838"/>
      <c r="M33" s="838"/>
      <c r="N33" s="838"/>
      <c r="O33" s="838"/>
      <c r="P33" s="838"/>
      <c r="Q33" s="838"/>
    </row>
    <row r="34" spans="1:17" s="22" customFormat="1" ht="55.5" customHeight="1">
      <c r="A34" s="969"/>
      <c r="B34" s="839"/>
      <c r="C34" s="839"/>
      <c r="D34" s="839"/>
      <c r="E34" s="839"/>
      <c r="F34" s="837" t="s">
        <v>17</v>
      </c>
      <c r="G34" s="661"/>
      <c r="H34" s="839"/>
      <c r="I34" s="839"/>
      <c r="J34" s="839"/>
      <c r="K34" s="839"/>
      <c r="L34" s="839"/>
      <c r="M34" s="839"/>
      <c r="N34" s="839"/>
      <c r="O34" s="839"/>
      <c r="P34" s="839"/>
      <c r="Q34" s="839"/>
    </row>
  </sheetData>
  <sheetProtection algorithmName="SHA-512" hashValue="3CKpIJ1X9qZy8CnA6fzQ/KGxUodehRpl7P/YaCv7pKos3XMoBuD9pg8l9BWlh1IcCK4Z8XX1hWzkxw5xxnmwVQ==" saltValue="LtsyzKWEwVg9z6E6TCC/CQ==" spinCount="100000" sheet="1" objects="1" scenarios="1" selectLockedCells="1"/>
  <mergeCells count="40">
    <mergeCell ref="A17:C17"/>
    <mergeCell ref="D17:Q17"/>
    <mergeCell ref="B3:P3"/>
    <mergeCell ref="G8:H8"/>
    <mergeCell ref="J8:P8"/>
    <mergeCell ref="G9:H9"/>
    <mergeCell ref="J9:P9"/>
    <mergeCell ref="G10:H10"/>
    <mergeCell ref="J10:P10"/>
    <mergeCell ref="A12:Q13"/>
    <mergeCell ref="A15:C15"/>
    <mergeCell ref="D15:Q15"/>
    <mergeCell ref="A16:C16"/>
    <mergeCell ref="D16:Q16"/>
    <mergeCell ref="A24:C30"/>
    <mergeCell ref="D24:E25"/>
    <mergeCell ref="F24:G24"/>
    <mergeCell ref="H24:Q24"/>
    <mergeCell ref="F25:G25"/>
    <mergeCell ref="H25:Q25"/>
    <mergeCell ref="D26:G26"/>
    <mergeCell ref="H26:Q26"/>
    <mergeCell ref="D27:G27"/>
    <mergeCell ref="H27:Q27"/>
    <mergeCell ref="D29:G29"/>
    <mergeCell ref="H29:Q29"/>
    <mergeCell ref="D30:G30"/>
    <mergeCell ref="H30:Q30"/>
    <mergeCell ref="D28:G28"/>
    <mergeCell ref="H28:Q28"/>
    <mergeCell ref="A19:C22"/>
    <mergeCell ref="E19:Q19"/>
    <mergeCell ref="E20:Q20"/>
    <mergeCell ref="E21:Q21"/>
    <mergeCell ref="E22:Q22"/>
    <mergeCell ref="A33:A34"/>
    <mergeCell ref="B33:E34"/>
    <mergeCell ref="H33:Q33"/>
    <mergeCell ref="F34:G34"/>
    <mergeCell ref="H34:Q34"/>
  </mergeCells>
  <phoneticPr fontId="1"/>
  <pageMargins left="0.70866141732283472" right="0.55118110236220474" top="0.74803149606299213" bottom="0.74803149606299213" header="0.31496062992125984" footer="0.31496062992125984"/>
  <pageSetup paperSize="9" scale="94" orientation="portrait" r:id="rId1"/>
  <headerFooter>
    <oddHeader>&amp;L様式第４号</oddHeader>
    <oddFooter>&amp;R&amp;8（事業所等用）</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B050"/>
  </sheetPr>
  <dimension ref="A2:R63"/>
  <sheetViews>
    <sheetView showGridLines="0" view="pageBreakPreview" zoomScaleNormal="100" zoomScaleSheetLayoutView="100" workbookViewId="0">
      <selection activeCell="W5" sqref="W5"/>
    </sheetView>
  </sheetViews>
  <sheetFormatPr defaultColWidth="8.88671875" defaultRowHeight="17.399999999999999"/>
  <cols>
    <col min="1" max="4" width="4.33203125" style="8" customWidth="1"/>
    <col min="5" max="6" width="5.6640625" style="8" customWidth="1"/>
    <col min="7" max="18" width="6.6640625" style="8" customWidth="1"/>
    <col min="19" max="39" width="5.6640625" style="8" customWidth="1"/>
    <col min="40" max="16384" width="8.88671875" style="8"/>
  </cols>
  <sheetData>
    <row r="2" spans="1:18" ht="13.5" customHeight="1"/>
    <row r="3" spans="1:18" ht="25.5" customHeight="1">
      <c r="B3" s="1000" t="s">
        <v>5205</v>
      </c>
      <c r="C3" s="1000"/>
      <c r="D3" s="1000"/>
      <c r="E3" s="1000"/>
      <c r="F3" s="1000"/>
      <c r="G3" s="1000"/>
      <c r="H3" s="1000"/>
      <c r="I3" s="1000"/>
      <c r="J3" s="1000"/>
      <c r="K3" s="1000"/>
      <c r="L3" s="1000"/>
      <c r="M3" s="1000"/>
      <c r="N3" s="1000"/>
      <c r="O3" s="1001" t="str">
        <f>" 第 "&amp;はじめに!F29&amp;" 年度分"</f>
        <v xml:space="preserve"> 第  年度分</v>
      </c>
      <c r="P3" s="1001"/>
      <c r="Q3" s="1001"/>
    </row>
    <row r="4" spans="1:18" s="22" customFormat="1" ht="16.2"/>
    <row r="5" spans="1:18" s="22" customFormat="1" ht="17.25" customHeight="1">
      <c r="A5" s="155" t="s">
        <v>81</v>
      </c>
    </row>
    <row r="6" spans="1:18" s="22" customFormat="1" ht="19.5" customHeight="1">
      <c r="A6" s="894" t="s">
        <v>5</v>
      </c>
      <c r="B6" s="894"/>
      <c r="C6" s="894"/>
      <c r="D6" s="894"/>
      <c r="E6" s="674" t="str">
        <f>IF(はじめに!E6="","",はじめに!E6)</f>
        <v/>
      </c>
      <c r="F6" s="674"/>
      <c r="G6" s="674"/>
      <c r="H6" s="1002"/>
      <c r="I6" s="674"/>
      <c r="J6" s="674"/>
      <c r="K6" s="674"/>
      <c r="L6" s="674"/>
      <c r="M6" s="674"/>
      <c r="N6" s="674"/>
      <c r="O6" s="674"/>
      <c r="P6" s="674"/>
      <c r="Q6" s="674"/>
      <c r="R6" s="674"/>
    </row>
    <row r="7" spans="1:18" s="22" customFormat="1" ht="19.5" customHeight="1">
      <c r="A7" s="894" t="s">
        <v>6</v>
      </c>
      <c r="B7" s="894"/>
      <c r="C7" s="894"/>
      <c r="D7" s="894"/>
      <c r="E7" s="674" t="str">
        <f>IF(はじめに!E14="","",はじめに!E14)</f>
        <v/>
      </c>
      <c r="F7" s="674"/>
      <c r="G7" s="674"/>
      <c r="H7" s="1002"/>
      <c r="I7" s="674"/>
      <c r="J7" s="674"/>
      <c r="K7" s="674"/>
      <c r="L7" s="674"/>
      <c r="M7" s="674"/>
      <c r="N7" s="674"/>
      <c r="O7" s="674"/>
      <c r="P7" s="674"/>
      <c r="Q7" s="674"/>
      <c r="R7" s="674"/>
    </row>
    <row r="8" spans="1:18" s="22" customFormat="1" ht="19.5" customHeight="1">
      <c r="A8" s="894" t="s">
        <v>7</v>
      </c>
      <c r="B8" s="894"/>
      <c r="C8" s="894"/>
      <c r="D8" s="894"/>
      <c r="E8" s="674" t="str">
        <f>IF(はじめに!E16="","",はじめに!E16)</f>
        <v/>
      </c>
      <c r="F8" s="674"/>
      <c r="G8" s="674"/>
      <c r="H8" s="1002"/>
      <c r="I8" s="674"/>
      <c r="J8" s="674"/>
      <c r="K8" s="674"/>
      <c r="L8" s="674"/>
      <c r="M8" s="674"/>
      <c r="N8" s="674"/>
      <c r="O8" s="674"/>
      <c r="P8" s="674"/>
      <c r="Q8" s="674"/>
      <c r="R8" s="674"/>
    </row>
    <row r="9" spans="1:18" s="22" customFormat="1" ht="19.5" customHeight="1">
      <c r="A9" s="859" t="s">
        <v>4150</v>
      </c>
      <c r="B9" s="860"/>
      <c r="C9" s="860"/>
      <c r="D9" s="861"/>
      <c r="E9" s="850" t="str">
        <f>IF(はじめに!S17="","",はじめに!S17)</f>
        <v/>
      </c>
      <c r="F9" s="850"/>
      <c r="G9" s="850"/>
      <c r="H9" s="913"/>
      <c r="I9" s="850"/>
      <c r="J9" s="850"/>
      <c r="K9" s="850"/>
      <c r="L9" s="850"/>
      <c r="M9" s="850"/>
      <c r="N9" s="850"/>
      <c r="O9" s="850"/>
      <c r="P9" s="850"/>
      <c r="Q9" s="850"/>
      <c r="R9" s="850"/>
    </row>
    <row r="10" spans="1:18" s="22" customFormat="1" ht="19.5" customHeight="1">
      <c r="A10" s="865" t="s">
        <v>4123</v>
      </c>
      <c r="B10" s="866"/>
      <c r="C10" s="866"/>
      <c r="D10" s="895"/>
      <c r="E10" s="118" t="str">
        <f>IF(報告書提出書!D19="","",報告書提出書!D19)</f>
        <v>〇</v>
      </c>
      <c r="F10" s="862" t="s">
        <v>4121</v>
      </c>
      <c r="G10" s="863"/>
      <c r="H10" s="1003"/>
      <c r="I10" s="863"/>
      <c r="J10" s="863"/>
      <c r="K10" s="863"/>
      <c r="L10" s="863"/>
      <c r="M10" s="863"/>
      <c r="N10" s="863"/>
      <c r="O10" s="863"/>
      <c r="P10" s="863"/>
      <c r="Q10" s="863"/>
      <c r="R10" s="864"/>
    </row>
    <row r="11" spans="1:18" s="22" customFormat="1" ht="19.5" customHeight="1">
      <c r="A11" s="896"/>
      <c r="B11" s="897"/>
      <c r="C11" s="897"/>
      <c r="D11" s="898"/>
      <c r="E11" s="118" t="str">
        <f>IF(報告書提出書!D20="","",報告書提出書!D20)</f>
        <v/>
      </c>
      <c r="F11" s="862" t="s">
        <v>4124</v>
      </c>
      <c r="G11" s="863"/>
      <c r="H11" s="1003"/>
      <c r="I11" s="863"/>
      <c r="J11" s="863"/>
      <c r="K11" s="863"/>
      <c r="L11" s="863"/>
      <c r="M11" s="863"/>
      <c r="N11" s="863"/>
      <c r="O11" s="863"/>
      <c r="P11" s="863"/>
      <c r="Q11" s="863"/>
      <c r="R11" s="864"/>
    </row>
    <row r="12" spans="1:18" s="22" customFormat="1" ht="19.5" customHeight="1">
      <c r="A12" s="896"/>
      <c r="B12" s="897"/>
      <c r="C12" s="897"/>
      <c r="D12" s="898"/>
      <c r="E12" s="118" t="str">
        <f>IF(報告書提出書!D21="","",報告書提出書!D21)</f>
        <v/>
      </c>
      <c r="F12" s="862" t="s">
        <v>4125</v>
      </c>
      <c r="G12" s="863"/>
      <c r="H12" s="1003"/>
      <c r="I12" s="863"/>
      <c r="J12" s="863"/>
      <c r="K12" s="863"/>
      <c r="L12" s="863"/>
      <c r="M12" s="863"/>
      <c r="N12" s="863"/>
      <c r="O12" s="863"/>
      <c r="P12" s="863"/>
      <c r="Q12" s="863"/>
      <c r="R12" s="864"/>
    </row>
    <row r="13" spans="1:18" s="22" customFormat="1" ht="19.5" customHeight="1">
      <c r="A13" s="899"/>
      <c r="B13" s="900"/>
      <c r="C13" s="900"/>
      <c r="D13" s="901"/>
      <c r="E13" s="118" t="str">
        <f>IF(報告書提出書!D22="","",報告書提出書!D22)</f>
        <v/>
      </c>
      <c r="F13" s="862" t="s">
        <v>4122</v>
      </c>
      <c r="G13" s="863"/>
      <c r="H13" s="1003"/>
      <c r="I13" s="863"/>
      <c r="J13" s="863"/>
      <c r="K13" s="863"/>
      <c r="L13" s="863"/>
      <c r="M13" s="863"/>
      <c r="N13" s="863"/>
      <c r="O13" s="863"/>
      <c r="P13" s="863"/>
      <c r="Q13" s="863"/>
      <c r="R13" s="864"/>
    </row>
    <row r="14" spans="1:18" s="22" customFormat="1" ht="63" customHeight="1">
      <c r="A14" s="865" t="s">
        <v>4103</v>
      </c>
      <c r="B14" s="866"/>
      <c r="C14" s="866"/>
      <c r="D14" s="866"/>
      <c r="E14" s="850" t="str">
        <f>IF('報告書①（事業所概要・実績）'!A13="","",'報告書①（事業所概要・実績）'!A13)</f>
        <v/>
      </c>
      <c r="F14" s="850"/>
      <c r="G14" s="850"/>
      <c r="H14" s="913"/>
      <c r="I14" s="850"/>
      <c r="J14" s="850"/>
      <c r="K14" s="850"/>
      <c r="L14" s="850"/>
      <c r="M14" s="850"/>
      <c r="N14" s="850"/>
      <c r="O14" s="850"/>
      <c r="P14" s="850"/>
      <c r="Q14" s="850"/>
      <c r="R14" s="850"/>
    </row>
    <row r="15" spans="1:18" s="22" customFormat="1" ht="8.25" customHeight="1">
      <c r="A15" s="158"/>
      <c r="B15" s="158"/>
      <c r="C15" s="158"/>
      <c r="D15" s="158"/>
      <c r="E15" s="159"/>
      <c r="F15" s="159"/>
      <c r="G15" s="159"/>
      <c r="H15" s="159"/>
      <c r="I15" s="159"/>
      <c r="J15" s="159"/>
      <c r="K15" s="159"/>
      <c r="L15" s="159"/>
      <c r="M15" s="159"/>
      <c r="N15" s="159"/>
      <c r="O15" s="159"/>
      <c r="P15" s="159"/>
      <c r="Q15" s="159"/>
    </row>
    <row r="16" spans="1:18" s="22" customFormat="1" ht="17.25" customHeight="1">
      <c r="A16" s="155" t="s">
        <v>4151</v>
      </c>
    </row>
    <row r="17" spans="1:18" s="22" customFormat="1" ht="27.6" customHeight="1">
      <c r="A17" s="991" t="s">
        <v>5181</v>
      </c>
      <c r="B17" s="992"/>
      <c r="C17" s="992"/>
      <c r="D17" s="993"/>
      <c r="E17" s="908" t="s">
        <v>86</v>
      </c>
      <c r="F17" s="982"/>
      <c r="G17" s="1007" t="str">
        <f>IF(はじめに!E4="","",はじめに!E4)</f>
        <v/>
      </c>
      <c r="H17" s="1007"/>
      <c r="I17" s="592" t="s">
        <v>94</v>
      </c>
      <c r="J17" s="854" t="s">
        <v>4104</v>
      </c>
      <c r="K17" s="983"/>
      <c r="L17" s="902" t="str">
        <f>IF('報告書①（事業所概要・実績）'!H22="","",'報告書①（事業所概要・実績）'!H22)</f>
        <v/>
      </c>
      <c r="M17" s="903"/>
      <c r="N17" s="161" t="s">
        <v>5199</v>
      </c>
      <c r="O17" s="854" t="s">
        <v>4106</v>
      </c>
      <c r="P17" s="983"/>
      <c r="Q17" s="892" t="str">
        <f>IF('報告書①（事業所概要・実績）'!M22="","",'報告書①（事業所概要・実績）'!M22)</f>
        <v/>
      </c>
      <c r="R17" s="893"/>
    </row>
    <row r="18" spans="1:18" s="22" customFormat="1" ht="27.6" customHeight="1">
      <c r="A18" s="994"/>
      <c r="B18" s="995"/>
      <c r="C18" s="995"/>
      <c r="D18" s="996"/>
      <c r="E18" s="885" t="s">
        <v>163</v>
      </c>
      <c r="F18" s="978"/>
      <c r="G18" s="867">
        <f>IF(はじめに!H3="","",はじめに!H3)</f>
        <v>2025</v>
      </c>
      <c r="H18" s="867"/>
      <c r="I18" s="904" t="s">
        <v>94</v>
      </c>
      <c r="J18" s="854" t="s">
        <v>4105</v>
      </c>
      <c r="K18" s="983"/>
      <c r="L18" s="902" t="str">
        <f>IF('報告書①（事業所概要・実績）'!H23="","",'報告書①（事業所概要・実績）'!H23)</f>
        <v/>
      </c>
      <c r="M18" s="903"/>
      <c r="N18" s="161" t="s">
        <v>5199</v>
      </c>
      <c r="O18" s="854" t="s">
        <v>167</v>
      </c>
      <c r="P18" s="983"/>
      <c r="Q18" s="892" t="str">
        <f>IF('報告書①（事業所概要・実績）'!M23="","",'報告書①（事業所概要・実績）'!M23)</f>
        <v/>
      </c>
      <c r="R18" s="893"/>
    </row>
    <row r="19" spans="1:18" s="22" customFormat="1" ht="27.6" customHeight="1">
      <c r="A19" s="994"/>
      <c r="B19" s="995"/>
      <c r="C19" s="995"/>
      <c r="D19" s="996"/>
      <c r="E19" s="979"/>
      <c r="F19" s="980"/>
      <c r="G19" s="869"/>
      <c r="H19" s="869"/>
      <c r="I19" s="906"/>
      <c r="J19" s="908" t="s">
        <v>4102</v>
      </c>
      <c r="K19" s="975"/>
      <c r="L19" s="1010" t="str">
        <f>IF('報告書①（事業所概要・実績）'!H24="","",'報告書①（事業所概要・実績）'!H24)</f>
        <v/>
      </c>
      <c r="M19" s="1011"/>
      <c r="N19" s="157" t="s">
        <v>164</v>
      </c>
      <c r="O19" s="908" t="s">
        <v>4102</v>
      </c>
      <c r="P19" s="975"/>
      <c r="Q19" s="162" t="str">
        <f>IF('報告書①（事業所概要・実績）'!M24="","",'報告書①（事業所概要・実績）'!M24)</f>
        <v/>
      </c>
      <c r="R19" s="593" t="s">
        <v>4152</v>
      </c>
    </row>
    <row r="20" spans="1:18" s="22" customFormat="1" ht="43.35" customHeight="1">
      <c r="A20" s="997"/>
      <c r="B20" s="998"/>
      <c r="C20" s="998"/>
      <c r="D20" s="999"/>
      <c r="E20" s="910"/>
      <c r="F20" s="981"/>
      <c r="G20" s="973" t="s">
        <v>5403</v>
      </c>
      <c r="H20" s="1004"/>
      <c r="I20" s="872"/>
      <c r="J20" s="908" t="s">
        <v>5182</v>
      </c>
      <c r="K20" s="975"/>
      <c r="L20" s="976" t="str">
        <f>IF('報告書①（事業所概要・実績）'!H25="","",'報告書①（事業所概要・実績）'!H25)</f>
        <v/>
      </c>
      <c r="M20" s="977"/>
      <c r="N20" s="594" t="s">
        <v>96</v>
      </c>
      <c r="O20" s="908" t="s">
        <v>5179</v>
      </c>
      <c r="P20" s="975"/>
      <c r="Q20" s="595" t="str">
        <f>IF('報告書①（事業所概要・実績）'!M25="","",'報告書①（事業所概要・実績）'!M25)</f>
        <v/>
      </c>
      <c r="R20" s="593" t="s">
        <v>164</v>
      </c>
    </row>
    <row r="21" spans="1:18" s="22" customFormat="1" ht="27.6" customHeight="1">
      <c r="A21" s="991" t="s">
        <v>4153</v>
      </c>
      <c r="B21" s="992"/>
      <c r="C21" s="992"/>
      <c r="D21" s="993"/>
      <c r="E21" s="885" t="s">
        <v>4154</v>
      </c>
      <c r="F21" s="978"/>
      <c r="G21" s="867" t="str">
        <f>IF('報告書①（事業所概要・実績）'!C26="","",'報告書①（事業所概要・実績）'!C26)</f>
        <v/>
      </c>
      <c r="H21" s="867"/>
      <c r="I21" s="904" t="s">
        <v>94</v>
      </c>
      <c r="J21" s="856" t="s">
        <v>4155</v>
      </c>
      <c r="K21" s="858"/>
      <c r="L21" s="1008" t="str">
        <f>IF('報告書①（事業所概要・実績）'!H26="","",'報告書①（事業所概要・実績）'!H26)</f>
        <v/>
      </c>
      <c r="M21" s="1009"/>
      <c r="N21" s="161" t="s">
        <v>5199</v>
      </c>
      <c r="O21" s="856" t="s">
        <v>4156</v>
      </c>
      <c r="P21" s="858"/>
      <c r="Q21" s="892" t="str">
        <f>IF('報告書①（事業所概要・実績）'!M26="","",'報告書①（事業所概要・実績）'!M26)</f>
        <v/>
      </c>
      <c r="R21" s="893"/>
    </row>
    <row r="22" spans="1:18" s="22" customFormat="1" ht="27.6" customHeight="1">
      <c r="A22" s="994"/>
      <c r="B22" s="995"/>
      <c r="C22" s="995"/>
      <c r="D22" s="996"/>
      <c r="E22" s="979"/>
      <c r="F22" s="980"/>
      <c r="G22" s="869"/>
      <c r="H22" s="869"/>
      <c r="I22" s="906"/>
      <c r="J22" s="883" t="s">
        <v>4102</v>
      </c>
      <c r="K22" s="971"/>
      <c r="L22" s="1005" t="str">
        <f>IF('報告書①（事業所概要・実績）'!H27="","",'報告書①（事業所概要・実績）'!H27)</f>
        <v/>
      </c>
      <c r="M22" s="1006"/>
      <c r="N22" s="261" t="s">
        <v>4152</v>
      </c>
      <c r="O22" s="883" t="s">
        <v>4102</v>
      </c>
      <c r="P22" s="971"/>
      <c r="Q22" s="162" t="str">
        <f>IF('報告書①（事業所概要・実績）'!M27="","",'報告書①（事業所概要・実績）'!M27)</f>
        <v/>
      </c>
      <c r="R22" s="157" t="s">
        <v>4152</v>
      </c>
    </row>
    <row r="23" spans="1:18" s="22" customFormat="1" ht="43.35" customHeight="1">
      <c r="A23" s="994"/>
      <c r="B23" s="995"/>
      <c r="C23" s="995"/>
      <c r="D23" s="996"/>
      <c r="E23" s="910"/>
      <c r="F23" s="981"/>
      <c r="G23" s="973" t="s">
        <v>5412</v>
      </c>
      <c r="H23" s="973"/>
      <c r="I23" s="974"/>
      <c r="J23" s="908" t="s">
        <v>5182</v>
      </c>
      <c r="K23" s="975"/>
      <c r="L23" s="976" t="str">
        <f>IF('報告書①（事業所概要・実績）'!H28="","",'報告書①（事業所概要・実績）'!H28)</f>
        <v/>
      </c>
      <c r="M23" s="977"/>
      <c r="N23" s="594" t="s">
        <v>96</v>
      </c>
      <c r="O23" s="908" t="s">
        <v>5179</v>
      </c>
      <c r="P23" s="975"/>
      <c r="Q23" s="595" t="str">
        <f>IF('報告書①（事業所概要・実績）'!M28="","",'報告書①（事業所概要・実績）'!M28)</f>
        <v/>
      </c>
      <c r="R23" s="593" t="s">
        <v>164</v>
      </c>
    </row>
    <row r="24" spans="1:18" s="22" customFormat="1" ht="42" customHeight="1">
      <c r="A24" s="994"/>
      <c r="B24" s="995"/>
      <c r="C24" s="995"/>
      <c r="D24" s="996"/>
      <c r="E24" s="883" t="s">
        <v>4158</v>
      </c>
      <c r="F24" s="972"/>
      <c r="G24" s="1012" t="str">
        <f>IF('報告書①（事業所概要・実績）'!C29="","",'報告書①（事業所概要・実績）'!C29)</f>
        <v/>
      </c>
      <c r="H24" s="1012"/>
      <c r="I24" s="1012"/>
      <c r="J24" s="1012"/>
      <c r="K24" s="1012"/>
      <c r="L24" s="1012"/>
      <c r="M24" s="1012"/>
      <c r="N24" s="1012"/>
      <c r="O24" s="1012"/>
      <c r="P24" s="1012"/>
      <c r="Q24" s="1012"/>
      <c r="R24" s="1013"/>
    </row>
    <row r="25" spans="1:18" s="22" customFormat="1" ht="27.6" customHeight="1">
      <c r="A25" s="994"/>
      <c r="B25" s="995"/>
      <c r="C25" s="995"/>
      <c r="D25" s="996"/>
      <c r="E25" s="885" t="s">
        <v>4159</v>
      </c>
      <c r="F25" s="978"/>
      <c r="G25" s="867" t="str">
        <f>IF('報告書①（事業所概要・実績）'!C30="","",'報告書①（事業所概要・実績）'!C30)</f>
        <v/>
      </c>
      <c r="H25" s="867"/>
      <c r="I25" s="904" t="s">
        <v>94</v>
      </c>
      <c r="J25" s="856" t="s">
        <v>4155</v>
      </c>
      <c r="K25" s="858"/>
      <c r="L25" s="1008" t="str">
        <f>IF('報告書①（事業所概要・実績）'!H30="","",'報告書①（事業所概要・実績）'!H30)</f>
        <v/>
      </c>
      <c r="M25" s="1009"/>
      <c r="N25" s="161" t="s">
        <v>5199</v>
      </c>
      <c r="O25" s="856" t="s">
        <v>4156</v>
      </c>
      <c r="P25" s="858"/>
      <c r="Q25" s="892" t="str">
        <f>IF('報告書①（事業所概要・実績）'!M30="","",'報告書①（事業所概要・実績）'!M30)</f>
        <v/>
      </c>
      <c r="R25" s="893"/>
    </row>
    <row r="26" spans="1:18" s="22" customFormat="1" ht="27.6" customHeight="1">
      <c r="A26" s="994"/>
      <c r="B26" s="995"/>
      <c r="C26" s="995"/>
      <c r="D26" s="996"/>
      <c r="E26" s="979"/>
      <c r="F26" s="980"/>
      <c r="G26" s="869"/>
      <c r="H26" s="869"/>
      <c r="I26" s="906"/>
      <c r="J26" s="883" t="s">
        <v>4102</v>
      </c>
      <c r="K26" s="971"/>
      <c r="L26" s="1005" t="str">
        <f>IF('報告書①（事業所概要・実績）'!H31="","",'報告書①（事業所概要・実績）'!H31)</f>
        <v/>
      </c>
      <c r="M26" s="1006"/>
      <c r="N26" s="261" t="s">
        <v>4152</v>
      </c>
      <c r="O26" s="883" t="s">
        <v>4102</v>
      </c>
      <c r="P26" s="971"/>
      <c r="Q26" s="162" t="str">
        <f>IF('報告書①（事業所概要・実績）'!M31="","",'報告書①（事業所概要・実績）'!M31)</f>
        <v/>
      </c>
      <c r="R26" s="157" t="s">
        <v>164</v>
      </c>
    </row>
    <row r="27" spans="1:18" s="22" customFormat="1" ht="43.35" customHeight="1">
      <c r="A27" s="994"/>
      <c r="B27" s="995"/>
      <c r="C27" s="995"/>
      <c r="D27" s="996"/>
      <c r="E27" s="910"/>
      <c r="F27" s="981"/>
      <c r="G27" s="973" t="s">
        <v>5412</v>
      </c>
      <c r="H27" s="973"/>
      <c r="I27" s="974"/>
      <c r="J27" s="908" t="s">
        <v>5182</v>
      </c>
      <c r="K27" s="975"/>
      <c r="L27" s="976" t="str">
        <f>IF('報告書①（事業所概要・実績）'!H32="","",'報告書①（事業所概要・実績）'!H32)</f>
        <v/>
      </c>
      <c r="M27" s="977"/>
      <c r="N27" s="594" t="s">
        <v>96</v>
      </c>
      <c r="O27" s="908" t="s">
        <v>5179</v>
      </c>
      <c r="P27" s="975"/>
      <c r="Q27" s="595" t="str">
        <f>IF('報告書①（事業所概要・実績）'!M32="","",'報告書①（事業所概要・実績）'!M32)</f>
        <v/>
      </c>
      <c r="R27" s="593" t="s">
        <v>164</v>
      </c>
    </row>
    <row r="28" spans="1:18" s="22" customFormat="1" ht="42" customHeight="1">
      <c r="A28" s="994"/>
      <c r="B28" s="995"/>
      <c r="C28" s="995"/>
      <c r="D28" s="996"/>
      <c r="E28" s="883" t="s">
        <v>4157</v>
      </c>
      <c r="F28" s="972"/>
      <c r="G28" s="1012" t="str">
        <f>IF('報告書①（事業所概要・実績）'!C33="","",'報告書①（事業所概要・実績）'!C33)</f>
        <v/>
      </c>
      <c r="H28" s="1012"/>
      <c r="I28" s="1012"/>
      <c r="J28" s="1012"/>
      <c r="K28" s="1012"/>
      <c r="L28" s="1012"/>
      <c r="M28" s="1012"/>
      <c r="N28" s="1012"/>
      <c r="O28" s="1012"/>
      <c r="P28" s="1012"/>
      <c r="Q28" s="1012"/>
      <c r="R28" s="1013"/>
    </row>
    <row r="29" spans="1:18" s="22" customFormat="1" ht="27.6" customHeight="1">
      <c r="A29" s="994"/>
      <c r="B29" s="995"/>
      <c r="C29" s="995"/>
      <c r="D29" s="996"/>
      <c r="E29" s="885" t="s">
        <v>4160</v>
      </c>
      <c r="F29" s="978"/>
      <c r="G29" s="867" t="str">
        <f>IF('報告書①（事業所概要・実績）'!C34="","",'報告書①（事業所概要・実績）'!C34)</f>
        <v/>
      </c>
      <c r="H29" s="867"/>
      <c r="I29" s="904" t="s">
        <v>94</v>
      </c>
      <c r="J29" s="856" t="s">
        <v>4155</v>
      </c>
      <c r="K29" s="858"/>
      <c r="L29" s="1008" t="str">
        <f>IF('報告書①（事業所概要・実績）'!H34="","",'報告書①（事業所概要・実績）'!H34)</f>
        <v/>
      </c>
      <c r="M29" s="1009"/>
      <c r="N29" s="161" t="s">
        <v>5199</v>
      </c>
      <c r="O29" s="856" t="s">
        <v>4156</v>
      </c>
      <c r="P29" s="858"/>
      <c r="Q29" s="892" t="str">
        <f>IF('報告書①（事業所概要・実績）'!M34="","",'報告書①（事業所概要・実績）'!M34)</f>
        <v/>
      </c>
      <c r="R29" s="893"/>
    </row>
    <row r="30" spans="1:18" s="22" customFormat="1" ht="27.6" customHeight="1">
      <c r="A30" s="994"/>
      <c r="B30" s="995"/>
      <c r="C30" s="995"/>
      <c r="D30" s="996"/>
      <c r="E30" s="979"/>
      <c r="F30" s="980"/>
      <c r="G30" s="869"/>
      <c r="H30" s="869"/>
      <c r="I30" s="906"/>
      <c r="J30" s="883" t="s">
        <v>4102</v>
      </c>
      <c r="K30" s="971"/>
      <c r="L30" s="1005" t="str">
        <f>IF('報告書①（事業所概要・実績）'!H35="","",'報告書①（事業所概要・実績）'!H35)</f>
        <v/>
      </c>
      <c r="M30" s="1006"/>
      <c r="N30" s="157" t="s">
        <v>4152</v>
      </c>
      <c r="O30" s="883" t="s">
        <v>4102</v>
      </c>
      <c r="P30" s="971"/>
      <c r="Q30" s="162" t="str">
        <f>IF('報告書①（事業所概要・実績）'!M35="","",'報告書①（事業所概要・実績）'!M35)</f>
        <v/>
      </c>
      <c r="R30" s="157" t="s">
        <v>164</v>
      </c>
    </row>
    <row r="31" spans="1:18" s="22" customFormat="1" ht="43.35" customHeight="1">
      <c r="A31" s="994"/>
      <c r="B31" s="995"/>
      <c r="C31" s="995"/>
      <c r="D31" s="996"/>
      <c r="E31" s="910"/>
      <c r="F31" s="981"/>
      <c r="G31" s="973" t="s">
        <v>5412</v>
      </c>
      <c r="H31" s="973"/>
      <c r="I31" s="974"/>
      <c r="J31" s="908" t="s">
        <v>5182</v>
      </c>
      <c r="K31" s="975"/>
      <c r="L31" s="976" t="str">
        <f>IF('報告書①（事業所概要・実績）'!H36="","",'報告書①（事業所概要・実績）'!H36)</f>
        <v/>
      </c>
      <c r="M31" s="977"/>
      <c r="N31" s="594" t="s">
        <v>96</v>
      </c>
      <c r="O31" s="908" t="s">
        <v>5179</v>
      </c>
      <c r="P31" s="975"/>
      <c r="Q31" s="595" t="str">
        <f>IF('報告書①（事業所概要・実績）'!M36="","",'報告書①（事業所概要・実績）'!M36)</f>
        <v/>
      </c>
      <c r="R31" s="593" t="s">
        <v>164</v>
      </c>
    </row>
    <row r="32" spans="1:18" s="22" customFormat="1" ht="42" customHeight="1">
      <c r="A32" s="997"/>
      <c r="B32" s="998"/>
      <c r="C32" s="998"/>
      <c r="D32" s="999"/>
      <c r="E32" s="883" t="s">
        <v>4158</v>
      </c>
      <c r="F32" s="972"/>
      <c r="G32" s="1012" t="str">
        <f>IF('報告書①（事業所概要・実績）'!C37="","",'報告書①（事業所概要・実績）'!C37)</f>
        <v/>
      </c>
      <c r="H32" s="1012"/>
      <c r="I32" s="1012"/>
      <c r="J32" s="1012"/>
      <c r="K32" s="1012"/>
      <c r="L32" s="1012"/>
      <c r="M32" s="1012"/>
      <c r="N32" s="1012"/>
      <c r="O32" s="1012"/>
      <c r="P32" s="1012"/>
      <c r="Q32" s="1012"/>
      <c r="R32" s="1013"/>
    </row>
    <row r="33" spans="1:18" s="22" customFormat="1" ht="17.25" customHeight="1"/>
    <row r="34" spans="1:18" s="22" customFormat="1" ht="22.5" customHeight="1">
      <c r="A34" s="155" t="s">
        <v>3116</v>
      </c>
    </row>
    <row r="35" spans="1:18" s="22" customFormat="1" ht="49.35" customHeight="1">
      <c r="A35" s="865" t="s">
        <v>4993</v>
      </c>
      <c r="B35" s="866"/>
      <c r="C35" s="866"/>
      <c r="D35" s="895"/>
      <c r="E35" s="854" t="s">
        <v>4161</v>
      </c>
      <c r="F35" s="983"/>
      <c r="G35" s="989" t="str">
        <f>IF('計画書② (取組）'!J9="","",'計画書② (取組）'!J9*100)</f>
        <v/>
      </c>
      <c r="H35" s="990"/>
      <c r="I35" s="157" t="s">
        <v>4152</v>
      </c>
      <c r="J35" s="890" t="s">
        <v>4204</v>
      </c>
      <c r="K35" s="890"/>
      <c r="L35" s="596" t="str">
        <f>IF('計画書② (取組）'!J10="","",'計画書② (取組）'!J10*100)</f>
        <v/>
      </c>
      <c r="M35" s="157" t="s">
        <v>164</v>
      </c>
      <c r="N35" s="984"/>
      <c r="O35" s="984"/>
    </row>
    <row r="36" spans="1:18" s="22" customFormat="1" ht="49.35" customHeight="1">
      <c r="A36" s="896"/>
      <c r="B36" s="897"/>
      <c r="C36" s="897"/>
      <c r="D36" s="898"/>
      <c r="E36" s="985" t="s">
        <v>4162</v>
      </c>
      <c r="F36" s="986"/>
      <c r="G36" s="989" t="str">
        <f>IF('報告書② 第3年度(取組）'!T6="","",'報告書② 第3年度(取組）'!T6*100)</f>
        <v/>
      </c>
      <c r="H36" s="990"/>
      <c r="I36" s="163" t="s">
        <v>4152</v>
      </c>
      <c r="J36" s="987" t="s">
        <v>4163</v>
      </c>
      <c r="K36" s="988"/>
      <c r="L36" s="850" t="str">
        <f>IF('報告書② 第1年度(取組）'!D38="","",'報告書② 第1年度(取組）'!D38)</f>
        <v/>
      </c>
      <c r="M36" s="850"/>
      <c r="N36" s="850"/>
      <c r="O36" s="850"/>
      <c r="P36" s="850"/>
      <c r="Q36" s="850"/>
      <c r="R36" s="850"/>
    </row>
    <row r="37" spans="1:18" s="22" customFormat="1" ht="49.35" customHeight="1">
      <c r="A37" s="896"/>
      <c r="B37" s="897"/>
      <c r="C37" s="897"/>
      <c r="D37" s="898"/>
      <c r="E37" s="985" t="s">
        <v>4164</v>
      </c>
      <c r="F37" s="986"/>
      <c r="G37" s="989" t="str">
        <f>IF('報告書② 第3年度(取組）'!T7="","",'報告書② 第3年度(取組）'!T7*100)</f>
        <v/>
      </c>
      <c r="H37" s="990"/>
      <c r="I37" s="163" t="s">
        <v>4152</v>
      </c>
      <c r="J37" s="987" t="s">
        <v>4163</v>
      </c>
      <c r="K37" s="988"/>
      <c r="L37" s="850" t="str">
        <f>IF('報告書② 第2年度(取組）'!D39="","",'報告書② 第2年度(取組）'!D39)</f>
        <v/>
      </c>
      <c r="M37" s="850"/>
      <c r="N37" s="850"/>
      <c r="O37" s="850"/>
      <c r="P37" s="850"/>
      <c r="Q37" s="850"/>
      <c r="R37" s="850"/>
    </row>
    <row r="38" spans="1:18" s="22" customFormat="1" ht="49.35" customHeight="1">
      <c r="A38" s="899"/>
      <c r="B38" s="900"/>
      <c r="C38" s="900"/>
      <c r="D38" s="901"/>
      <c r="E38" s="854" t="s">
        <v>4165</v>
      </c>
      <c r="F38" s="983"/>
      <c r="G38" s="1016" t="str">
        <f>IF('報告書② 第3年度(取組）'!T8="","",'報告書② 第3年度(取組）'!T8*100)</f>
        <v/>
      </c>
      <c r="H38" s="1017"/>
      <c r="I38" s="157" t="s">
        <v>4152</v>
      </c>
      <c r="J38" s="908" t="s">
        <v>4163</v>
      </c>
      <c r="K38" s="975"/>
      <c r="L38" s="850" t="str">
        <f>IF('報告書② 第3年度(取組）'!D40="","",'報告書② 第3年度(取組）'!D40)</f>
        <v/>
      </c>
      <c r="M38" s="850"/>
      <c r="N38" s="850"/>
      <c r="O38" s="850"/>
      <c r="P38" s="850"/>
      <c r="Q38" s="850"/>
      <c r="R38" s="850"/>
    </row>
    <row r="39" spans="1:18" s="22" customFormat="1" ht="22.5" customHeight="1"/>
    <row r="40" spans="1:18" s="22" customFormat="1" ht="22.5" customHeight="1"/>
    <row r="41" spans="1:18" s="22" customFormat="1" ht="22.5" customHeight="1"/>
    <row r="42" spans="1:18" s="22" customFormat="1" ht="32.25" customHeight="1">
      <c r="A42" s="991" t="s">
        <v>4987</v>
      </c>
      <c r="B42" s="992"/>
      <c r="C42" s="992"/>
      <c r="D42" s="993"/>
      <c r="E42" s="890" t="s">
        <v>98</v>
      </c>
      <c r="F42" s="890"/>
      <c r="G42" s="890"/>
      <c r="H42" s="907"/>
      <c r="I42" s="890"/>
      <c r="J42" s="890"/>
      <c r="K42" s="890"/>
      <c r="L42" s="890"/>
      <c r="M42" s="890"/>
      <c r="N42" s="890"/>
      <c r="O42" s="890"/>
      <c r="P42" s="890"/>
      <c r="Q42" s="890" t="s">
        <v>4166</v>
      </c>
      <c r="R42" s="890"/>
    </row>
    <row r="43" spans="1:18" s="22" customFormat="1" ht="28.35" customHeight="1">
      <c r="A43" s="994"/>
      <c r="B43" s="995"/>
      <c r="C43" s="995"/>
      <c r="D43" s="996"/>
      <c r="E43" s="862" t="str">
        <f>IF(はじめに!$F$29=1,'報告書② 第1年度(取組）'!C45&amp;"",IF(はじめに!$F$29=2,'報告書② 第2年度(取組）'!C45&amp;"",'報告書② 第3年度(取組）'!C45&amp;""))</f>
        <v/>
      </c>
      <c r="F43" s="863"/>
      <c r="G43" s="863"/>
      <c r="H43" s="1003"/>
      <c r="I43" s="863"/>
      <c r="J43" s="863"/>
      <c r="K43" s="863"/>
      <c r="L43" s="863"/>
      <c r="M43" s="863"/>
      <c r="N43" s="863"/>
      <c r="O43" s="863"/>
      <c r="P43" s="864"/>
      <c r="Q43" s="680" t="str">
        <f>IF(はじめに!$F$29=1,'報告書② 第1年度(取組）'!F45&amp;"",IF(はじめに!$F$29=2,'報告書② 第2年度(取組）'!G45&amp;"",'報告書② 第3年度(取組）'!H45&amp;""))</f>
        <v/>
      </c>
      <c r="R43" s="1014"/>
    </row>
    <row r="44" spans="1:18" s="22" customFormat="1" ht="28.35" customHeight="1">
      <c r="A44" s="994"/>
      <c r="B44" s="995"/>
      <c r="C44" s="995"/>
      <c r="D44" s="996"/>
      <c r="E44" s="862" t="str">
        <f>IF(はじめに!$F$29=1,'報告書② 第1年度(取組）'!C46&amp;"",IF(はじめに!$F$29=2,'報告書② 第2年度(取組）'!C46&amp;"",'報告書② 第3年度(取組）'!C46&amp;""))</f>
        <v/>
      </c>
      <c r="F44" s="863"/>
      <c r="G44" s="863"/>
      <c r="H44" s="1003"/>
      <c r="I44" s="863"/>
      <c r="J44" s="863"/>
      <c r="K44" s="863"/>
      <c r="L44" s="863"/>
      <c r="M44" s="863"/>
      <c r="N44" s="863"/>
      <c r="O44" s="863"/>
      <c r="P44" s="864"/>
      <c r="Q44" s="680" t="str">
        <f>IF(はじめに!$F$29=1,'報告書② 第1年度(取組）'!F46&amp;"",IF(はじめに!$F$29=2,'報告書② 第2年度(取組）'!G46&amp;"",'報告書② 第3年度(取組）'!H46&amp;""))</f>
        <v/>
      </c>
      <c r="R44" s="1014"/>
    </row>
    <row r="45" spans="1:18" s="22" customFormat="1" ht="28.35" customHeight="1">
      <c r="A45" s="994"/>
      <c r="B45" s="995"/>
      <c r="C45" s="995"/>
      <c r="D45" s="996"/>
      <c r="E45" s="862" t="str">
        <f>IF(はじめに!$F$29=1,'報告書② 第1年度(取組）'!C47&amp;"",IF(はじめに!$F$29=2,'報告書② 第2年度(取組）'!C47&amp;"",'報告書② 第3年度(取組）'!C47&amp;""))</f>
        <v/>
      </c>
      <c r="F45" s="863"/>
      <c r="G45" s="863"/>
      <c r="H45" s="1003"/>
      <c r="I45" s="863"/>
      <c r="J45" s="863"/>
      <c r="K45" s="863"/>
      <c r="L45" s="863"/>
      <c r="M45" s="863"/>
      <c r="N45" s="863"/>
      <c r="O45" s="863"/>
      <c r="P45" s="864"/>
      <c r="Q45" s="680" t="str">
        <f>IF(はじめに!$F$29=1,'報告書② 第1年度(取組）'!F47&amp;"",IF(はじめに!$F$29=2,'報告書② 第2年度(取組）'!G47&amp;"",'報告書② 第3年度(取組）'!H47&amp;""))</f>
        <v/>
      </c>
      <c r="R45" s="1014"/>
    </row>
    <row r="46" spans="1:18" s="22" customFormat="1" ht="28.35" customHeight="1">
      <c r="A46" s="994"/>
      <c r="B46" s="995"/>
      <c r="C46" s="995"/>
      <c r="D46" s="996"/>
      <c r="E46" s="862" t="str">
        <f>IF(はじめに!$F$29=1,'報告書② 第1年度(取組）'!C48&amp;"",IF(はじめに!$F$29=2,'報告書② 第2年度(取組）'!C48&amp;"",'報告書② 第3年度(取組）'!C48&amp;""))</f>
        <v/>
      </c>
      <c r="F46" s="863"/>
      <c r="G46" s="863"/>
      <c r="H46" s="1003"/>
      <c r="I46" s="863"/>
      <c r="J46" s="863"/>
      <c r="K46" s="863"/>
      <c r="L46" s="863"/>
      <c r="M46" s="863"/>
      <c r="N46" s="863"/>
      <c r="O46" s="863"/>
      <c r="P46" s="864"/>
      <c r="Q46" s="680" t="str">
        <f>IF(はじめに!$F$29=1,'報告書② 第1年度(取組）'!F48&amp;"",IF(はじめに!$F$29=2,'報告書② 第2年度(取組）'!G48&amp;"",'報告書② 第3年度(取組）'!H48&amp;""))</f>
        <v/>
      </c>
      <c r="R46" s="1014"/>
    </row>
    <row r="47" spans="1:18" s="22" customFormat="1" ht="28.35" customHeight="1">
      <c r="A47" s="994"/>
      <c r="B47" s="995"/>
      <c r="C47" s="995"/>
      <c r="D47" s="996"/>
      <c r="E47" s="862" t="str">
        <f>IF(はじめに!$F$29=1,'報告書② 第1年度(取組）'!C49&amp;"",IF(はじめに!$F$29=2,'報告書② 第2年度(取組）'!C49&amp;"",'報告書② 第3年度(取組）'!C49&amp;""))</f>
        <v/>
      </c>
      <c r="F47" s="863"/>
      <c r="G47" s="863"/>
      <c r="H47" s="1003"/>
      <c r="I47" s="863"/>
      <c r="J47" s="863"/>
      <c r="K47" s="863"/>
      <c r="L47" s="863"/>
      <c r="M47" s="863"/>
      <c r="N47" s="863"/>
      <c r="O47" s="863"/>
      <c r="P47" s="864"/>
      <c r="Q47" s="680" t="str">
        <f>IF(はじめに!$F$29=1,'報告書② 第1年度(取組）'!F49&amp;"",IF(はじめに!$F$29=2,'報告書② 第2年度(取組）'!G49&amp;"",'報告書② 第3年度(取組）'!H49&amp;""))</f>
        <v/>
      </c>
      <c r="R47" s="1014"/>
    </row>
    <row r="48" spans="1:18" s="22" customFormat="1" ht="28.35" customHeight="1">
      <c r="A48" s="994"/>
      <c r="B48" s="995"/>
      <c r="C48" s="995"/>
      <c r="D48" s="996"/>
      <c r="E48" s="862" t="str">
        <f>IF(はじめに!$F$29=1,'報告書② 第1年度(取組）'!C50&amp;"",IF(はじめに!$F$29=2,'報告書② 第2年度(取組）'!C50&amp;"",'報告書② 第3年度(取組）'!C50&amp;""))</f>
        <v/>
      </c>
      <c r="F48" s="863"/>
      <c r="G48" s="863"/>
      <c r="H48" s="1003"/>
      <c r="I48" s="863"/>
      <c r="J48" s="863"/>
      <c r="K48" s="863"/>
      <c r="L48" s="863"/>
      <c r="M48" s="863"/>
      <c r="N48" s="863"/>
      <c r="O48" s="863"/>
      <c r="P48" s="864"/>
      <c r="Q48" s="680" t="str">
        <f>IF(はじめに!$F$29=1,'報告書② 第1年度(取組）'!F50&amp;"",IF(はじめに!$F$29=2,'報告書② 第2年度(取組）'!G50&amp;"",'報告書② 第3年度(取組）'!H50&amp;""))</f>
        <v/>
      </c>
      <c r="R48" s="1014"/>
    </row>
    <row r="49" spans="1:18" s="22" customFormat="1" ht="28.35" customHeight="1">
      <c r="A49" s="994"/>
      <c r="B49" s="995"/>
      <c r="C49" s="995"/>
      <c r="D49" s="996"/>
      <c r="E49" s="862" t="str">
        <f>IF(はじめに!$F$29=1,'報告書② 第1年度(取組）'!C51&amp;"",IF(はじめに!$F$29=2,'報告書② 第2年度(取組）'!C51&amp;"",'報告書② 第3年度(取組）'!C51&amp;""))</f>
        <v/>
      </c>
      <c r="F49" s="863"/>
      <c r="G49" s="863"/>
      <c r="H49" s="1003"/>
      <c r="I49" s="863"/>
      <c r="J49" s="863"/>
      <c r="K49" s="863"/>
      <c r="L49" s="863"/>
      <c r="M49" s="863"/>
      <c r="N49" s="863"/>
      <c r="O49" s="863"/>
      <c r="P49" s="864"/>
      <c r="Q49" s="680" t="str">
        <f>IF(はじめに!$F$29=1,'報告書② 第1年度(取組）'!F51&amp;"",IF(はじめに!$F$29=2,'報告書② 第2年度(取組）'!G51&amp;"",'報告書② 第3年度(取組）'!H51&amp;""))</f>
        <v/>
      </c>
      <c r="R49" s="1014"/>
    </row>
    <row r="50" spans="1:18" s="22" customFormat="1" ht="28.35" customHeight="1">
      <c r="A50" s="994"/>
      <c r="B50" s="995"/>
      <c r="C50" s="995"/>
      <c r="D50" s="996"/>
      <c r="E50" s="862" t="str">
        <f>IF(はじめに!$F$29=1,'報告書② 第1年度(取組）'!C52&amp;"",IF(はじめに!$F$29=2,'報告書② 第2年度(取組）'!C52&amp;"",'報告書② 第3年度(取組）'!C52&amp;""))</f>
        <v/>
      </c>
      <c r="F50" s="863"/>
      <c r="G50" s="863"/>
      <c r="H50" s="1003"/>
      <c r="I50" s="863"/>
      <c r="J50" s="863"/>
      <c r="K50" s="863"/>
      <c r="L50" s="863"/>
      <c r="M50" s="863"/>
      <c r="N50" s="863"/>
      <c r="O50" s="863"/>
      <c r="P50" s="864"/>
      <c r="Q50" s="680" t="str">
        <f>IF(はじめに!$F$29=1,'報告書② 第1年度(取組）'!F52&amp;"",IF(はじめに!$F$29=2,'報告書② 第2年度(取組）'!G52&amp;"",'報告書② 第3年度(取組）'!H52&amp;""))</f>
        <v/>
      </c>
      <c r="R50" s="1014"/>
    </row>
    <row r="51" spans="1:18" s="22" customFormat="1" ht="28.35" customHeight="1">
      <c r="A51" s="994"/>
      <c r="B51" s="995"/>
      <c r="C51" s="995"/>
      <c r="D51" s="996"/>
      <c r="E51" s="862" t="str">
        <f>IF(はじめに!$F$29=1,'報告書② 第1年度(取組）'!C53&amp;"",IF(はじめに!$F$29=2,'報告書② 第2年度(取組）'!C53&amp;"",'報告書② 第3年度(取組）'!C53&amp;""))</f>
        <v/>
      </c>
      <c r="F51" s="863"/>
      <c r="G51" s="863"/>
      <c r="H51" s="1003"/>
      <c r="I51" s="863"/>
      <c r="J51" s="863"/>
      <c r="K51" s="863"/>
      <c r="L51" s="863"/>
      <c r="M51" s="863"/>
      <c r="N51" s="863"/>
      <c r="O51" s="863"/>
      <c r="P51" s="864"/>
      <c r="Q51" s="680" t="str">
        <f>IF(はじめに!$F$29=1,'報告書② 第1年度(取組）'!F53&amp;"",IF(はじめに!$F$29=2,'報告書② 第2年度(取組）'!G53&amp;"",'報告書② 第3年度(取組）'!H53&amp;""))</f>
        <v/>
      </c>
      <c r="R51" s="1014"/>
    </row>
    <row r="52" spans="1:18" s="22" customFormat="1" ht="28.35" customHeight="1">
      <c r="A52" s="997"/>
      <c r="B52" s="998"/>
      <c r="C52" s="998"/>
      <c r="D52" s="999"/>
      <c r="E52" s="862" t="str">
        <f>IF(はじめに!$F$29=1,'報告書② 第1年度(取組）'!C54&amp;"",IF(はじめに!$F$29=2,'報告書② 第2年度(取組）'!C54&amp;"",'報告書② 第3年度(取組）'!C54&amp;""))</f>
        <v/>
      </c>
      <c r="F52" s="1003"/>
      <c r="G52" s="1003"/>
      <c r="H52" s="1003"/>
      <c r="I52" s="1003"/>
      <c r="J52" s="1003"/>
      <c r="K52" s="1003"/>
      <c r="L52" s="1003"/>
      <c r="M52" s="1003"/>
      <c r="N52" s="1003"/>
      <c r="O52" s="1003"/>
      <c r="P52" s="1018"/>
      <c r="Q52" s="680" t="str">
        <f>IF(はじめに!$F$29=1,'報告書② 第1年度(取組）'!F54&amp;"",IF(はじめに!$F$29=2,'報告書② 第2年度(取組）'!G54&amp;"",'報告書② 第3年度(取組）'!H54&amp;""))</f>
        <v/>
      </c>
      <c r="R52" s="1014"/>
    </row>
    <row r="53" spans="1:18" s="22" customFormat="1" ht="33.6" customHeight="1">
      <c r="A53" s="991" t="s">
        <v>4167</v>
      </c>
      <c r="B53" s="992"/>
      <c r="C53" s="992"/>
      <c r="D53" s="993"/>
      <c r="E53" s="890" t="s">
        <v>98</v>
      </c>
      <c r="F53" s="890"/>
      <c r="G53" s="890"/>
      <c r="H53" s="890"/>
      <c r="I53" s="890"/>
      <c r="J53" s="854" t="s">
        <v>4988</v>
      </c>
      <c r="K53" s="857"/>
      <c r="L53" s="857"/>
      <c r="M53" s="857"/>
      <c r="N53" s="857"/>
      <c r="O53" s="857"/>
      <c r="P53" s="858"/>
      <c r="Q53" s="890" t="s">
        <v>4166</v>
      </c>
      <c r="R53" s="890"/>
    </row>
    <row r="54" spans="1:18" s="22" customFormat="1" ht="65.099999999999994" customHeight="1">
      <c r="A54" s="994"/>
      <c r="B54" s="995"/>
      <c r="C54" s="995"/>
      <c r="D54" s="996"/>
      <c r="E54" s="956" t="str">
        <f>IF(はじめに!$F$29=1,'報告書② 第1年度(取組）'!C70&amp;"",IF(はじめに!$F$29=2,'報告書② 第2年度(取組）'!C70&amp;"",'報告書② 第3年度(取組）'!C70&amp;""))</f>
        <v/>
      </c>
      <c r="F54" s="956"/>
      <c r="G54" s="956"/>
      <c r="H54" s="1015"/>
      <c r="I54" s="956"/>
      <c r="J54" s="956" t="str">
        <f>IF(はじめに!$F$29=1,'報告書② 第1年度(取組）'!D70&amp;"",IF(はじめに!$F$29=2,'報告書② 第2年度(取組）'!D70&amp;"",'報告書② 第3年度(取組）'!D70&amp;""))</f>
        <v/>
      </c>
      <c r="K54" s="956"/>
      <c r="L54" s="956"/>
      <c r="M54" s="956"/>
      <c r="N54" s="956"/>
      <c r="O54" s="956"/>
      <c r="P54" s="956"/>
      <c r="Q54" s="680" t="str">
        <f>IF(はじめに!$F$29=1,'報告書② 第1年度(取組）'!F70&amp;"",IF(はじめに!$F$29=2,'報告書② 第2年度(取組）'!G70&amp;"",'報告書② 第3年度(取組）'!H70&amp;""))</f>
        <v/>
      </c>
      <c r="R54" s="1014"/>
    </row>
    <row r="55" spans="1:18" s="22" customFormat="1" ht="65.099999999999994" customHeight="1">
      <c r="A55" s="994"/>
      <c r="B55" s="995"/>
      <c r="C55" s="995"/>
      <c r="D55" s="996"/>
      <c r="E55" s="956" t="str">
        <f>IF(はじめに!$F$29=1,'報告書② 第1年度(取組）'!C71&amp;"",IF(はじめに!$F$29=2,'報告書② 第2年度(取組）'!C71&amp;"",'報告書② 第3年度(取組）'!C71&amp;""))</f>
        <v/>
      </c>
      <c r="F55" s="956"/>
      <c r="G55" s="956"/>
      <c r="H55" s="1015"/>
      <c r="I55" s="956"/>
      <c r="J55" s="956" t="str">
        <f>IF(はじめに!$F$29=1,'報告書② 第1年度(取組）'!D71&amp;"",IF(はじめに!$F$29=2,'報告書② 第2年度(取組）'!D71&amp;"",'報告書② 第3年度(取組）'!D71&amp;""))</f>
        <v/>
      </c>
      <c r="K55" s="956"/>
      <c r="L55" s="956"/>
      <c r="M55" s="956"/>
      <c r="N55" s="956"/>
      <c r="O55" s="956"/>
      <c r="P55" s="956"/>
      <c r="Q55" s="680" t="str">
        <f>IF(はじめに!$F$29=1,'報告書② 第1年度(取組）'!F71&amp;"",IF(はじめに!$F$29=2,'報告書② 第2年度(取組）'!G71&amp;"",'報告書② 第3年度(取組）'!H71&amp;""))</f>
        <v/>
      </c>
      <c r="R55" s="1014"/>
    </row>
    <row r="56" spans="1:18" s="22" customFormat="1" ht="65.099999999999994" customHeight="1">
      <c r="A56" s="994"/>
      <c r="B56" s="995"/>
      <c r="C56" s="995"/>
      <c r="D56" s="996"/>
      <c r="E56" s="956" t="str">
        <f>IF(はじめに!$F$29=1,'報告書② 第1年度(取組）'!C72&amp;"",IF(はじめに!$F$29=2,'報告書② 第2年度(取組）'!C72&amp;"",'報告書② 第3年度(取組）'!C72&amp;""))</f>
        <v/>
      </c>
      <c r="F56" s="956"/>
      <c r="G56" s="956"/>
      <c r="H56" s="1015"/>
      <c r="I56" s="956"/>
      <c r="J56" s="956" t="str">
        <f>IF(はじめに!$F$29=1,'報告書② 第1年度(取組）'!D72&amp;"",IF(はじめに!$F$29=2,'報告書② 第2年度(取組）'!D72&amp;"",'報告書② 第3年度(取組）'!D72&amp;""))</f>
        <v/>
      </c>
      <c r="K56" s="956"/>
      <c r="L56" s="956"/>
      <c r="M56" s="956"/>
      <c r="N56" s="956"/>
      <c r="O56" s="956"/>
      <c r="P56" s="956"/>
      <c r="Q56" s="680" t="str">
        <f>IF(はじめに!$F$29=1,'報告書② 第1年度(取組）'!F72&amp;"",IF(はじめに!$F$29=2,'報告書② 第2年度(取組）'!G72&amp;"",'報告書② 第3年度(取組）'!H72&amp;""))</f>
        <v/>
      </c>
      <c r="R56" s="1014"/>
    </row>
    <row r="57" spans="1:18" s="22" customFormat="1" ht="57" customHeight="1">
      <c r="A57" s="994"/>
      <c r="B57" s="995"/>
      <c r="C57" s="995"/>
      <c r="D57" s="996"/>
      <c r="E57" s="956" t="str">
        <f>IF(はじめに!$F$29=1,'報告書② 第1年度(取組）'!C73&amp;"",IF(はじめに!$F$29=2,'報告書② 第2年度(取組）'!C73&amp;"",'報告書② 第3年度(取組）'!C73&amp;""))</f>
        <v/>
      </c>
      <c r="F57" s="956"/>
      <c r="G57" s="956"/>
      <c r="H57" s="1015"/>
      <c r="I57" s="956"/>
      <c r="J57" s="956" t="str">
        <f>IF(はじめに!$F$29=1,'報告書② 第1年度(取組）'!D73&amp;"",IF(はじめに!$F$29=2,'報告書② 第2年度(取組）'!D73&amp;"",'報告書② 第3年度(取組）'!D73&amp;""))</f>
        <v/>
      </c>
      <c r="K57" s="956"/>
      <c r="L57" s="956"/>
      <c r="M57" s="956"/>
      <c r="N57" s="956"/>
      <c r="O57" s="956"/>
      <c r="P57" s="956"/>
      <c r="Q57" s="680" t="str">
        <f>IF(はじめに!$F$29=1,'報告書② 第1年度(取組）'!F73&amp;"",IF(はじめに!$F$29=2,'報告書② 第2年度(取組）'!G73&amp;"",'報告書② 第3年度(取組）'!H73&amp;""))</f>
        <v/>
      </c>
      <c r="R57" s="1014"/>
    </row>
    <row r="58" spans="1:18" s="22" customFormat="1" ht="57" customHeight="1">
      <c r="A58" s="994"/>
      <c r="B58" s="995"/>
      <c r="C58" s="995"/>
      <c r="D58" s="996"/>
      <c r="E58" s="956" t="str">
        <f>IF(はじめに!$F$29=1,'報告書② 第1年度(取組）'!C74&amp;"",IF(はじめに!$F$29=2,'報告書② 第2年度(取組）'!C74&amp;"",'報告書② 第3年度(取組）'!C74&amp;""))</f>
        <v/>
      </c>
      <c r="F58" s="956"/>
      <c r="G58" s="956"/>
      <c r="H58" s="1015"/>
      <c r="I58" s="956"/>
      <c r="J58" s="956" t="str">
        <f>IF(はじめに!$F$29=1,'報告書② 第1年度(取組）'!D74&amp;"",IF(はじめに!$F$29=2,'報告書② 第2年度(取組）'!D74&amp;"",'報告書② 第3年度(取組）'!D74&amp;""))</f>
        <v/>
      </c>
      <c r="K58" s="956"/>
      <c r="L58" s="956"/>
      <c r="M58" s="956"/>
      <c r="N58" s="956"/>
      <c r="O58" s="956"/>
      <c r="P58" s="956"/>
      <c r="Q58" s="680" t="str">
        <f>IF(はじめに!$F$29=1,'報告書② 第1年度(取組）'!F74&amp;"",IF(はじめに!$F$29=2,'報告書② 第2年度(取組）'!G74&amp;"",'報告書② 第3年度(取組）'!H74&amp;""))</f>
        <v/>
      </c>
      <c r="R58" s="1014"/>
    </row>
    <row r="59" spans="1:18" s="22" customFormat="1" ht="57" customHeight="1">
      <c r="A59" s="994"/>
      <c r="B59" s="995"/>
      <c r="C59" s="995"/>
      <c r="D59" s="996"/>
      <c r="E59" s="956" t="str">
        <f>IF(はじめに!$F$29=1,'報告書② 第1年度(取組）'!C75&amp;"",IF(はじめに!$F$29=2,'報告書② 第2年度(取組）'!C75&amp;"",'報告書② 第3年度(取組）'!C75&amp;""))</f>
        <v/>
      </c>
      <c r="F59" s="956"/>
      <c r="G59" s="956"/>
      <c r="H59" s="1015"/>
      <c r="I59" s="956"/>
      <c r="J59" s="956" t="str">
        <f>IF(はじめに!$F$29=1,'報告書② 第1年度(取組）'!D75&amp;"",IF(はじめに!$F$29=2,'報告書② 第2年度(取組）'!D75&amp;"",'報告書② 第3年度(取組）'!D75&amp;""))</f>
        <v/>
      </c>
      <c r="K59" s="956"/>
      <c r="L59" s="956"/>
      <c r="M59" s="956"/>
      <c r="N59" s="956"/>
      <c r="O59" s="956"/>
      <c r="P59" s="956"/>
      <c r="Q59" s="680" t="str">
        <f>IF(はじめに!$F$29=1,'報告書② 第1年度(取組）'!F75&amp;"",IF(はじめに!$F$29=2,'報告書② 第2年度(取組）'!G75&amp;"",'報告書② 第3年度(取組）'!H75&amp;""))</f>
        <v/>
      </c>
      <c r="R59" s="1014"/>
    </row>
    <row r="60" spans="1:18" s="22" customFormat="1" ht="57" customHeight="1">
      <c r="A60" s="994"/>
      <c r="B60" s="995"/>
      <c r="C60" s="995"/>
      <c r="D60" s="996"/>
      <c r="E60" s="956" t="str">
        <f>IF(はじめに!$F$29=1,'報告書② 第1年度(取組）'!C76&amp;"",IF(はじめに!$F$29=2,'報告書② 第2年度(取組）'!C76&amp;"",'報告書② 第3年度(取組）'!C76&amp;""))</f>
        <v/>
      </c>
      <c r="F60" s="956"/>
      <c r="G60" s="956"/>
      <c r="H60" s="1015"/>
      <c r="I60" s="956"/>
      <c r="J60" s="956" t="str">
        <f>IF(はじめに!$F$29=1,'報告書② 第1年度(取組）'!D76&amp;"",IF(はじめに!$F$29=2,'報告書② 第2年度(取組）'!D76&amp;"",'報告書② 第3年度(取組）'!D76&amp;""))</f>
        <v/>
      </c>
      <c r="K60" s="956"/>
      <c r="L60" s="956"/>
      <c r="M60" s="956"/>
      <c r="N60" s="956"/>
      <c r="O60" s="956"/>
      <c r="P60" s="956"/>
      <c r="Q60" s="680" t="str">
        <f>IF(はじめに!$F$29=1,'報告書② 第1年度(取組）'!F76&amp;"",IF(はじめに!$F$29=2,'報告書② 第2年度(取組）'!G76&amp;"",'報告書② 第3年度(取組）'!H76&amp;""))</f>
        <v/>
      </c>
      <c r="R60" s="1014"/>
    </row>
    <row r="61" spans="1:18" s="22" customFormat="1" ht="57" customHeight="1">
      <c r="A61" s="994"/>
      <c r="B61" s="995"/>
      <c r="C61" s="995"/>
      <c r="D61" s="996"/>
      <c r="E61" s="956" t="str">
        <f>IF(はじめに!$F$29=1,'報告書② 第1年度(取組）'!C77&amp;"",IF(はじめに!$F$29=2,'報告書② 第2年度(取組）'!C77&amp;"",'報告書② 第3年度(取組）'!C77&amp;""))</f>
        <v/>
      </c>
      <c r="F61" s="956"/>
      <c r="G61" s="956"/>
      <c r="H61" s="1015"/>
      <c r="I61" s="956"/>
      <c r="J61" s="956" t="str">
        <f>IF(はじめに!$F$29=1,'報告書② 第1年度(取組）'!D77&amp;"",IF(はじめに!$F$29=2,'報告書② 第2年度(取組）'!D77&amp;"",'報告書② 第3年度(取組）'!D77&amp;""))</f>
        <v/>
      </c>
      <c r="K61" s="956"/>
      <c r="L61" s="956"/>
      <c r="M61" s="956"/>
      <c r="N61" s="956"/>
      <c r="O61" s="956"/>
      <c r="P61" s="956"/>
      <c r="Q61" s="680" t="str">
        <f>IF(はじめに!$F$29=1,'報告書② 第1年度(取組）'!F77&amp;"",IF(はじめに!$F$29=2,'報告書② 第2年度(取組）'!G77&amp;"",'報告書② 第3年度(取組）'!H77&amp;""))</f>
        <v/>
      </c>
      <c r="R61" s="1014"/>
    </row>
    <row r="62" spans="1:18" s="22" customFormat="1" ht="57" customHeight="1">
      <c r="A62" s="994"/>
      <c r="B62" s="995"/>
      <c r="C62" s="995"/>
      <c r="D62" s="996"/>
      <c r="E62" s="956" t="str">
        <f>IF(はじめに!$F$29=1,'報告書② 第1年度(取組）'!C78&amp;"",IF(はじめに!$F$29=2,'報告書② 第2年度(取組）'!C78&amp;"",'報告書② 第3年度(取組）'!C78&amp;""))</f>
        <v/>
      </c>
      <c r="F62" s="956"/>
      <c r="G62" s="956"/>
      <c r="H62" s="1015"/>
      <c r="I62" s="956"/>
      <c r="J62" s="956" t="str">
        <f>IF(はじめに!$F$29=1,'報告書② 第1年度(取組）'!D78&amp;"",IF(はじめに!$F$29=2,'報告書② 第2年度(取組）'!D78&amp;"",'報告書② 第3年度(取組）'!D78&amp;""))</f>
        <v/>
      </c>
      <c r="K62" s="956"/>
      <c r="L62" s="956"/>
      <c r="M62" s="956"/>
      <c r="N62" s="956"/>
      <c r="O62" s="956"/>
      <c r="P62" s="956"/>
      <c r="Q62" s="680" t="str">
        <f>IF(はじめに!$F$29=1,'報告書② 第1年度(取組）'!F78&amp;"",IF(はじめに!$F$29=2,'報告書② 第2年度(取組）'!G78&amp;"",'報告書② 第3年度(取組）'!H78&amp;""))</f>
        <v/>
      </c>
      <c r="R62" s="1014"/>
    </row>
    <row r="63" spans="1:18" s="22" customFormat="1" ht="57" customHeight="1">
      <c r="A63" s="997"/>
      <c r="B63" s="998"/>
      <c r="C63" s="998"/>
      <c r="D63" s="999"/>
      <c r="E63" s="956" t="str">
        <f>IF(はじめに!$F$29=1,'報告書② 第1年度(取組）'!C79&amp;"",IF(はじめに!$F$29=2,'報告書② 第2年度(取組）'!C79&amp;"",'報告書② 第3年度(取組）'!C79&amp;""))</f>
        <v/>
      </c>
      <c r="F63" s="956"/>
      <c r="G63" s="956"/>
      <c r="H63" s="1015"/>
      <c r="I63" s="956"/>
      <c r="J63" s="956" t="str">
        <f>IF(はじめに!$F$29=1,'報告書② 第1年度(取組）'!D79&amp;"",IF(はじめに!$F$29=2,'報告書② 第2年度(取組）'!D79&amp;"",'報告書② 第3年度(取組）'!D79&amp;""))</f>
        <v/>
      </c>
      <c r="K63" s="956"/>
      <c r="L63" s="956"/>
      <c r="M63" s="956"/>
      <c r="N63" s="956"/>
      <c r="O63" s="956"/>
      <c r="P63" s="956"/>
      <c r="Q63" s="680" t="str">
        <f>IF(はじめに!$F$29=1,'報告書② 第1年度(取組）'!F79&amp;"",IF(はじめに!$F$29=2,'報告書② 第2年度(取組）'!G79&amp;"",'報告書② 第3年度(取組）'!H79&amp;""))</f>
        <v/>
      </c>
      <c r="R63" s="1014"/>
    </row>
  </sheetData>
  <sheetProtection algorithmName="SHA-512" hashValue="1DArJBD/uHvAtv+sBsUCcj0EAx6PMTyaYqYMYKRI6sQPUcO5j1u9+dF9RXvsXPfDjMTA1xpRVy4uAb/JKYGgmw==" saltValue="q5ISZnuX6lSPA/+UY7S2AA==" spinCount="100000" sheet="1" objects="1" scenarios="1" selectLockedCells="1"/>
  <mergeCells count="161">
    <mergeCell ref="Q17:R17"/>
    <mergeCell ref="Q18:R18"/>
    <mergeCell ref="Q21:R21"/>
    <mergeCell ref="Q25:R25"/>
    <mergeCell ref="Q29:R29"/>
    <mergeCell ref="A42:D52"/>
    <mergeCell ref="A53:D63"/>
    <mergeCell ref="E48:P48"/>
    <mergeCell ref="Q48:R48"/>
    <mergeCell ref="E49:P49"/>
    <mergeCell ref="Q49:R49"/>
    <mergeCell ref="E50:P50"/>
    <mergeCell ref="Q50:R50"/>
    <mergeCell ref="E51:P51"/>
    <mergeCell ref="Q51:R51"/>
    <mergeCell ref="E52:P52"/>
    <mergeCell ref="Q52:R52"/>
    <mergeCell ref="E62:I62"/>
    <mergeCell ref="J62:P62"/>
    <mergeCell ref="Q62:R62"/>
    <mergeCell ref="E63:I63"/>
    <mergeCell ref="J63:P63"/>
    <mergeCell ref="Q63:R63"/>
    <mergeCell ref="E59:I59"/>
    <mergeCell ref="E61:I61"/>
    <mergeCell ref="J53:P53"/>
    <mergeCell ref="Q53:R53"/>
    <mergeCell ref="E54:I54"/>
    <mergeCell ref="E42:P42"/>
    <mergeCell ref="Q42:R42"/>
    <mergeCell ref="E43:P43"/>
    <mergeCell ref="Q43:R43"/>
    <mergeCell ref="E44:P44"/>
    <mergeCell ref="Q44:R44"/>
    <mergeCell ref="E46:P46"/>
    <mergeCell ref="Q46:R46"/>
    <mergeCell ref="J54:P54"/>
    <mergeCell ref="Q54:R54"/>
    <mergeCell ref="J61:P61"/>
    <mergeCell ref="Q61:R61"/>
    <mergeCell ref="E47:P47"/>
    <mergeCell ref="Q47:R47"/>
    <mergeCell ref="E53:I53"/>
    <mergeCell ref="Q60:R60"/>
    <mergeCell ref="Q56:R56"/>
    <mergeCell ref="G35:H35"/>
    <mergeCell ref="E38:F38"/>
    <mergeCell ref="G32:R32"/>
    <mergeCell ref="J38:K38"/>
    <mergeCell ref="L38:R38"/>
    <mergeCell ref="J59:P59"/>
    <mergeCell ref="Q59:R59"/>
    <mergeCell ref="E60:I60"/>
    <mergeCell ref="J60:P60"/>
    <mergeCell ref="E45:P45"/>
    <mergeCell ref="Q45:R45"/>
    <mergeCell ref="G38:H38"/>
    <mergeCell ref="G36:H36"/>
    <mergeCell ref="E57:I57"/>
    <mergeCell ref="J57:P57"/>
    <mergeCell ref="Q57:R57"/>
    <mergeCell ref="E58:I58"/>
    <mergeCell ref="J58:P58"/>
    <mergeCell ref="Q58:R58"/>
    <mergeCell ref="E55:I55"/>
    <mergeCell ref="J55:P55"/>
    <mergeCell ref="Q55:R55"/>
    <mergeCell ref="E56:I56"/>
    <mergeCell ref="J56:P56"/>
    <mergeCell ref="G17:H17"/>
    <mergeCell ref="O19:P19"/>
    <mergeCell ref="G18:H19"/>
    <mergeCell ref="I18:I19"/>
    <mergeCell ref="L21:M21"/>
    <mergeCell ref="O18:P18"/>
    <mergeCell ref="J19:K19"/>
    <mergeCell ref="L19:M19"/>
    <mergeCell ref="G29:H30"/>
    <mergeCell ref="I29:I30"/>
    <mergeCell ref="L29:M29"/>
    <mergeCell ref="L30:M30"/>
    <mergeCell ref="G24:R24"/>
    <mergeCell ref="G28:R28"/>
    <mergeCell ref="G23:I23"/>
    <mergeCell ref="J23:K23"/>
    <mergeCell ref="L23:M23"/>
    <mergeCell ref="O23:P23"/>
    <mergeCell ref="G27:I27"/>
    <mergeCell ref="J27:K27"/>
    <mergeCell ref="L27:M27"/>
    <mergeCell ref="O27:P27"/>
    <mergeCell ref="L25:M25"/>
    <mergeCell ref="L26:M26"/>
    <mergeCell ref="B3:N3"/>
    <mergeCell ref="O3:Q3"/>
    <mergeCell ref="A6:D6"/>
    <mergeCell ref="E6:R6"/>
    <mergeCell ref="A7:D7"/>
    <mergeCell ref="E7:R7"/>
    <mergeCell ref="J35:K35"/>
    <mergeCell ref="A8:D8"/>
    <mergeCell ref="E8:R8"/>
    <mergeCell ref="A9:D9"/>
    <mergeCell ref="E9:R9"/>
    <mergeCell ref="A10:D13"/>
    <mergeCell ref="F10:R10"/>
    <mergeCell ref="F11:R11"/>
    <mergeCell ref="F12:R12"/>
    <mergeCell ref="F13:R13"/>
    <mergeCell ref="J18:K18"/>
    <mergeCell ref="L18:M18"/>
    <mergeCell ref="A17:D20"/>
    <mergeCell ref="G20:I20"/>
    <mergeCell ref="J20:K20"/>
    <mergeCell ref="L20:M20"/>
    <mergeCell ref="O20:P20"/>
    <mergeCell ref="L22:M22"/>
    <mergeCell ref="A14:D14"/>
    <mergeCell ref="E14:R14"/>
    <mergeCell ref="E17:F17"/>
    <mergeCell ref="J17:K17"/>
    <mergeCell ref="L17:M17"/>
    <mergeCell ref="O17:P17"/>
    <mergeCell ref="E28:F28"/>
    <mergeCell ref="A35:D38"/>
    <mergeCell ref="E35:F35"/>
    <mergeCell ref="N35:O35"/>
    <mergeCell ref="E36:F36"/>
    <mergeCell ref="J36:K36"/>
    <mergeCell ref="L36:R36"/>
    <mergeCell ref="E37:F37"/>
    <mergeCell ref="J37:K37"/>
    <mergeCell ref="L37:R37"/>
    <mergeCell ref="G37:H37"/>
    <mergeCell ref="E18:F20"/>
    <mergeCell ref="A21:D32"/>
    <mergeCell ref="J22:K22"/>
    <mergeCell ref="J21:K21"/>
    <mergeCell ref="J25:K25"/>
    <mergeCell ref="J26:K26"/>
    <mergeCell ref="J29:K29"/>
    <mergeCell ref="J30:K30"/>
    <mergeCell ref="O22:P22"/>
    <mergeCell ref="O21:P21"/>
    <mergeCell ref="O25:P25"/>
    <mergeCell ref="O26:P26"/>
    <mergeCell ref="O29:P29"/>
    <mergeCell ref="E32:F32"/>
    <mergeCell ref="E24:F24"/>
    <mergeCell ref="G31:I31"/>
    <mergeCell ref="J31:K31"/>
    <mergeCell ref="L31:M31"/>
    <mergeCell ref="O31:P31"/>
    <mergeCell ref="O30:P30"/>
    <mergeCell ref="E21:F23"/>
    <mergeCell ref="E25:F27"/>
    <mergeCell ref="E29:F31"/>
    <mergeCell ref="G25:H26"/>
    <mergeCell ref="G21:H22"/>
    <mergeCell ref="I21:I22"/>
    <mergeCell ref="I25:I26"/>
  </mergeCells>
  <phoneticPr fontId="1"/>
  <conditionalFormatting sqref="L20">
    <cfRule type="expression" dxfId="7" priority="7" stopIfTrue="1">
      <formula>$H20&lt;&gt;""</formula>
    </cfRule>
  </conditionalFormatting>
  <conditionalFormatting sqref="L23">
    <cfRule type="expression" dxfId="6" priority="5" stopIfTrue="1">
      <formula>$H23&lt;&gt;""</formula>
    </cfRule>
  </conditionalFormatting>
  <conditionalFormatting sqref="L27">
    <cfRule type="expression" dxfId="5" priority="3" stopIfTrue="1">
      <formula>$H27&lt;&gt;""</formula>
    </cfRule>
  </conditionalFormatting>
  <conditionalFormatting sqref="L31">
    <cfRule type="expression" dxfId="4" priority="1" stopIfTrue="1">
      <formula>$H31&lt;&gt;""</formula>
    </cfRule>
  </conditionalFormatting>
  <conditionalFormatting sqref="Q20">
    <cfRule type="expression" dxfId="3" priority="8" stopIfTrue="1">
      <formula>$M20&lt;&gt;""</formula>
    </cfRule>
  </conditionalFormatting>
  <conditionalFormatting sqref="Q23">
    <cfRule type="expression" dxfId="2" priority="6" stopIfTrue="1">
      <formula>$M23&lt;&gt;""</formula>
    </cfRule>
  </conditionalFormatting>
  <conditionalFormatting sqref="Q27">
    <cfRule type="expression" dxfId="1" priority="4" stopIfTrue="1">
      <formula>$M27&lt;&gt;""</formula>
    </cfRule>
  </conditionalFormatting>
  <conditionalFormatting sqref="Q31">
    <cfRule type="expression" dxfId="0" priority="2" stopIfTrue="1">
      <formula>$M31&lt;&gt;""</formula>
    </cfRule>
  </conditionalFormatting>
  <dataValidations count="1">
    <dataValidation imeMode="halfAlpha" allowBlank="1" showInputMessage="1" showErrorMessage="1" sqref="Q20 L20 Q23 L23 Q27 L27 Q31 L31" xr:uid="{C5CD7772-8E7F-4A89-AC58-26443D6DE484}"/>
  </dataValidations>
  <pageMargins left="0.70866141732283472" right="0.55118110236220474" top="0.74803149606299213" bottom="0.74803149606299213" header="0.31496062992125984" footer="0.31496062992125984"/>
  <pageSetup paperSize="9" scale="83" orientation="portrait" r:id="rId1"/>
  <headerFooter>
    <oddHeader>&amp;L様式第２号別紙１</oddHeader>
    <oddFooter>&amp;R&amp;8（事業所等用）</oddFooter>
  </headerFooter>
  <rowBreaks count="2" manualBreakCount="2">
    <brk id="32" max="17" man="1"/>
    <brk id="52" max="17" man="1"/>
  </rowBreaks>
  <colBreaks count="1" manualBreakCount="1">
    <brk id="18" max="6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0">
    <tabColor theme="9" tint="-0.249977111117893"/>
  </sheetPr>
  <dimension ref="A3:O27"/>
  <sheetViews>
    <sheetView showGridLines="0" view="pageBreakPreview" zoomScaleNormal="100" zoomScaleSheetLayoutView="100" workbookViewId="0">
      <selection activeCell="I5" sqref="I5:J5"/>
    </sheetView>
  </sheetViews>
  <sheetFormatPr defaultColWidth="8.88671875" defaultRowHeight="17.399999999999999"/>
  <cols>
    <col min="1" max="37" width="5.6640625" style="8" customWidth="1"/>
    <col min="38" max="16384" width="8.88671875" style="8"/>
  </cols>
  <sheetData>
    <row r="3" spans="1:15" ht="25.5" customHeight="1">
      <c r="B3" s="672" t="s">
        <v>78</v>
      </c>
      <c r="C3" s="672"/>
      <c r="D3" s="672"/>
      <c r="E3" s="672"/>
      <c r="F3" s="672"/>
      <c r="G3" s="672"/>
      <c r="H3" s="672"/>
      <c r="I3" s="672"/>
      <c r="J3" s="672"/>
      <c r="K3" s="672"/>
      <c r="L3" s="672"/>
      <c r="M3" s="672"/>
      <c r="N3" s="672"/>
    </row>
    <row r="4" spans="1:15" s="22" customFormat="1" ht="16.2"/>
    <row r="5" spans="1:15" s="22" customFormat="1" ht="26.25" customHeight="1">
      <c r="I5" s="1020"/>
      <c r="J5" s="1020"/>
      <c r="K5" s="119" t="s">
        <v>2</v>
      </c>
      <c r="L5" s="235"/>
      <c r="M5" s="119" t="s">
        <v>1</v>
      </c>
      <c r="N5" s="235"/>
      <c r="O5" s="119" t="s">
        <v>0</v>
      </c>
    </row>
    <row r="6" spans="1:15" s="22" customFormat="1" ht="26.25" customHeight="1"/>
    <row r="7" spans="1:15" s="22" customFormat="1" ht="26.25" customHeight="1">
      <c r="A7" s="22" t="s">
        <v>3</v>
      </c>
    </row>
    <row r="8" spans="1:15" s="22" customFormat="1" ht="16.2"/>
    <row r="9" spans="1:15" s="22" customFormat="1" ht="27" customHeight="1">
      <c r="G9" s="842" t="s">
        <v>4</v>
      </c>
      <c r="H9" s="842"/>
      <c r="I9" s="846" t="str">
        <f>IF(計画書提出書!J8="","",計画書提出書!J8)</f>
        <v/>
      </c>
      <c r="J9" s="846"/>
      <c r="K9" s="846"/>
      <c r="L9" s="846"/>
      <c r="M9" s="846"/>
      <c r="N9" s="846"/>
    </row>
    <row r="10" spans="1:15" s="22" customFormat="1" ht="16.5" customHeight="1">
      <c r="G10" s="260"/>
      <c r="H10" s="260"/>
      <c r="I10" s="259"/>
      <c r="J10" s="259"/>
      <c r="K10" s="259"/>
      <c r="L10" s="259"/>
      <c r="M10" s="259"/>
      <c r="N10" s="259"/>
    </row>
    <row r="11" spans="1:15" s="22" customFormat="1" ht="27" customHeight="1">
      <c r="G11" s="842" t="s">
        <v>20</v>
      </c>
      <c r="H11" s="842"/>
      <c r="I11" s="846" t="str">
        <f>IF(計画書提出書!J9="","",計画書提出書!J9)</f>
        <v/>
      </c>
      <c r="J11" s="846"/>
      <c r="K11" s="846"/>
      <c r="L11" s="846"/>
      <c r="M11" s="846"/>
      <c r="N11" s="846"/>
    </row>
    <row r="12" spans="1:15" s="22" customFormat="1" ht="16.5" customHeight="1">
      <c r="G12" s="260"/>
      <c r="H12" s="260"/>
      <c r="I12" s="259"/>
      <c r="J12" s="259"/>
      <c r="K12" s="259"/>
      <c r="L12" s="259"/>
      <c r="M12" s="259"/>
      <c r="N12" s="259"/>
    </row>
    <row r="13" spans="1:15" s="22" customFormat="1" ht="27" customHeight="1">
      <c r="G13" s="842" t="s">
        <v>38</v>
      </c>
      <c r="H13" s="842"/>
      <c r="I13" s="846" t="str">
        <f>IF(計画書提出書!J10="","",計画書提出書!J10)</f>
        <v/>
      </c>
      <c r="J13" s="846"/>
      <c r="K13" s="846"/>
      <c r="L13" s="846"/>
      <c r="M13" s="846"/>
      <c r="N13" s="846"/>
      <c r="O13" s="119"/>
    </row>
    <row r="14" spans="1:15" s="22" customFormat="1" ht="16.2"/>
    <row r="15" spans="1:15" s="22" customFormat="1" ht="22.5" customHeight="1"/>
    <row r="16" spans="1:15" s="22" customFormat="1" ht="18.75" customHeight="1">
      <c r="A16" s="845" t="s">
        <v>4097</v>
      </c>
      <c r="B16" s="845"/>
      <c r="C16" s="845"/>
      <c r="D16" s="845"/>
      <c r="E16" s="845"/>
      <c r="F16" s="845"/>
      <c r="G16" s="845"/>
      <c r="H16" s="845"/>
      <c r="I16" s="845"/>
      <c r="J16" s="845"/>
      <c r="K16" s="845"/>
      <c r="L16" s="845"/>
      <c r="M16" s="845"/>
      <c r="N16" s="845"/>
      <c r="O16" s="845"/>
    </row>
    <row r="17" spans="1:15" s="22" customFormat="1" ht="18.75" customHeight="1">
      <c r="A17" s="845"/>
      <c r="B17" s="845"/>
      <c r="C17" s="845"/>
      <c r="D17" s="845"/>
      <c r="E17" s="845"/>
      <c r="F17" s="845"/>
      <c r="G17" s="845"/>
      <c r="H17" s="845"/>
      <c r="I17" s="845"/>
      <c r="J17" s="845"/>
      <c r="K17" s="845"/>
      <c r="L17" s="845"/>
      <c r="M17" s="845"/>
      <c r="N17" s="845"/>
      <c r="O17" s="845"/>
    </row>
    <row r="18" spans="1:15" s="22" customFormat="1" ht="24.75" customHeight="1">
      <c r="A18" s="152"/>
      <c r="B18" s="152"/>
      <c r="C18" s="152"/>
      <c r="D18" s="152"/>
      <c r="E18" s="152"/>
      <c r="F18" s="152"/>
      <c r="G18" s="152"/>
      <c r="H18" s="152"/>
      <c r="I18" s="152"/>
      <c r="J18" s="152"/>
      <c r="K18" s="152"/>
      <c r="L18" s="152"/>
      <c r="M18" s="152"/>
      <c r="N18" s="152"/>
      <c r="O18" s="152"/>
    </row>
    <row r="19" spans="1:15" s="22" customFormat="1" ht="16.2"/>
    <row r="20" spans="1:15" s="22" customFormat="1" ht="24.75" customHeight="1">
      <c r="H20" s="119" t="s">
        <v>80</v>
      </c>
    </row>
    <row r="21" spans="1:15" s="22" customFormat="1" ht="24.75" customHeight="1">
      <c r="H21" s="119"/>
    </row>
    <row r="22" spans="1:15" s="22" customFormat="1" ht="16.2"/>
    <row r="23" spans="1:15" s="22" customFormat="1" ht="27" customHeight="1">
      <c r="B23" s="842" t="s">
        <v>4</v>
      </c>
      <c r="C23" s="842"/>
      <c r="E23" s="1019"/>
      <c r="F23" s="1019"/>
      <c r="G23" s="1019"/>
      <c r="H23" s="1019"/>
      <c r="I23" s="1019"/>
      <c r="J23" s="1019"/>
      <c r="K23" s="1019"/>
      <c r="L23" s="1019"/>
      <c r="M23" s="1019"/>
      <c r="N23" s="1019"/>
    </row>
    <row r="24" spans="1:15" s="22" customFormat="1" ht="16.5" customHeight="1">
      <c r="B24" s="260"/>
      <c r="C24" s="260"/>
    </row>
    <row r="25" spans="1:15" s="22" customFormat="1" ht="27" customHeight="1">
      <c r="B25" s="842" t="s">
        <v>79</v>
      </c>
      <c r="C25" s="842"/>
      <c r="E25" s="1019"/>
      <c r="F25" s="1019"/>
      <c r="G25" s="1019"/>
      <c r="H25" s="1019"/>
      <c r="I25" s="1019"/>
      <c r="J25" s="1019"/>
      <c r="K25" s="1019"/>
      <c r="L25" s="1019"/>
      <c r="M25" s="1019"/>
      <c r="N25" s="1019"/>
    </row>
    <row r="26" spans="1:15" s="22" customFormat="1" ht="16.5" customHeight="1">
      <c r="B26" s="260"/>
      <c r="C26" s="260"/>
    </row>
    <row r="27" spans="1:15" s="22" customFormat="1" ht="27" customHeight="1">
      <c r="B27" s="842" t="s">
        <v>33</v>
      </c>
      <c r="C27" s="842"/>
      <c r="E27" s="1019"/>
      <c r="F27" s="1019"/>
      <c r="G27" s="1019"/>
      <c r="H27" s="1019"/>
      <c r="I27" s="1019"/>
      <c r="J27" s="1019"/>
      <c r="K27" s="1019"/>
      <c r="L27" s="1019"/>
      <c r="M27" s="1019"/>
      <c r="N27" s="1019"/>
      <c r="O27" s="119"/>
    </row>
  </sheetData>
  <sheetProtection algorithmName="SHA-512" hashValue="IQOYqMQmYX2ocBz4WVHXeTP5+ezhFjXNEEBVn/VPOiQ+zqTarA37bZJP5lHBD3lhDCke40XPA4qzm2tcieDXug==" saltValue="8hD/t7O9q72AIvuD2TcSNw==" spinCount="100000" sheet="1" objects="1" scenarios="1" selectLockedCells="1"/>
  <mergeCells count="15">
    <mergeCell ref="G13:H13"/>
    <mergeCell ref="I13:N13"/>
    <mergeCell ref="A16:O17"/>
    <mergeCell ref="B3:N3"/>
    <mergeCell ref="I5:J5"/>
    <mergeCell ref="G9:H9"/>
    <mergeCell ref="I9:N9"/>
    <mergeCell ref="G11:H11"/>
    <mergeCell ref="I11:N11"/>
    <mergeCell ref="B23:C23"/>
    <mergeCell ref="B25:C25"/>
    <mergeCell ref="B27:C27"/>
    <mergeCell ref="E23:N23"/>
    <mergeCell ref="E25:N25"/>
    <mergeCell ref="E27:N27"/>
  </mergeCells>
  <phoneticPr fontId="1"/>
  <dataValidations count="2">
    <dataValidation imeMode="hiragana" allowBlank="1" showInputMessage="1" showErrorMessage="1" sqref="E23:N23 E25:N25 E27:N27" xr:uid="{00000000-0002-0000-1700-000000000000}"/>
    <dataValidation imeMode="halfAlpha" allowBlank="1" showInputMessage="1" showErrorMessage="1" sqref="I5:J5 L5 N5" xr:uid="{00000000-0002-0000-1700-000001000000}"/>
  </dataValidations>
  <pageMargins left="0.70866141732283472" right="0.51181102362204722" top="0.55118110236220474" bottom="0.55118110236220474" header="0.31496062992125984" footer="0.31496062992125984"/>
  <pageSetup paperSize="9" scale="94" orientation="portrait" r:id="rId1"/>
  <headerFooter>
    <oddHeader>&amp;L様式第１号別添</oddHeader>
    <oddFooter>&amp;R&amp;8（事業所等用）</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FF0000"/>
  </sheetPr>
  <dimension ref="A2:K11"/>
  <sheetViews>
    <sheetView workbookViewId="0"/>
  </sheetViews>
  <sheetFormatPr defaultColWidth="8.88671875" defaultRowHeight="16.2"/>
  <cols>
    <col min="1" max="1" width="8.88671875" style="22"/>
    <col min="2" max="2" width="16.88671875" style="22" customWidth="1"/>
    <col min="3" max="3" width="22.6640625" style="22" customWidth="1"/>
    <col min="4" max="4" width="19" style="22" customWidth="1"/>
    <col min="5" max="16384" width="8.88671875" style="22"/>
  </cols>
  <sheetData>
    <row r="2" spans="1:11" ht="21.75" customHeight="1">
      <c r="A2" s="954" t="s">
        <v>4210</v>
      </c>
      <c r="B2" s="954"/>
      <c r="C2" s="110" t="s">
        <v>4208</v>
      </c>
      <c r="D2" s="110" t="s">
        <v>4168</v>
      </c>
    </row>
    <row r="3" spans="1:11" ht="21.75" customHeight="1">
      <c r="A3" s="838" t="s">
        <v>4205</v>
      </c>
      <c r="B3" s="123" t="s">
        <v>4174</v>
      </c>
      <c r="C3" s="110">
        <v>50</v>
      </c>
      <c r="D3" s="123" t="str">
        <f>'報告書①（事業所概要・実績）'!Z24</f>
        <v/>
      </c>
      <c r="I3" s="954" t="s">
        <v>4168</v>
      </c>
      <c r="J3" s="954"/>
      <c r="K3" s="954" t="s">
        <v>4211</v>
      </c>
    </row>
    <row r="4" spans="1:11" ht="21.75" customHeight="1">
      <c r="A4" s="838"/>
      <c r="B4" s="123" t="s">
        <v>4178</v>
      </c>
      <c r="C4" s="110">
        <v>50</v>
      </c>
      <c r="D4" s="123" t="str">
        <f>'報告書①（事業所概要・実績）'!Z25</f>
        <v/>
      </c>
      <c r="I4" s="110" t="s">
        <v>4215</v>
      </c>
      <c r="J4" s="110" t="s">
        <v>4216</v>
      </c>
      <c r="K4" s="954"/>
    </row>
    <row r="5" spans="1:11" ht="21.75" customHeight="1">
      <c r="A5" s="838" t="s">
        <v>4206</v>
      </c>
      <c r="B5" s="123" t="s">
        <v>4192</v>
      </c>
      <c r="C5" s="110">
        <v>50</v>
      </c>
      <c r="D5" s="149" t="str">
        <f xml:space="preserve"> '報告書② 第3年度(取組）'!U9</f>
        <v/>
      </c>
      <c r="E5" s="150" t="s">
        <v>4217</v>
      </c>
      <c r="I5" s="110">
        <v>160</v>
      </c>
      <c r="J5" s="110"/>
      <c r="K5" s="110" t="s">
        <v>4212</v>
      </c>
    </row>
    <row r="6" spans="1:11" ht="21.75" customHeight="1">
      <c r="A6" s="838"/>
      <c r="B6" s="123" t="s">
        <v>4193</v>
      </c>
      <c r="C6" s="1023" t="s">
        <v>4209</v>
      </c>
      <c r="D6" s="1021">
        <f>IF(SUM(E6:E7)&gt;=50,50,SUM(E6:E7))</f>
        <v>0</v>
      </c>
      <c r="E6" s="149" t="str">
        <f xml:space="preserve"> '報告書② 第3年度(取組）'!T48</f>
        <v/>
      </c>
      <c r="I6" s="110">
        <v>130</v>
      </c>
      <c r="J6" s="110">
        <v>160</v>
      </c>
      <c r="K6" s="110" t="s">
        <v>4213</v>
      </c>
    </row>
    <row r="7" spans="1:11" ht="21.75" customHeight="1">
      <c r="A7" s="838"/>
      <c r="B7" s="123" t="s">
        <v>4207</v>
      </c>
      <c r="C7" s="954"/>
      <c r="D7" s="1022"/>
      <c r="E7" s="149" t="str">
        <f xml:space="preserve"> '報告書② 第3年度(取組）'!S73</f>
        <v/>
      </c>
      <c r="I7" s="110"/>
      <c r="J7" s="110">
        <v>130</v>
      </c>
      <c r="K7" s="110" t="s">
        <v>4214</v>
      </c>
    </row>
    <row r="8" spans="1:11" ht="21.75" customHeight="1">
      <c r="A8" s="687" t="s">
        <v>118</v>
      </c>
      <c r="B8" s="688"/>
      <c r="C8" s="110">
        <v>200</v>
      </c>
      <c r="D8" s="123">
        <f>SUM(D3:D7)</f>
        <v>0</v>
      </c>
    </row>
    <row r="9" spans="1:11" ht="21.75" customHeight="1"/>
    <row r="10" spans="1:11" ht="21.75" customHeight="1"/>
    <row r="11" spans="1:11" ht="21.75" customHeight="1">
      <c r="C11" s="150" t="s">
        <v>4211</v>
      </c>
      <c r="D11" s="117" t="str">
        <f>IF(D8&gt;=I5,K5,IF(AND(D8&gt;=I6,D8&lt;J6),K6,IF(D8&lt;J7,K7,"-")))</f>
        <v>B</v>
      </c>
    </row>
  </sheetData>
  <sheetProtection algorithmName="SHA-512" hashValue="gtX4d7RHNpa+wBMnVauOcMH0CWPu+0BHizTEWAbnwbIzDjwhgJP2fkiRlua1dXGPmzlmzOTftVNQJzV83+f9Rg==" saltValue="JGUeghOY6zG/sOF1Cdt7tQ==" spinCount="100000" sheet="1" objects="1" scenarios="1" selectLockedCells="1"/>
  <mergeCells count="8">
    <mergeCell ref="A2:B2"/>
    <mergeCell ref="A8:B8"/>
    <mergeCell ref="I3:J3"/>
    <mergeCell ref="K3:K4"/>
    <mergeCell ref="D6:D7"/>
    <mergeCell ref="C6:C7"/>
    <mergeCell ref="A3:A4"/>
    <mergeCell ref="A5:A7"/>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093D-5BBC-4D40-820F-A959AD2EC17F}">
  <sheetPr codeName="Sheet7">
    <tabColor rgb="FFFF0000"/>
    <pageSetUpPr fitToPage="1"/>
  </sheetPr>
  <dimension ref="B1:AA80"/>
  <sheetViews>
    <sheetView topLeftCell="B1" workbookViewId="0">
      <selection activeCell="H17" sqref="H17"/>
    </sheetView>
  </sheetViews>
  <sheetFormatPr defaultColWidth="8.88671875" defaultRowHeight="17.399999999999999"/>
  <cols>
    <col min="1" max="1" width="8.88671875" style="8"/>
    <col min="2" max="2" width="5.109375" style="8" customWidth="1"/>
    <col min="3" max="3" width="50.88671875" style="8" customWidth="1"/>
    <col min="4" max="4" width="13.33203125" style="8" customWidth="1"/>
    <col min="5" max="5" width="11.44140625" style="8" customWidth="1"/>
    <col min="6" max="6" width="13" style="8" customWidth="1"/>
    <col min="7" max="7" width="17.33203125" style="8" customWidth="1"/>
    <col min="8" max="8" width="8.88671875" style="8"/>
    <col min="9" max="12" width="9.33203125" style="8" customWidth="1"/>
    <col min="13" max="15" width="8.88671875" style="8"/>
    <col min="16" max="16" width="5.109375" style="8" customWidth="1"/>
    <col min="17" max="17" width="50.44140625" style="8" customWidth="1"/>
    <col min="18" max="18" width="14.6640625" style="8" customWidth="1"/>
    <col min="19" max="19" width="11.44140625" style="8" customWidth="1"/>
    <col min="20" max="20" width="13" style="8" customWidth="1"/>
    <col min="21" max="21" width="18.109375" style="8" customWidth="1"/>
    <col min="22" max="22" width="8.88671875" style="8"/>
    <col min="23" max="26" width="9.33203125" style="8" customWidth="1"/>
    <col min="27" max="16384" width="8.88671875" style="8"/>
  </cols>
  <sheetData>
    <row r="1" spans="2:27">
      <c r="B1" s="193" t="s">
        <v>5311</v>
      </c>
      <c r="C1" s="193"/>
      <c r="D1" s="193"/>
      <c r="E1" s="39"/>
      <c r="F1" s="39"/>
      <c r="G1" s="39"/>
      <c r="H1" s="39"/>
      <c r="I1" s="39"/>
      <c r="J1" s="39"/>
      <c r="K1" s="39"/>
      <c r="L1" s="39"/>
      <c r="N1" s="169"/>
      <c r="P1" s="193" t="s">
        <v>5310</v>
      </c>
      <c r="Q1" s="193"/>
      <c r="R1" s="193"/>
      <c r="S1" s="39"/>
      <c r="T1" s="39"/>
      <c r="U1" s="39"/>
      <c r="V1" s="39"/>
      <c r="W1" s="39"/>
      <c r="X1" s="39"/>
      <c r="Y1" s="39"/>
      <c r="Z1" s="39"/>
      <c r="AA1" s="170"/>
    </row>
    <row r="2" spans="2:27">
      <c r="B2" s="40"/>
      <c r="C2" s="171" t="s">
        <v>5206</v>
      </c>
      <c r="D2" s="171" t="s">
        <v>5207</v>
      </c>
      <c r="E2" s="41" t="s">
        <v>5208</v>
      </c>
      <c r="F2" s="41"/>
      <c r="G2" s="33"/>
      <c r="H2" s="42" t="s">
        <v>42</v>
      </c>
      <c r="I2" s="43" t="s">
        <v>5059</v>
      </c>
      <c r="J2" s="172"/>
      <c r="K2" s="43" t="s">
        <v>5209</v>
      </c>
      <c r="L2" s="173"/>
      <c r="N2" s="169"/>
      <c r="P2" s="40"/>
      <c r="Q2" s="171" t="s">
        <v>5206</v>
      </c>
      <c r="R2" s="171" t="s">
        <v>5207</v>
      </c>
      <c r="S2" s="41" t="s">
        <v>5058</v>
      </c>
      <c r="T2" s="41"/>
      <c r="U2" s="33"/>
      <c r="V2" s="42" t="s">
        <v>42</v>
      </c>
      <c r="W2" s="43" t="s">
        <v>5059</v>
      </c>
      <c r="X2" s="172"/>
      <c r="Y2" s="43" t="s">
        <v>5209</v>
      </c>
      <c r="Z2" s="173"/>
      <c r="AA2" s="174"/>
    </row>
    <row r="3" spans="2:27">
      <c r="B3" s="1060" t="s">
        <v>5060</v>
      </c>
      <c r="C3" s="199" t="s">
        <v>120</v>
      </c>
      <c r="D3" s="200" t="s">
        <v>5017</v>
      </c>
      <c r="E3" s="10" t="s">
        <v>120</v>
      </c>
      <c r="F3" s="10"/>
      <c r="G3" s="10"/>
      <c r="H3" s="44" t="s">
        <v>39</v>
      </c>
      <c r="I3" s="45">
        <v>38.200000000000003</v>
      </c>
      <c r="J3" s="46" t="s">
        <v>43</v>
      </c>
      <c r="K3" s="47">
        <v>1.8700000000000001E-2</v>
      </c>
      <c r="L3" s="48" t="s">
        <v>3107</v>
      </c>
      <c r="P3" s="1063" t="s">
        <v>5060</v>
      </c>
      <c r="Q3" s="199" t="s">
        <v>120</v>
      </c>
      <c r="R3" s="200" t="s">
        <v>5017</v>
      </c>
      <c r="S3" s="10" t="s">
        <v>120</v>
      </c>
      <c r="T3" s="10"/>
      <c r="U3" s="10"/>
      <c r="V3" s="44" t="s">
        <v>39</v>
      </c>
      <c r="W3" s="45">
        <v>38.299999999999997</v>
      </c>
      <c r="X3" s="46" t="s">
        <v>43</v>
      </c>
      <c r="Y3" s="47">
        <v>1.9E-2</v>
      </c>
      <c r="Z3" s="48" t="s">
        <v>3107</v>
      </c>
    </row>
    <row r="4" spans="2:27">
      <c r="B4" s="1061"/>
      <c r="C4" s="201" t="s">
        <v>121</v>
      </c>
      <c r="D4" s="202" t="s">
        <v>5017</v>
      </c>
      <c r="E4" s="13" t="s">
        <v>121</v>
      </c>
      <c r="F4" s="16"/>
      <c r="G4" s="16"/>
      <c r="H4" s="49" t="s">
        <v>39</v>
      </c>
      <c r="I4" s="50">
        <v>35.299999999999997</v>
      </c>
      <c r="J4" s="51" t="s">
        <v>43</v>
      </c>
      <c r="K4" s="52">
        <v>1.84E-2</v>
      </c>
      <c r="L4" s="53" t="s">
        <v>3107</v>
      </c>
      <c r="M4" s="175"/>
      <c r="N4" s="169"/>
      <c r="P4" s="1064"/>
      <c r="Q4" s="201" t="s">
        <v>121</v>
      </c>
      <c r="R4" s="202" t="s">
        <v>5017</v>
      </c>
      <c r="S4" s="13" t="s">
        <v>121</v>
      </c>
      <c r="T4" s="13"/>
      <c r="U4" s="13"/>
      <c r="V4" s="194" t="s">
        <v>39</v>
      </c>
      <c r="W4" s="195">
        <v>34.799999999999997</v>
      </c>
      <c r="X4" s="196" t="s">
        <v>43</v>
      </c>
      <c r="Y4" s="197">
        <v>1.83E-2</v>
      </c>
      <c r="Z4" s="198" t="s">
        <v>3107</v>
      </c>
    </row>
    <row r="5" spans="2:27">
      <c r="B5" s="1061"/>
      <c r="C5" s="201" t="s">
        <v>122</v>
      </c>
      <c r="D5" s="202" t="s">
        <v>5017</v>
      </c>
      <c r="E5" s="16" t="s">
        <v>122</v>
      </c>
      <c r="F5" s="16"/>
      <c r="G5" s="16"/>
      <c r="H5" s="49" t="s">
        <v>39</v>
      </c>
      <c r="I5" s="50">
        <v>34.6</v>
      </c>
      <c r="J5" s="51" t="s">
        <v>43</v>
      </c>
      <c r="K5" s="52">
        <v>1.83E-2</v>
      </c>
      <c r="L5" s="53" t="s">
        <v>3107</v>
      </c>
      <c r="P5" s="1064"/>
      <c r="Q5" s="201" t="s">
        <v>5210</v>
      </c>
      <c r="R5" s="202" t="s">
        <v>5017</v>
      </c>
      <c r="S5" s="16" t="s">
        <v>122</v>
      </c>
      <c r="T5" s="16"/>
      <c r="U5" s="16"/>
      <c r="V5" s="49" t="s">
        <v>39</v>
      </c>
      <c r="W5" s="50">
        <v>33.4</v>
      </c>
      <c r="X5" s="51" t="s">
        <v>43</v>
      </c>
      <c r="Y5" s="52">
        <v>1.8700000000000001E-2</v>
      </c>
      <c r="Z5" s="53" t="s">
        <v>3107</v>
      </c>
    </row>
    <row r="6" spans="2:27">
      <c r="B6" s="1061"/>
      <c r="C6" s="201" t="s">
        <v>44</v>
      </c>
      <c r="D6" s="202" t="s">
        <v>5017</v>
      </c>
      <c r="E6" s="16" t="s">
        <v>44</v>
      </c>
      <c r="F6" s="16"/>
      <c r="G6" s="16"/>
      <c r="H6" s="49" t="s">
        <v>39</v>
      </c>
      <c r="I6" s="50">
        <v>33.6</v>
      </c>
      <c r="J6" s="51" t="s">
        <v>43</v>
      </c>
      <c r="K6" s="52">
        <v>1.8200000000000001E-2</v>
      </c>
      <c r="L6" s="53" t="s">
        <v>3107</v>
      </c>
      <c r="P6" s="1064"/>
      <c r="Q6" s="201" t="s">
        <v>44</v>
      </c>
      <c r="R6" s="202" t="s">
        <v>5017</v>
      </c>
      <c r="S6" s="16" t="s">
        <v>44</v>
      </c>
      <c r="T6" s="16"/>
      <c r="U6" s="16"/>
      <c r="V6" s="49" t="s">
        <v>39</v>
      </c>
      <c r="W6" s="50">
        <v>33.299999999999997</v>
      </c>
      <c r="X6" s="51" t="s">
        <v>43</v>
      </c>
      <c r="Y6" s="52">
        <v>1.8599999999999998E-2</v>
      </c>
      <c r="Z6" s="53" t="s">
        <v>3107</v>
      </c>
    </row>
    <row r="7" spans="2:27">
      <c r="B7" s="1061"/>
      <c r="C7" s="201" t="s">
        <v>5012</v>
      </c>
      <c r="D7" s="202" t="s">
        <v>5017</v>
      </c>
      <c r="E7" s="16" t="s">
        <v>5012</v>
      </c>
      <c r="F7" s="16"/>
      <c r="G7" s="16"/>
      <c r="H7" s="49" t="s">
        <v>39</v>
      </c>
      <c r="I7" s="50">
        <v>36.700000000000003</v>
      </c>
      <c r="J7" s="51" t="s">
        <v>43</v>
      </c>
      <c r="K7" s="52">
        <v>1.83E-2</v>
      </c>
      <c r="L7" s="53" t="s">
        <v>3107</v>
      </c>
      <c r="P7" s="1064"/>
      <c r="Q7" s="201" t="s">
        <v>5211</v>
      </c>
      <c r="R7" s="202" t="s">
        <v>5017</v>
      </c>
      <c r="S7" s="16" t="s">
        <v>5012</v>
      </c>
      <c r="T7" s="16"/>
      <c r="U7" s="16"/>
      <c r="V7" s="49" t="s">
        <v>39</v>
      </c>
      <c r="W7" s="50">
        <v>36.299999999999997</v>
      </c>
      <c r="X7" s="51" t="s">
        <v>43</v>
      </c>
      <c r="Y7" s="52">
        <v>1.8599999999999998E-2</v>
      </c>
      <c r="Z7" s="53" t="s">
        <v>3107</v>
      </c>
    </row>
    <row r="8" spans="2:27">
      <c r="B8" s="1061"/>
      <c r="C8" s="201" t="s">
        <v>45</v>
      </c>
      <c r="D8" s="202" t="s">
        <v>5017</v>
      </c>
      <c r="E8" s="16" t="s">
        <v>45</v>
      </c>
      <c r="F8" s="16"/>
      <c r="G8" s="16"/>
      <c r="H8" s="49" t="s">
        <v>39</v>
      </c>
      <c r="I8" s="50">
        <v>36.700000000000003</v>
      </c>
      <c r="J8" s="51" t="s">
        <v>43</v>
      </c>
      <c r="K8" s="52">
        <v>1.8499999999999999E-2</v>
      </c>
      <c r="L8" s="53" t="s">
        <v>3107</v>
      </c>
      <c r="P8" s="1064"/>
      <c r="Q8" s="201" t="s">
        <v>45</v>
      </c>
      <c r="R8" s="202" t="s">
        <v>5017</v>
      </c>
      <c r="S8" s="16" t="s">
        <v>45</v>
      </c>
      <c r="T8" s="16"/>
      <c r="U8" s="16"/>
      <c r="V8" s="49" t="s">
        <v>39</v>
      </c>
      <c r="W8" s="50">
        <v>36.5</v>
      </c>
      <c r="X8" s="51" t="s">
        <v>43</v>
      </c>
      <c r="Y8" s="52">
        <v>1.8700000000000001E-2</v>
      </c>
      <c r="Z8" s="53" t="s">
        <v>3107</v>
      </c>
    </row>
    <row r="9" spans="2:27">
      <c r="B9" s="1061"/>
      <c r="C9" s="201" t="s">
        <v>46</v>
      </c>
      <c r="D9" s="202" t="s">
        <v>5017</v>
      </c>
      <c r="E9" s="16" t="s">
        <v>46</v>
      </c>
      <c r="F9" s="16"/>
      <c r="G9" s="16"/>
      <c r="H9" s="49" t="s">
        <v>39</v>
      </c>
      <c r="I9" s="50">
        <v>37.700000000000003</v>
      </c>
      <c r="J9" s="51" t="s">
        <v>43</v>
      </c>
      <c r="K9" s="52">
        <v>1.8700000000000001E-2</v>
      </c>
      <c r="L9" s="53" t="s">
        <v>3107</v>
      </c>
      <c r="P9" s="1064"/>
      <c r="Q9" s="201" t="s">
        <v>46</v>
      </c>
      <c r="R9" s="202" t="s">
        <v>5017</v>
      </c>
      <c r="S9" s="16" t="s">
        <v>46</v>
      </c>
      <c r="T9" s="16"/>
      <c r="U9" s="16"/>
      <c r="V9" s="49" t="s">
        <v>39</v>
      </c>
      <c r="W9" s="50">
        <v>38</v>
      </c>
      <c r="X9" s="51" t="s">
        <v>43</v>
      </c>
      <c r="Y9" s="52">
        <v>1.8800000000000001E-2</v>
      </c>
      <c r="Z9" s="53" t="s">
        <v>3107</v>
      </c>
    </row>
    <row r="10" spans="2:27">
      <c r="B10" s="1061"/>
      <c r="C10" s="201" t="s">
        <v>47</v>
      </c>
      <c r="D10" s="202" t="s">
        <v>5017</v>
      </c>
      <c r="E10" s="16" t="s">
        <v>47</v>
      </c>
      <c r="F10" s="16"/>
      <c r="G10" s="16"/>
      <c r="H10" s="49" t="s">
        <v>39</v>
      </c>
      <c r="I10" s="50">
        <v>39.1</v>
      </c>
      <c r="J10" s="51" t="s">
        <v>43</v>
      </c>
      <c r="K10" s="52">
        <v>1.89E-2</v>
      </c>
      <c r="L10" s="53" t="s">
        <v>3107</v>
      </c>
      <c r="P10" s="1064"/>
      <c r="Q10" s="201" t="s">
        <v>47</v>
      </c>
      <c r="R10" s="202" t="s">
        <v>5017</v>
      </c>
      <c r="S10" s="16" t="s">
        <v>47</v>
      </c>
      <c r="T10" s="16"/>
      <c r="U10" s="16"/>
      <c r="V10" s="49" t="s">
        <v>39</v>
      </c>
      <c r="W10" s="50">
        <v>38.9</v>
      </c>
      <c r="X10" s="51" t="s">
        <v>43</v>
      </c>
      <c r="Y10" s="52">
        <v>1.9300000000000001E-2</v>
      </c>
      <c r="Z10" s="53" t="s">
        <v>3107</v>
      </c>
    </row>
    <row r="11" spans="2:27">
      <c r="B11" s="1061"/>
      <c r="C11" s="201" t="s">
        <v>48</v>
      </c>
      <c r="D11" s="202" t="s">
        <v>5017</v>
      </c>
      <c r="E11" s="16" t="s">
        <v>48</v>
      </c>
      <c r="F11" s="16"/>
      <c r="G11" s="16"/>
      <c r="H11" s="49" t="s">
        <v>39</v>
      </c>
      <c r="I11" s="50">
        <v>41.9</v>
      </c>
      <c r="J11" s="51" t="s">
        <v>43</v>
      </c>
      <c r="K11" s="52">
        <v>1.95E-2</v>
      </c>
      <c r="L11" s="53" t="s">
        <v>3107</v>
      </c>
      <c r="P11" s="1064"/>
      <c r="Q11" s="201" t="s">
        <v>48</v>
      </c>
      <c r="R11" s="202" t="s">
        <v>5017</v>
      </c>
      <c r="S11" s="16" t="s">
        <v>48</v>
      </c>
      <c r="T11" s="16"/>
      <c r="U11" s="16"/>
      <c r="V11" s="49" t="s">
        <v>39</v>
      </c>
      <c r="W11" s="50">
        <v>41.8</v>
      </c>
      <c r="X11" s="51" t="s">
        <v>43</v>
      </c>
      <c r="Y11" s="52">
        <v>2.0199999999999999E-2</v>
      </c>
      <c r="Z11" s="53" t="s">
        <v>3107</v>
      </c>
    </row>
    <row r="12" spans="2:27">
      <c r="B12" s="1061"/>
      <c r="C12" s="201" t="s">
        <v>49</v>
      </c>
      <c r="D12" s="202" t="s">
        <v>5017</v>
      </c>
      <c r="E12" s="16" t="s">
        <v>49</v>
      </c>
      <c r="F12" s="16"/>
      <c r="G12" s="16"/>
      <c r="H12" s="49" t="s">
        <v>50</v>
      </c>
      <c r="I12" s="50">
        <v>40.9</v>
      </c>
      <c r="J12" s="51" t="s">
        <v>51</v>
      </c>
      <c r="K12" s="52">
        <v>2.0799999999999999E-2</v>
      </c>
      <c r="L12" s="53" t="s">
        <v>3107</v>
      </c>
      <c r="P12" s="1064"/>
      <c r="Q12" s="201" t="s">
        <v>49</v>
      </c>
      <c r="R12" s="202" t="s">
        <v>5017</v>
      </c>
      <c r="S12" s="16" t="s">
        <v>49</v>
      </c>
      <c r="T12" s="16"/>
      <c r="U12" s="16"/>
      <c r="V12" s="49" t="s">
        <v>50</v>
      </c>
      <c r="W12" s="50">
        <v>40</v>
      </c>
      <c r="X12" s="51" t="s">
        <v>51</v>
      </c>
      <c r="Y12" s="52">
        <v>2.0400000000000001E-2</v>
      </c>
      <c r="Z12" s="53" t="s">
        <v>3107</v>
      </c>
    </row>
    <row r="13" spans="2:27">
      <c r="B13" s="1061"/>
      <c r="C13" s="201" t="s">
        <v>52</v>
      </c>
      <c r="D13" s="202" t="s">
        <v>5017</v>
      </c>
      <c r="E13" s="16" t="s">
        <v>52</v>
      </c>
      <c r="F13" s="16"/>
      <c r="G13" s="16"/>
      <c r="H13" s="49" t="s">
        <v>50</v>
      </c>
      <c r="I13" s="50">
        <v>29.9</v>
      </c>
      <c r="J13" s="51" t="s">
        <v>51</v>
      </c>
      <c r="K13" s="52">
        <v>2.5399999999999999E-2</v>
      </c>
      <c r="L13" s="53" t="s">
        <v>3107</v>
      </c>
      <c r="P13" s="1064"/>
      <c r="Q13" s="201" t="s">
        <v>52</v>
      </c>
      <c r="R13" s="202" t="s">
        <v>5017</v>
      </c>
      <c r="S13" s="16" t="s">
        <v>52</v>
      </c>
      <c r="T13" s="16"/>
      <c r="U13" s="16"/>
      <c r="V13" s="49" t="s">
        <v>50</v>
      </c>
      <c r="W13" s="50">
        <v>34.1</v>
      </c>
      <c r="X13" s="51" t="s">
        <v>51</v>
      </c>
      <c r="Y13" s="52">
        <v>2.4500000000000001E-2</v>
      </c>
      <c r="Z13" s="53" t="s">
        <v>3107</v>
      </c>
    </row>
    <row r="14" spans="2:27">
      <c r="B14" s="1061"/>
      <c r="C14" s="201" t="s">
        <v>5212</v>
      </c>
      <c r="D14" s="202" t="s">
        <v>5017</v>
      </c>
      <c r="E14" s="1066" t="s">
        <v>53</v>
      </c>
      <c r="F14" s="17" t="s">
        <v>54</v>
      </c>
      <c r="G14" s="16"/>
      <c r="H14" s="49" t="s">
        <v>50</v>
      </c>
      <c r="I14" s="50">
        <v>50.8</v>
      </c>
      <c r="J14" s="51" t="s">
        <v>51</v>
      </c>
      <c r="K14" s="52">
        <v>1.61E-2</v>
      </c>
      <c r="L14" s="53" t="s">
        <v>3107</v>
      </c>
      <c r="P14" s="1064"/>
      <c r="Q14" s="201" t="s">
        <v>5212</v>
      </c>
      <c r="R14" s="202" t="s">
        <v>5017</v>
      </c>
      <c r="S14" s="1067" t="s">
        <v>53</v>
      </c>
      <c r="T14" s="17" t="s">
        <v>54</v>
      </c>
      <c r="U14" s="16"/>
      <c r="V14" s="49" t="s">
        <v>50</v>
      </c>
      <c r="W14" s="50">
        <v>50.1</v>
      </c>
      <c r="X14" s="51" t="s">
        <v>51</v>
      </c>
      <c r="Y14" s="52">
        <v>1.6299999999999999E-2</v>
      </c>
      <c r="Z14" s="53" t="s">
        <v>3107</v>
      </c>
    </row>
    <row r="15" spans="2:27" ht="18" customHeight="1">
      <c r="B15" s="1061"/>
      <c r="C15" s="201" t="s">
        <v>5213</v>
      </c>
      <c r="D15" s="202" t="s">
        <v>5017</v>
      </c>
      <c r="E15" s="1044"/>
      <c r="F15" s="17" t="s">
        <v>55</v>
      </c>
      <c r="G15" s="16"/>
      <c r="H15" s="176" t="s">
        <v>5186</v>
      </c>
      <c r="I15" s="50">
        <v>44.9</v>
      </c>
      <c r="J15" s="51" t="s">
        <v>59</v>
      </c>
      <c r="K15" s="52">
        <v>1.4200000000000001E-2</v>
      </c>
      <c r="L15" s="53" t="s">
        <v>3107</v>
      </c>
      <c r="P15" s="1064"/>
      <c r="Q15" s="201" t="s">
        <v>5213</v>
      </c>
      <c r="R15" s="202" t="s">
        <v>5017</v>
      </c>
      <c r="S15" s="1046"/>
      <c r="T15" s="17" t="s">
        <v>55</v>
      </c>
      <c r="U15" s="16"/>
      <c r="V15" s="176" t="s">
        <v>5186</v>
      </c>
      <c r="W15" s="50">
        <v>46.1</v>
      </c>
      <c r="X15" s="51" t="s">
        <v>59</v>
      </c>
      <c r="Y15" s="52">
        <v>1.44E-2</v>
      </c>
      <c r="Z15" s="53" t="s">
        <v>3107</v>
      </c>
    </row>
    <row r="16" spans="2:27">
      <c r="B16" s="1061"/>
      <c r="C16" s="201" t="s">
        <v>5214</v>
      </c>
      <c r="D16" s="202" t="s">
        <v>5017</v>
      </c>
      <c r="E16" s="1066" t="s">
        <v>5215</v>
      </c>
      <c r="F16" s="17" t="s">
        <v>57</v>
      </c>
      <c r="G16" s="16"/>
      <c r="H16" s="49" t="s">
        <v>50</v>
      </c>
      <c r="I16" s="50">
        <v>54.6</v>
      </c>
      <c r="J16" s="51" t="s">
        <v>51</v>
      </c>
      <c r="K16" s="52">
        <v>1.35E-2</v>
      </c>
      <c r="L16" s="53" t="s">
        <v>3107</v>
      </c>
      <c r="P16" s="1064"/>
      <c r="Q16" s="201" t="s">
        <v>5214</v>
      </c>
      <c r="R16" s="202" t="s">
        <v>5017</v>
      </c>
      <c r="S16" s="1067" t="s">
        <v>56</v>
      </c>
      <c r="T16" s="17" t="s">
        <v>57</v>
      </c>
      <c r="U16" s="16"/>
      <c r="V16" s="49" t="s">
        <v>50</v>
      </c>
      <c r="W16" s="50">
        <v>54.7</v>
      </c>
      <c r="X16" s="51" t="s">
        <v>51</v>
      </c>
      <c r="Y16" s="52">
        <v>1.3899999999999999E-2</v>
      </c>
      <c r="Z16" s="53" t="s">
        <v>3107</v>
      </c>
    </row>
    <row r="17" spans="2:26">
      <c r="B17" s="1061"/>
      <c r="C17" s="201" t="s">
        <v>58</v>
      </c>
      <c r="D17" s="202" t="s">
        <v>5017</v>
      </c>
      <c r="E17" s="1044"/>
      <c r="F17" s="17" t="s">
        <v>58</v>
      </c>
      <c r="G17" s="16"/>
      <c r="H17" s="176" t="s">
        <v>5186</v>
      </c>
      <c r="I17" s="50">
        <v>43.5</v>
      </c>
      <c r="J17" s="51" t="s">
        <v>59</v>
      </c>
      <c r="K17" s="52">
        <v>1.3899999999999999E-2</v>
      </c>
      <c r="L17" s="53" t="s">
        <v>3107</v>
      </c>
      <c r="P17" s="1064"/>
      <c r="Q17" s="201" t="s">
        <v>58</v>
      </c>
      <c r="R17" s="202" t="s">
        <v>5017</v>
      </c>
      <c r="S17" s="1046"/>
      <c r="T17" s="17" t="s">
        <v>58</v>
      </c>
      <c r="U17" s="16"/>
      <c r="V17" s="176" t="s">
        <v>5186</v>
      </c>
      <c r="W17" s="50">
        <v>38.4</v>
      </c>
      <c r="X17" s="51" t="s">
        <v>59</v>
      </c>
      <c r="Y17" s="52">
        <v>1.3899999999999999E-2</v>
      </c>
      <c r="Z17" s="53" t="s">
        <v>3107</v>
      </c>
    </row>
    <row r="18" spans="2:26">
      <c r="B18" s="1061"/>
      <c r="C18" s="201" t="s">
        <v>5216</v>
      </c>
      <c r="D18" s="202" t="s">
        <v>5017</v>
      </c>
      <c r="E18" s="1068" t="s">
        <v>60</v>
      </c>
      <c r="F18" s="775" t="s">
        <v>5027</v>
      </c>
      <c r="G18" s="17" t="s">
        <v>5025</v>
      </c>
      <c r="H18" s="49" t="s">
        <v>50</v>
      </c>
      <c r="I18" s="50">
        <v>29</v>
      </c>
      <c r="J18" s="51" t="s">
        <v>51</v>
      </c>
      <c r="K18" s="52">
        <v>2.4500000000000001E-2</v>
      </c>
      <c r="L18" s="53" t="s">
        <v>3107</v>
      </c>
      <c r="P18" s="1064"/>
      <c r="Q18" s="201" t="s">
        <v>5025</v>
      </c>
      <c r="R18" s="202" t="s">
        <v>5017</v>
      </c>
      <c r="S18" s="772" t="s">
        <v>60</v>
      </c>
      <c r="T18" s="775" t="s">
        <v>5027</v>
      </c>
      <c r="U18" s="17" t="s">
        <v>5025</v>
      </c>
      <c r="V18" s="49" t="s">
        <v>50</v>
      </c>
      <c r="W18" s="50">
        <v>28.7</v>
      </c>
      <c r="X18" s="51" t="s">
        <v>51</v>
      </c>
      <c r="Y18" s="52">
        <v>2.46E-2</v>
      </c>
      <c r="Z18" s="53" t="s">
        <v>3107</v>
      </c>
    </row>
    <row r="19" spans="2:26">
      <c r="B19" s="1061"/>
      <c r="C19" s="201"/>
      <c r="D19" s="202" t="s">
        <v>5017</v>
      </c>
      <c r="E19" s="1069"/>
      <c r="F19" s="1051"/>
      <c r="G19" s="17" t="s">
        <v>5028</v>
      </c>
      <c r="H19" s="49" t="s">
        <v>50</v>
      </c>
      <c r="I19" s="61" t="s">
        <v>5217</v>
      </c>
      <c r="J19" s="62"/>
      <c r="K19" s="61" t="s">
        <v>5217</v>
      </c>
      <c r="L19" s="62"/>
      <c r="P19" s="1064"/>
      <c r="Q19" s="201" t="s">
        <v>5028</v>
      </c>
      <c r="R19" s="202" t="s">
        <v>5017</v>
      </c>
      <c r="S19" s="1071"/>
      <c r="T19" s="1051"/>
      <c r="U19" s="17" t="s">
        <v>5028</v>
      </c>
      <c r="V19" s="49" t="s">
        <v>50</v>
      </c>
      <c r="W19" s="50">
        <v>28.9</v>
      </c>
      <c r="X19" s="51" t="s">
        <v>51</v>
      </c>
      <c r="Y19" s="52">
        <v>2.4500000000000001E-2</v>
      </c>
      <c r="Z19" s="53" t="s">
        <v>3107</v>
      </c>
    </row>
    <row r="20" spans="2:26">
      <c r="B20" s="1061"/>
      <c r="C20" s="201"/>
      <c r="D20" s="202" t="s">
        <v>5017</v>
      </c>
      <c r="E20" s="1069"/>
      <c r="F20" s="776"/>
      <c r="G20" s="17" t="s">
        <v>5029</v>
      </c>
      <c r="H20" s="49" t="s">
        <v>50</v>
      </c>
      <c r="I20" s="61" t="s">
        <v>5217</v>
      </c>
      <c r="J20" s="62"/>
      <c r="K20" s="61" t="s">
        <v>5217</v>
      </c>
      <c r="L20" s="62"/>
      <c r="P20" s="1064"/>
      <c r="Q20" s="201" t="s">
        <v>5029</v>
      </c>
      <c r="R20" s="202" t="s">
        <v>5017</v>
      </c>
      <c r="S20" s="1071"/>
      <c r="T20" s="776"/>
      <c r="U20" s="17" t="s">
        <v>5029</v>
      </c>
      <c r="V20" s="49" t="s">
        <v>50</v>
      </c>
      <c r="W20" s="50">
        <v>28.3</v>
      </c>
      <c r="X20" s="51" t="s">
        <v>51</v>
      </c>
      <c r="Y20" s="52">
        <v>2.5100000000000001E-2</v>
      </c>
      <c r="Z20" s="53" t="s">
        <v>3107</v>
      </c>
    </row>
    <row r="21" spans="2:26">
      <c r="B21" s="1061"/>
      <c r="C21" s="201" t="s">
        <v>5218</v>
      </c>
      <c r="D21" s="202" t="s">
        <v>5017</v>
      </c>
      <c r="E21" s="1069"/>
      <c r="F21" s="775" t="s">
        <v>5030</v>
      </c>
      <c r="G21" s="17" t="s">
        <v>5031</v>
      </c>
      <c r="H21" s="49" t="s">
        <v>50</v>
      </c>
      <c r="I21" s="50">
        <v>25.7</v>
      </c>
      <c r="J21" s="51" t="s">
        <v>51</v>
      </c>
      <c r="K21" s="52">
        <v>2.47E-2</v>
      </c>
      <c r="L21" s="53" t="s">
        <v>3107</v>
      </c>
      <c r="P21" s="1064"/>
      <c r="Q21" s="201" t="s">
        <v>5031</v>
      </c>
      <c r="R21" s="202" t="s">
        <v>5017</v>
      </c>
      <c r="S21" s="1071"/>
      <c r="T21" s="775" t="s">
        <v>5030</v>
      </c>
      <c r="U21" s="17" t="s">
        <v>5031</v>
      </c>
      <c r="V21" s="49" t="s">
        <v>50</v>
      </c>
      <c r="W21" s="50">
        <v>26.1</v>
      </c>
      <c r="X21" s="51" t="s">
        <v>51</v>
      </c>
      <c r="Y21" s="52">
        <v>2.4299999999999999E-2</v>
      </c>
      <c r="Z21" s="53" t="s">
        <v>3107</v>
      </c>
    </row>
    <row r="22" spans="2:26">
      <c r="B22" s="1061"/>
      <c r="C22" s="201"/>
      <c r="D22" s="202" t="s">
        <v>5017</v>
      </c>
      <c r="E22" s="1069"/>
      <c r="F22" s="776"/>
      <c r="G22" s="17" t="s">
        <v>5219</v>
      </c>
      <c r="H22" s="49" t="s">
        <v>50</v>
      </c>
      <c r="I22" s="61" t="s">
        <v>5217</v>
      </c>
      <c r="J22" s="62"/>
      <c r="K22" s="61" t="s">
        <v>5217</v>
      </c>
      <c r="L22" s="62"/>
      <c r="P22" s="1064"/>
      <c r="Q22" s="201" t="s">
        <v>5032</v>
      </c>
      <c r="R22" s="202" t="s">
        <v>5017</v>
      </c>
      <c r="S22" s="1071"/>
      <c r="T22" s="776"/>
      <c r="U22" s="17" t="s">
        <v>5032</v>
      </c>
      <c r="V22" s="49" t="s">
        <v>50</v>
      </c>
      <c r="W22" s="50">
        <v>24.2</v>
      </c>
      <c r="X22" s="51" t="s">
        <v>51</v>
      </c>
      <c r="Y22" s="52">
        <v>2.4199999999999999E-2</v>
      </c>
      <c r="Z22" s="53" t="s">
        <v>3107</v>
      </c>
    </row>
    <row r="23" spans="2:26">
      <c r="B23" s="1061"/>
      <c r="C23" s="201" t="s">
        <v>5220</v>
      </c>
      <c r="D23" s="202" t="s">
        <v>5017</v>
      </c>
      <c r="E23" s="1070"/>
      <c r="F23" s="18" t="s">
        <v>5033</v>
      </c>
      <c r="G23" s="16"/>
      <c r="H23" s="49" t="s">
        <v>50</v>
      </c>
      <c r="I23" s="50">
        <v>26.9</v>
      </c>
      <c r="J23" s="51" t="s">
        <v>51</v>
      </c>
      <c r="K23" s="52">
        <v>2.5499999999999998E-2</v>
      </c>
      <c r="L23" s="53" t="s">
        <v>3107</v>
      </c>
      <c r="P23" s="1064"/>
      <c r="Q23" s="201" t="s">
        <v>5033</v>
      </c>
      <c r="R23" s="202" t="s">
        <v>5017</v>
      </c>
      <c r="S23" s="774"/>
      <c r="T23" s="18" t="s">
        <v>5033</v>
      </c>
      <c r="U23" s="19"/>
      <c r="V23" s="49" t="s">
        <v>50</v>
      </c>
      <c r="W23" s="50">
        <v>27.8</v>
      </c>
      <c r="X23" s="51" t="s">
        <v>51</v>
      </c>
      <c r="Y23" s="52">
        <v>2.5899999999999999E-2</v>
      </c>
      <c r="Z23" s="53" t="s">
        <v>3107</v>
      </c>
    </row>
    <row r="24" spans="2:26">
      <c r="B24" s="1061"/>
      <c r="C24" s="201" t="s">
        <v>62</v>
      </c>
      <c r="D24" s="202" t="s">
        <v>5017</v>
      </c>
      <c r="E24" s="16" t="s">
        <v>62</v>
      </c>
      <c r="F24" s="13"/>
      <c r="G24" s="13"/>
      <c r="H24" s="49" t="s">
        <v>50</v>
      </c>
      <c r="I24" s="50">
        <v>29.4</v>
      </c>
      <c r="J24" s="51" t="s">
        <v>51</v>
      </c>
      <c r="K24" s="52">
        <v>2.9399999999999999E-2</v>
      </c>
      <c r="L24" s="53" t="s">
        <v>3107</v>
      </c>
      <c r="P24" s="1064"/>
      <c r="Q24" s="201" t="s">
        <v>62</v>
      </c>
      <c r="R24" s="202" t="s">
        <v>5017</v>
      </c>
      <c r="S24" s="16" t="s">
        <v>62</v>
      </c>
      <c r="T24" s="13"/>
      <c r="U24" s="13"/>
      <c r="V24" s="49" t="s">
        <v>50</v>
      </c>
      <c r="W24" s="50">
        <v>29</v>
      </c>
      <c r="X24" s="51" t="s">
        <v>51</v>
      </c>
      <c r="Y24" s="52">
        <v>2.9899999999999999E-2</v>
      </c>
      <c r="Z24" s="53" t="s">
        <v>3107</v>
      </c>
    </row>
    <row r="25" spans="2:26">
      <c r="B25" s="1061"/>
      <c r="C25" s="201" t="s">
        <v>63</v>
      </c>
      <c r="D25" s="202" t="s">
        <v>5017</v>
      </c>
      <c r="E25" s="16" t="s">
        <v>63</v>
      </c>
      <c r="F25" s="16"/>
      <c r="G25" s="16"/>
      <c r="H25" s="49" t="s">
        <v>50</v>
      </c>
      <c r="I25" s="50">
        <v>37.299999999999997</v>
      </c>
      <c r="J25" s="51" t="s">
        <v>51</v>
      </c>
      <c r="K25" s="52">
        <v>2.0899999999999998E-2</v>
      </c>
      <c r="L25" s="53" t="s">
        <v>3107</v>
      </c>
      <c r="P25" s="1064"/>
      <c r="Q25" s="201" t="s">
        <v>63</v>
      </c>
      <c r="R25" s="202" t="s">
        <v>5017</v>
      </c>
      <c r="S25" s="16" t="s">
        <v>63</v>
      </c>
      <c r="T25" s="16"/>
      <c r="U25" s="16"/>
      <c r="V25" s="49" t="s">
        <v>50</v>
      </c>
      <c r="W25" s="50">
        <v>37.299999999999997</v>
      </c>
      <c r="X25" s="51" t="s">
        <v>51</v>
      </c>
      <c r="Y25" s="52">
        <v>2.0899999999999998E-2</v>
      </c>
      <c r="Z25" s="53" t="s">
        <v>3107</v>
      </c>
    </row>
    <row r="26" spans="2:26">
      <c r="B26" s="1061"/>
      <c r="C26" s="201" t="s">
        <v>64</v>
      </c>
      <c r="D26" s="202" t="s">
        <v>5017</v>
      </c>
      <c r="E26" s="16" t="s">
        <v>64</v>
      </c>
      <c r="F26" s="16"/>
      <c r="G26" s="16"/>
      <c r="H26" s="176" t="s">
        <v>5186</v>
      </c>
      <c r="I26" s="50">
        <v>21.1</v>
      </c>
      <c r="J26" s="51" t="s">
        <v>59</v>
      </c>
      <c r="K26" s="52">
        <v>1.0999999999999999E-2</v>
      </c>
      <c r="L26" s="53" t="s">
        <v>3107</v>
      </c>
      <c r="P26" s="1064"/>
      <c r="Q26" s="201" t="s">
        <v>64</v>
      </c>
      <c r="R26" s="202" t="s">
        <v>5017</v>
      </c>
      <c r="S26" s="16" t="s">
        <v>64</v>
      </c>
      <c r="T26" s="16"/>
      <c r="U26" s="16"/>
      <c r="V26" s="176" t="s">
        <v>5186</v>
      </c>
      <c r="W26" s="50">
        <v>18.399999999999999</v>
      </c>
      <c r="X26" s="51" t="s">
        <v>59</v>
      </c>
      <c r="Y26" s="52">
        <v>1.09E-2</v>
      </c>
      <c r="Z26" s="53" t="s">
        <v>3107</v>
      </c>
    </row>
    <row r="27" spans="2:26">
      <c r="B27" s="1061"/>
      <c r="C27" s="201" t="s">
        <v>65</v>
      </c>
      <c r="D27" s="202" t="s">
        <v>5017</v>
      </c>
      <c r="E27" s="16" t="s">
        <v>65</v>
      </c>
      <c r="F27" s="16"/>
      <c r="G27" s="16"/>
      <c r="H27" s="176" t="s">
        <v>5186</v>
      </c>
      <c r="I27" s="54">
        <v>3.41</v>
      </c>
      <c r="J27" s="51" t="s">
        <v>59</v>
      </c>
      <c r="K27" s="52">
        <v>2.63E-2</v>
      </c>
      <c r="L27" s="53" t="s">
        <v>3107</v>
      </c>
      <c r="P27" s="1064"/>
      <c r="Q27" s="201" t="s">
        <v>65</v>
      </c>
      <c r="R27" s="202" t="s">
        <v>5017</v>
      </c>
      <c r="S27" s="16" t="s">
        <v>65</v>
      </c>
      <c r="T27" s="16"/>
      <c r="U27" s="16"/>
      <c r="V27" s="176" t="s">
        <v>5186</v>
      </c>
      <c r="W27" s="54">
        <v>3.23</v>
      </c>
      <c r="X27" s="51" t="s">
        <v>59</v>
      </c>
      <c r="Y27" s="52">
        <v>2.64E-2</v>
      </c>
      <c r="Z27" s="53" t="s">
        <v>3107</v>
      </c>
    </row>
    <row r="28" spans="2:26">
      <c r="B28" s="1061"/>
      <c r="C28" s="201"/>
      <c r="D28" s="202" t="s">
        <v>5017</v>
      </c>
      <c r="E28" s="19" t="s">
        <v>5034</v>
      </c>
      <c r="F28" s="216"/>
      <c r="G28" s="216"/>
      <c r="H28" s="176" t="s">
        <v>5186</v>
      </c>
      <c r="I28" s="61" t="s">
        <v>5217</v>
      </c>
      <c r="J28" s="62"/>
      <c r="K28" s="61" t="s">
        <v>5217</v>
      </c>
      <c r="L28" s="62"/>
      <c r="P28" s="1064"/>
      <c r="Q28" s="201" t="s">
        <v>5034</v>
      </c>
      <c r="R28" s="202" t="s">
        <v>5017</v>
      </c>
      <c r="S28" s="19" t="s">
        <v>5034</v>
      </c>
      <c r="T28" s="216"/>
      <c r="U28" s="216"/>
      <c r="V28" s="176" t="s">
        <v>5186</v>
      </c>
      <c r="W28" s="54">
        <v>3.45</v>
      </c>
      <c r="X28" s="51" t="s">
        <v>59</v>
      </c>
      <c r="Y28" s="52">
        <v>2.64E-2</v>
      </c>
      <c r="Z28" s="53" t="s">
        <v>3107</v>
      </c>
    </row>
    <row r="29" spans="2:26">
      <c r="B29" s="1061"/>
      <c r="C29" s="201" t="s">
        <v>66</v>
      </c>
      <c r="D29" s="202" t="s">
        <v>5017</v>
      </c>
      <c r="E29" s="16" t="s">
        <v>66</v>
      </c>
      <c r="F29" s="16"/>
      <c r="G29" s="16"/>
      <c r="H29" s="176" t="s">
        <v>5186</v>
      </c>
      <c r="I29" s="54">
        <v>8.41</v>
      </c>
      <c r="J29" s="51" t="s">
        <v>59</v>
      </c>
      <c r="K29" s="52">
        <v>3.8399999999999997E-2</v>
      </c>
      <c r="L29" s="53" t="s">
        <v>3107</v>
      </c>
      <c r="P29" s="1064"/>
      <c r="Q29" s="201" t="s">
        <v>66</v>
      </c>
      <c r="R29" s="202" t="s">
        <v>5017</v>
      </c>
      <c r="S29" s="16" t="s">
        <v>66</v>
      </c>
      <c r="T29" s="16"/>
      <c r="U29" s="16"/>
      <c r="V29" s="176" t="s">
        <v>5186</v>
      </c>
      <c r="W29" s="54">
        <v>7.53</v>
      </c>
      <c r="X29" s="51" t="s">
        <v>59</v>
      </c>
      <c r="Y29" s="52">
        <v>4.2000000000000003E-2</v>
      </c>
      <c r="Z29" s="53" t="s">
        <v>3107</v>
      </c>
    </row>
    <row r="30" spans="2:26">
      <c r="B30" s="1061"/>
      <c r="C30" s="201" t="s">
        <v>5221</v>
      </c>
      <c r="D30" s="202" t="s">
        <v>5017</v>
      </c>
      <c r="E30" s="16" t="s">
        <v>67</v>
      </c>
      <c r="F30" s="16"/>
      <c r="G30" s="16"/>
      <c r="H30" s="176" t="s">
        <v>5188</v>
      </c>
      <c r="I30" s="50">
        <v>45</v>
      </c>
      <c r="J30" s="51" t="s">
        <v>59</v>
      </c>
      <c r="K30" s="52">
        <v>1.3599999999999999E-2</v>
      </c>
      <c r="L30" s="53" t="s">
        <v>3107</v>
      </c>
      <c r="P30" s="1064"/>
      <c r="Q30" s="201" t="s">
        <v>5221</v>
      </c>
      <c r="R30" s="202" t="s">
        <v>5017</v>
      </c>
      <c r="S30" s="16" t="s">
        <v>67</v>
      </c>
      <c r="T30" s="16"/>
      <c r="U30" s="16"/>
      <c r="V30" s="176" t="s">
        <v>5188</v>
      </c>
      <c r="W30" s="50">
        <v>45</v>
      </c>
      <c r="X30" s="51" t="s">
        <v>59</v>
      </c>
      <c r="Y30" s="52">
        <v>1.4E-2</v>
      </c>
      <c r="Z30" s="53" t="s">
        <v>5314</v>
      </c>
    </row>
    <row r="31" spans="2:26">
      <c r="B31" s="1062"/>
      <c r="C31" s="203" t="s">
        <v>5222</v>
      </c>
      <c r="D31" s="204" t="s">
        <v>5017</v>
      </c>
      <c r="E31" s="55" t="s">
        <v>3106</v>
      </c>
      <c r="F31" s="55"/>
      <c r="G31" s="55"/>
      <c r="H31" s="177" t="s">
        <v>68</v>
      </c>
      <c r="I31" s="56">
        <v>1</v>
      </c>
      <c r="J31" s="57" t="s">
        <v>69</v>
      </c>
      <c r="K31" s="58">
        <v>5.7000000000000002E-2</v>
      </c>
      <c r="L31" s="57" t="s">
        <v>5315</v>
      </c>
      <c r="P31" s="1065"/>
      <c r="Q31" s="203" t="s">
        <v>5222</v>
      </c>
      <c r="R31" s="204" t="s">
        <v>5017</v>
      </c>
      <c r="S31" s="55" t="s">
        <v>3106</v>
      </c>
      <c r="T31" s="55"/>
      <c r="U31" s="55"/>
      <c r="V31" s="177" t="s">
        <v>68</v>
      </c>
      <c r="W31" s="56">
        <v>1.19</v>
      </c>
      <c r="X31" s="57" t="s">
        <v>69</v>
      </c>
      <c r="Y31" s="61" t="s">
        <v>5217</v>
      </c>
      <c r="Z31" s="62"/>
    </row>
    <row r="32" spans="2:26">
      <c r="B32" s="1052" t="s">
        <v>5061</v>
      </c>
      <c r="C32" s="199" t="s">
        <v>5062</v>
      </c>
      <c r="D32" s="200" t="s">
        <v>5018</v>
      </c>
      <c r="E32" s="59" t="s">
        <v>5062</v>
      </c>
      <c r="F32" s="59"/>
      <c r="G32" s="59"/>
      <c r="H32" s="178" t="s">
        <v>5035</v>
      </c>
      <c r="I32" s="80" t="s">
        <v>5217</v>
      </c>
      <c r="J32" s="81"/>
      <c r="K32" s="80" t="s">
        <v>5217</v>
      </c>
      <c r="L32" s="81"/>
      <c r="P32" s="1055" t="s">
        <v>5061</v>
      </c>
      <c r="Q32" s="199" t="s">
        <v>5062</v>
      </c>
      <c r="R32" s="200" t="s">
        <v>5018</v>
      </c>
      <c r="S32" s="59" t="s">
        <v>5062</v>
      </c>
      <c r="T32" s="59"/>
      <c r="U32" s="59"/>
      <c r="V32" s="178" t="s">
        <v>5035</v>
      </c>
      <c r="W32" s="60">
        <v>13.6</v>
      </c>
      <c r="X32" s="46" t="s">
        <v>5063</v>
      </c>
      <c r="Y32" s="80" t="s">
        <v>5217</v>
      </c>
      <c r="Z32" s="81"/>
    </row>
    <row r="33" spans="2:26">
      <c r="B33" s="1053"/>
      <c r="C33" s="201" t="s">
        <v>5064</v>
      </c>
      <c r="D33" s="202" t="s">
        <v>5018</v>
      </c>
      <c r="E33" s="63" t="s">
        <v>5064</v>
      </c>
      <c r="F33" s="63"/>
      <c r="G33" s="63"/>
      <c r="H33" s="179" t="s">
        <v>5035</v>
      </c>
      <c r="I33" s="61" t="s">
        <v>5217</v>
      </c>
      <c r="J33" s="62"/>
      <c r="K33" s="61" t="s">
        <v>5217</v>
      </c>
      <c r="L33" s="62"/>
      <c r="P33" s="1056"/>
      <c r="Q33" s="201" t="s">
        <v>5064</v>
      </c>
      <c r="R33" s="202" t="s">
        <v>5018</v>
      </c>
      <c r="S33" s="63" t="s">
        <v>5064</v>
      </c>
      <c r="T33" s="63"/>
      <c r="U33" s="63"/>
      <c r="V33" s="179" t="s">
        <v>5035</v>
      </c>
      <c r="W33" s="64">
        <v>13.2</v>
      </c>
      <c r="X33" s="51" t="s">
        <v>5063</v>
      </c>
      <c r="Y33" s="61" t="s">
        <v>5217</v>
      </c>
      <c r="Z33" s="62"/>
    </row>
    <row r="34" spans="2:26">
      <c r="B34" s="1053"/>
      <c r="C34" s="201" t="s">
        <v>5065</v>
      </c>
      <c r="D34" s="202" t="s">
        <v>5018</v>
      </c>
      <c r="E34" s="63" t="s">
        <v>5065</v>
      </c>
      <c r="F34" s="63"/>
      <c r="G34" s="63"/>
      <c r="H34" s="179" t="s">
        <v>5035</v>
      </c>
      <c r="I34" s="61" t="s">
        <v>5217</v>
      </c>
      <c r="J34" s="62"/>
      <c r="K34" s="61" t="s">
        <v>5217</v>
      </c>
      <c r="L34" s="62"/>
      <c r="P34" s="1056"/>
      <c r="Q34" s="201" t="s">
        <v>5065</v>
      </c>
      <c r="R34" s="202" t="s">
        <v>5018</v>
      </c>
      <c r="S34" s="63" t="s">
        <v>5065</v>
      </c>
      <c r="T34" s="63"/>
      <c r="U34" s="63"/>
      <c r="V34" s="179" t="s">
        <v>5035</v>
      </c>
      <c r="W34" s="64">
        <v>17.100000000000001</v>
      </c>
      <c r="X34" s="51" t="s">
        <v>5063</v>
      </c>
      <c r="Y34" s="61" t="s">
        <v>5217</v>
      </c>
      <c r="Z34" s="62"/>
    </row>
    <row r="35" spans="2:26">
      <c r="B35" s="1053"/>
      <c r="C35" s="201" t="s">
        <v>5066</v>
      </c>
      <c r="D35" s="202" t="s">
        <v>5018</v>
      </c>
      <c r="E35" s="63" t="s">
        <v>5066</v>
      </c>
      <c r="F35" s="63"/>
      <c r="G35" s="63"/>
      <c r="H35" s="179" t="s">
        <v>5036</v>
      </c>
      <c r="I35" s="61" t="s">
        <v>5217</v>
      </c>
      <c r="J35" s="62"/>
      <c r="K35" s="61" t="s">
        <v>5217</v>
      </c>
      <c r="L35" s="62"/>
      <c r="P35" s="1056"/>
      <c r="Q35" s="201" t="s">
        <v>5066</v>
      </c>
      <c r="R35" s="202" t="s">
        <v>5018</v>
      </c>
      <c r="S35" s="63" t="s">
        <v>5066</v>
      </c>
      <c r="T35" s="63"/>
      <c r="U35" s="63"/>
      <c r="V35" s="179" t="s">
        <v>5036</v>
      </c>
      <c r="W35" s="64">
        <v>23.4</v>
      </c>
      <c r="X35" s="51" t="s">
        <v>5067</v>
      </c>
      <c r="Y35" s="61" t="s">
        <v>5217</v>
      </c>
      <c r="Z35" s="62"/>
    </row>
    <row r="36" spans="2:26">
      <c r="B36" s="1053"/>
      <c r="C36" s="201" t="s">
        <v>5068</v>
      </c>
      <c r="D36" s="202" t="s">
        <v>5018</v>
      </c>
      <c r="E36" s="63" t="s">
        <v>5068</v>
      </c>
      <c r="F36" s="63"/>
      <c r="G36" s="63"/>
      <c r="H36" s="179" t="s">
        <v>5036</v>
      </c>
      <c r="I36" s="61" t="s">
        <v>5217</v>
      </c>
      <c r="J36" s="62"/>
      <c r="K36" s="61" t="s">
        <v>5217</v>
      </c>
      <c r="L36" s="62"/>
      <c r="P36" s="1056"/>
      <c r="Q36" s="201" t="s">
        <v>5068</v>
      </c>
      <c r="R36" s="202" t="s">
        <v>5018</v>
      </c>
      <c r="S36" s="63" t="s">
        <v>5068</v>
      </c>
      <c r="T36" s="63"/>
      <c r="U36" s="63"/>
      <c r="V36" s="179" t="s">
        <v>5036</v>
      </c>
      <c r="W36" s="64">
        <v>35.6</v>
      </c>
      <c r="X36" s="51" t="s">
        <v>5067</v>
      </c>
      <c r="Y36" s="61" t="s">
        <v>5217</v>
      </c>
      <c r="Z36" s="62"/>
    </row>
    <row r="37" spans="2:26">
      <c r="B37" s="1053"/>
      <c r="C37" s="201" t="s">
        <v>5069</v>
      </c>
      <c r="D37" s="202" t="s">
        <v>5018</v>
      </c>
      <c r="E37" s="63" t="s">
        <v>5069</v>
      </c>
      <c r="F37" s="63"/>
      <c r="G37" s="63"/>
      <c r="H37" s="179" t="s">
        <v>5038</v>
      </c>
      <c r="I37" s="61" t="s">
        <v>5217</v>
      </c>
      <c r="J37" s="62"/>
      <c r="K37" s="61" t="s">
        <v>5217</v>
      </c>
      <c r="L37" s="62"/>
      <c r="P37" s="1056"/>
      <c r="Q37" s="201" t="s">
        <v>5069</v>
      </c>
      <c r="R37" s="202" t="s">
        <v>5018</v>
      </c>
      <c r="S37" s="63" t="s">
        <v>5069</v>
      </c>
      <c r="T37" s="63"/>
      <c r="U37" s="63"/>
      <c r="V37" s="179" t="s">
        <v>5038</v>
      </c>
      <c r="W37" s="64">
        <v>21.2</v>
      </c>
      <c r="X37" s="51" t="s">
        <v>5070</v>
      </c>
      <c r="Y37" s="61" t="s">
        <v>5217</v>
      </c>
      <c r="Z37" s="62"/>
    </row>
    <row r="38" spans="2:26">
      <c r="B38" s="1053"/>
      <c r="C38" s="201" t="s">
        <v>5071</v>
      </c>
      <c r="D38" s="202" t="s">
        <v>5018</v>
      </c>
      <c r="E38" s="63" t="s">
        <v>5071</v>
      </c>
      <c r="F38" s="63"/>
      <c r="G38" s="63"/>
      <c r="H38" s="179" t="s">
        <v>5035</v>
      </c>
      <c r="I38" s="61" t="s">
        <v>5217</v>
      </c>
      <c r="J38" s="62"/>
      <c r="K38" s="61" t="s">
        <v>5217</v>
      </c>
      <c r="L38" s="62"/>
      <c r="P38" s="1056"/>
      <c r="Q38" s="201" t="s">
        <v>5071</v>
      </c>
      <c r="R38" s="202" t="s">
        <v>5018</v>
      </c>
      <c r="S38" s="63" t="s">
        <v>5071</v>
      </c>
      <c r="T38" s="63"/>
      <c r="U38" s="63"/>
      <c r="V38" s="179" t="s">
        <v>5035</v>
      </c>
      <c r="W38" s="64">
        <v>13.2</v>
      </c>
      <c r="X38" s="51" t="s">
        <v>5063</v>
      </c>
      <c r="Y38" s="61" t="s">
        <v>5217</v>
      </c>
      <c r="Z38" s="62"/>
    </row>
    <row r="39" spans="2:26">
      <c r="B39" s="1053"/>
      <c r="C39" s="201" t="s">
        <v>5072</v>
      </c>
      <c r="D39" s="202" t="s">
        <v>5018</v>
      </c>
      <c r="E39" s="63" t="s">
        <v>5072</v>
      </c>
      <c r="F39" s="63"/>
      <c r="G39" s="63"/>
      <c r="H39" s="179" t="s">
        <v>5035</v>
      </c>
      <c r="I39" s="61" t="s">
        <v>5217</v>
      </c>
      <c r="J39" s="62"/>
      <c r="K39" s="61" t="s">
        <v>5217</v>
      </c>
      <c r="L39" s="62"/>
      <c r="P39" s="1056"/>
      <c r="Q39" s="201" t="s">
        <v>5072</v>
      </c>
      <c r="R39" s="202" t="s">
        <v>5018</v>
      </c>
      <c r="S39" s="63" t="s">
        <v>5072</v>
      </c>
      <c r="T39" s="63"/>
      <c r="U39" s="63"/>
      <c r="V39" s="179" t="s">
        <v>5035</v>
      </c>
      <c r="W39" s="64">
        <v>18</v>
      </c>
      <c r="X39" s="51" t="s">
        <v>5063</v>
      </c>
      <c r="Y39" s="52">
        <v>1.6199999999999999E-2</v>
      </c>
      <c r="Z39" s="51" t="s">
        <v>3107</v>
      </c>
    </row>
    <row r="40" spans="2:26">
      <c r="B40" s="1053"/>
      <c r="C40" s="201" t="s">
        <v>5073</v>
      </c>
      <c r="D40" s="202" t="s">
        <v>5018</v>
      </c>
      <c r="E40" s="63" t="s">
        <v>5073</v>
      </c>
      <c r="F40" s="63"/>
      <c r="G40" s="63"/>
      <c r="H40" s="179" t="s">
        <v>5035</v>
      </c>
      <c r="I40" s="61" t="s">
        <v>5217</v>
      </c>
      <c r="J40" s="62"/>
      <c r="K40" s="61" t="s">
        <v>5217</v>
      </c>
      <c r="L40" s="62"/>
      <c r="P40" s="1056"/>
      <c r="Q40" s="201" t="s">
        <v>5073</v>
      </c>
      <c r="R40" s="202" t="s">
        <v>5018</v>
      </c>
      <c r="S40" s="63" t="s">
        <v>5073</v>
      </c>
      <c r="T40" s="63"/>
      <c r="U40" s="63"/>
      <c r="V40" s="179" t="s">
        <v>5035</v>
      </c>
      <c r="W40" s="64">
        <v>26.9</v>
      </c>
      <c r="X40" s="51" t="s">
        <v>5063</v>
      </c>
      <c r="Y40" s="52">
        <v>1.66E-2</v>
      </c>
      <c r="Z40" s="51" t="s">
        <v>3107</v>
      </c>
    </row>
    <row r="41" spans="2:26">
      <c r="B41" s="1053"/>
      <c r="C41" s="201" t="s">
        <v>5074</v>
      </c>
      <c r="D41" s="202" t="s">
        <v>5018</v>
      </c>
      <c r="E41" s="63" t="s">
        <v>5074</v>
      </c>
      <c r="F41" s="63"/>
      <c r="G41" s="63"/>
      <c r="H41" s="179" t="s">
        <v>5035</v>
      </c>
      <c r="I41" s="61" t="s">
        <v>5217</v>
      </c>
      <c r="J41" s="62"/>
      <c r="K41" s="61" t="s">
        <v>5217</v>
      </c>
      <c r="L41" s="62"/>
      <c r="P41" s="1056"/>
      <c r="Q41" s="201" t="s">
        <v>5074</v>
      </c>
      <c r="R41" s="202" t="s">
        <v>5018</v>
      </c>
      <c r="S41" s="63" t="s">
        <v>5074</v>
      </c>
      <c r="T41" s="63"/>
      <c r="U41" s="63"/>
      <c r="V41" s="179" t="s">
        <v>5035</v>
      </c>
      <c r="W41" s="64">
        <v>33.200000000000003</v>
      </c>
      <c r="X41" s="51" t="s">
        <v>5063</v>
      </c>
      <c r="Y41" s="52">
        <v>1.35E-2</v>
      </c>
      <c r="Z41" s="51" t="s">
        <v>3107</v>
      </c>
    </row>
    <row r="42" spans="2:26">
      <c r="B42" s="1053"/>
      <c r="C42" s="201" t="s">
        <v>5223</v>
      </c>
      <c r="D42" s="202" t="s">
        <v>5018</v>
      </c>
      <c r="E42" s="1058" t="s">
        <v>5075</v>
      </c>
      <c r="F42" s="25" t="s">
        <v>5039</v>
      </c>
      <c r="G42" s="63"/>
      <c r="H42" s="179" t="s">
        <v>5035</v>
      </c>
      <c r="I42" s="61" t="s">
        <v>5217</v>
      </c>
      <c r="J42" s="62"/>
      <c r="K42" s="61" t="s">
        <v>5217</v>
      </c>
      <c r="L42" s="62"/>
      <c r="P42" s="1056"/>
      <c r="Q42" s="201" t="s">
        <v>5223</v>
      </c>
      <c r="R42" s="202" t="s">
        <v>5018</v>
      </c>
      <c r="S42" s="1058" t="s">
        <v>5075</v>
      </c>
      <c r="T42" s="25" t="s">
        <v>5039</v>
      </c>
      <c r="U42" s="63"/>
      <c r="V42" s="179" t="s">
        <v>5035</v>
      </c>
      <c r="W42" s="64">
        <v>29.3</v>
      </c>
      <c r="X42" s="51" t="s">
        <v>5063</v>
      </c>
      <c r="Y42" s="52">
        <v>2.5700000000000001E-2</v>
      </c>
      <c r="Z42" s="51" t="s">
        <v>3107</v>
      </c>
    </row>
    <row r="43" spans="2:26">
      <c r="B43" s="1053"/>
      <c r="C43" s="201" t="s">
        <v>5224</v>
      </c>
      <c r="D43" s="202" t="s">
        <v>5018</v>
      </c>
      <c r="E43" s="1059"/>
      <c r="F43" s="25" t="s">
        <v>5040</v>
      </c>
      <c r="G43" s="63"/>
      <c r="H43" s="179" t="s">
        <v>5035</v>
      </c>
      <c r="I43" s="61" t="s">
        <v>5217</v>
      </c>
      <c r="J43" s="62"/>
      <c r="K43" s="61" t="s">
        <v>5217</v>
      </c>
      <c r="L43" s="62"/>
      <c r="P43" s="1056"/>
      <c r="Q43" s="201" t="s">
        <v>5224</v>
      </c>
      <c r="R43" s="202" t="s">
        <v>5018</v>
      </c>
      <c r="S43" s="1059"/>
      <c r="T43" s="25" t="s">
        <v>5040</v>
      </c>
      <c r="U43" s="63"/>
      <c r="V43" s="179" t="s">
        <v>5035</v>
      </c>
      <c r="W43" s="180">
        <v>29.3</v>
      </c>
      <c r="X43" s="51" t="s">
        <v>5063</v>
      </c>
      <c r="Y43" s="181">
        <v>2.3900000000000001E-2</v>
      </c>
      <c r="Z43" s="51" t="s">
        <v>3107</v>
      </c>
    </row>
    <row r="44" spans="2:26">
      <c r="B44" s="1053"/>
      <c r="C44" s="201" t="s">
        <v>5078</v>
      </c>
      <c r="D44" s="202" t="s">
        <v>5018</v>
      </c>
      <c r="E44" s="63" t="s">
        <v>5078</v>
      </c>
      <c r="F44" s="63"/>
      <c r="G44" s="63"/>
      <c r="H44" s="179" t="s">
        <v>5036</v>
      </c>
      <c r="I44" s="61" t="s">
        <v>5217</v>
      </c>
      <c r="J44" s="62"/>
      <c r="K44" s="61" t="s">
        <v>5217</v>
      </c>
      <c r="L44" s="62"/>
      <c r="P44" s="1056"/>
      <c r="Q44" s="201" t="s">
        <v>5078</v>
      </c>
      <c r="R44" s="202" t="s">
        <v>5018</v>
      </c>
      <c r="S44" s="63" t="s">
        <v>5078</v>
      </c>
      <c r="T44" s="63"/>
      <c r="U44" s="63"/>
      <c r="V44" s="179" t="s">
        <v>5036</v>
      </c>
      <c r="W44" s="64">
        <v>40.200000000000003</v>
      </c>
      <c r="X44" s="51" t="s">
        <v>5067</v>
      </c>
      <c r="Y44" s="52">
        <v>1.7899999999999999E-2</v>
      </c>
      <c r="Z44" s="51" t="s">
        <v>3107</v>
      </c>
    </row>
    <row r="45" spans="2:26">
      <c r="B45" s="1053"/>
      <c r="C45" s="201" t="s">
        <v>5079</v>
      </c>
      <c r="D45" s="202" t="s">
        <v>5018</v>
      </c>
      <c r="E45" s="63" t="s">
        <v>5079</v>
      </c>
      <c r="F45" s="63"/>
      <c r="G45" s="63"/>
      <c r="H45" s="179" t="s">
        <v>5038</v>
      </c>
      <c r="I45" s="61" t="s">
        <v>5217</v>
      </c>
      <c r="J45" s="62"/>
      <c r="K45" s="61" t="s">
        <v>5217</v>
      </c>
      <c r="L45" s="62"/>
      <c r="P45" s="1056"/>
      <c r="Q45" s="201" t="s">
        <v>5079</v>
      </c>
      <c r="R45" s="202" t="s">
        <v>5018</v>
      </c>
      <c r="S45" s="63" t="s">
        <v>5079</v>
      </c>
      <c r="T45" s="63"/>
      <c r="U45" s="63"/>
      <c r="V45" s="179" t="s">
        <v>5038</v>
      </c>
      <c r="W45" s="64">
        <v>21.2</v>
      </c>
      <c r="X45" s="51" t="s">
        <v>5070</v>
      </c>
      <c r="Y45" s="61" t="s">
        <v>5217</v>
      </c>
      <c r="Z45" s="62"/>
    </row>
    <row r="46" spans="2:26">
      <c r="B46" s="1053"/>
      <c r="C46" s="201" t="s">
        <v>5080</v>
      </c>
      <c r="D46" s="202" t="s">
        <v>5018</v>
      </c>
      <c r="E46" s="63" t="s">
        <v>5080</v>
      </c>
      <c r="F46" s="63"/>
      <c r="G46" s="63"/>
      <c r="H46" s="179" t="s">
        <v>5035</v>
      </c>
      <c r="I46" s="61" t="s">
        <v>5217</v>
      </c>
      <c r="J46" s="62"/>
      <c r="K46" s="61" t="s">
        <v>5217</v>
      </c>
      <c r="L46" s="62"/>
      <c r="P46" s="1056"/>
      <c r="Q46" s="201" t="s">
        <v>5080</v>
      </c>
      <c r="R46" s="202" t="s">
        <v>5018</v>
      </c>
      <c r="S46" s="63" t="s">
        <v>5080</v>
      </c>
      <c r="T46" s="63"/>
      <c r="U46" s="63"/>
      <c r="V46" s="179" t="s">
        <v>5035</v>
      </c>
      <c r="W46" s="64">
        <v>17.100000000000001</v>
      </c>
      <c r="X46" s="51" t="s">
        <v>5063</v>
      </c>
      <c r="Y46" s="61" t="s">
        <v>5217</v>
      </c>
      <c r="Z46" s="62"/>
    </row>
    <row r="47" spans="2:26">
      <c r="B47" s="1053"/>
      <c r="C47" s="201" t="s">
        <v>5081</v>
      </c>
      <c r="D47" s="202" t="s">
        <v>5018</v>
      </c>
      <c r="E47" s="63" t="s">
        <v>5081</v>
      </c>
      <c r="F47" s="63"/>
      <c r="G47" s="63"/>
      <c r="H47" s="179" t="s">
        <v>5035</v>
      </c>
      <c r="I47" s="61" t="s">
        <v>5217</v>
      </c>
      <c r="J47" s="62"/>
      <c r="K47" s="61" t="s">
        <v>5217</v>
      </c>
      <c r="L47" s="62"/>
      <c r="P47" s="1056"/>
      <c r="Q47" s="201" t="s">
        <v>5081</v>
      </c>
      <c r="R47" s="202" t="s">
        <v>5018</v>
      </c>
      <c r="S47" s="63" t="s">
        <v>5081</v>
      </c>
      <c r="T47" s="63"/>
      <c r="U47" s="63"/>
      <c r="V47" s="179" t="s">
        <v>5035</v>
      </c>
      <c r="W47" s="64">
        <v>142</v>
      </c>
      <c r="X47" s="51" t="s">
        <v>5063</v>
      </c>
      <c r="Y47" s="61" t="s">
        <v>5217</v>
      </c>
      <c r="Z47" s="62"/>
    </row>
    <row r="48" spans="2:26">
      <c r="B48" s="1054"/>
      <c r="C48" s="203" t="s">
        <v>5082</v>
      </c>
      <c r="D48" s="204" t="s">
        <v>5018</v>
      </c>
      <c r="E48" s="65" t="s">
        <v>5082</v>
      </c>
      <c r="F48" s="65"/>
      <c r="G48" s="65"/>
      <c r="H48" s="182" t="s">
        <v>5035</v>
      </c>
      <c r="I48" s="61" t="s">
        <v>5217</v>
      </c>
      <c r="J48" s="62"/>
      <c r="K48" s="61" t="s">
        <v>5217</v>
      </c>
      <c r="L48" s="62"/>
      <c r="P48" s="1057"/>
      <c r="Q48" s="203" t="s">
        <v>5082</v>
      </c>
      <c r="R48" s="204" t="s">
        <v>5018</v>
      </c>
      <c r="S48" s="65" t="s">
        <v>5082</v>
      </c>
      <c r="T48" s="65"/>
      <c r="U48" s="65"/>
      <c r="V48" s="182" t="s">
        <v>5035</v>
      </c>
      <c r="W48" s="66">
        <v>22.5</v>
      </c>
      <c r="X48" s="57" t="s">
        <v>5063</v>
      </c>
      <c r="Y48" s="61" t="s">
        <v>5217</v>
      </c>
      <c r="Z48" s="62"/>
    </row>
    <row r="49" spans="2:26">
      <c r="B49" s="1037" t="s">
        <v>5083</v>
      </c>
      <c r="C49" s="205" t="s">
        <v>123</v>
      </c>
      <c r="D49" s="206" t="s">
        <v>5083</v>
      </c>
      <c r="E49" s="67" t="s">
        <v>123</v>
      </c>
      <c r="F49" s="10"/>
      <c r="G49" s="10"/>
      <c r="H49" s="68" t="s">
        <v>68</v>
      </c>
      <c r="I49" s="69">
        <v>1.02</v>
      </c>
      <c r="J49" s="37" t="s">
        <v>69</v>
      </c>
      <c r="K49" s="190">
        <v>0.06</v>
      </c>
      <c r="L49" s="37" t="s">
        <v>5315</v>
      </c>
      <c r="P49" s="1037" t="s">
        <v>5083</v>
      </c>
      <c r="Q49" s="205" t="s">
        <v>5225</v>
      </c>
      <c r="R49" s="206" t="s">
        <v>5083</v>
      </c>
      <c r="S49" s="10" t="s">
        <v>123</v>
      </c>
      <c r="T49" s="10"/>
      <c r="U49" s="10"/>
      <c r="V49" s="68" t="s">
        <v>68</v>
      </c>
      <c r="W49" s="69">
        <v>1.17</v>
      </c>
      <c r="X49" s="37" t="s">
        <v>69</v>
      </c>
      <c r="Y49" s="192">
        <v>6.54E-2</v>
      </c>
      <c r="Z49" s="37" t="s">
        <v>5315</v>
      </c>
    </row>
    <row r="50" spans="2:26">
      <c r="B50" s="1038"/>
      <c r="C50" s="207" t="s">
        <v>133</v>
      </c>
      <c r="D50" s="208" t="s">
        <v>5083</v>
      </c>
      <c r="E50" s="70" t="s">
        <v>133</v>
      </c>
      <c r="F50" s="16"/>
      <c r="G50" s="16"/>
      <c r="H50" s="71" t="s">
        <v>68</v>
      </c>
      <c r="I50" s="72">
        <v>1.36</v>
      </c>
      <c r="J50" s="38" t="s">
        <v>69</v>
      </c>
      <c r="K50" s="191">
        <v>5.7000000000000002E-2</v>
      </c>
      <c r="L50" s="38" t="s">
        <v>5315</v>
      </c>
      <c r="P50" s="1038"/>
      <c r="Q50" s="207" t="s">
        <v>5226</v>
      </c>
      <c r="R50" s="208" t="s">
        <v>5083</v>
      </c>
      <c r="S50" s="16" t="s">
        <v>133</v>
      </c>
      <c r="T50" s="16"/>
      <c r="U50" s="16"/>
      <c r="V50" s="71" t="s">
        <v>68</v>
      </c>
      <c r="W50" s="72">
        <v>1.19</v>
      </c>
      <c r="X50" s="38" t="s">
        <v>69</v>
      </c>
      <c r="Y50" s="61" t="s">
        <v>5217</v>
      </c>
      <c r="Z50" s="62"/>
    </row>
    <row r="51" spans="2:26">
      <c r="B51" s="1038"/>
      <c r="C51" s="207" t="s">
        <v>70</v>
      </c>
      <c r="D51" s="208" t="s">
        <v>5083</v>
      </c>
      <c r="E51" s="70" t="s">
        <v>70</v>
      </c>
      <c r="F51" s="16"/>
      <c r="G51" s="16"/>
      <c r="H51" s="71" t="s">
        <v>68</v>
      </c>
      <c r="I51" s="72">
        <v>1.36</v>
      </c>
      <c r="J51" s="38" t="s">
        <v>69</v>
      </c>
      <c r="K51" s="191">
        <v>5.7000000000000002E-2</v>
      </c>
      <c r="L51" s="38" t="s">
        <v>5315</v>
      </c>
      <c r="P51" s="1038"/>
      <c r="Q51" s="207" t="s">
        <v>5227</v>
      </c>
      <c r="R51" s="208" t="s">
        <v>5083</v>
      </c>
      <c r="S51" s="16" t="s">
        <v>70</v>
      </c>
      <c r="T51" s="16"/>
      <c r="U51" s="16"/>
      <c r="V51" s="71" t="s">
        <v>68</v>
      </c>
      <c r="W51" s="72">
        <v>1.19</v>
      </c>
      <c r="X51" s="38" t="s">
        <v>69</v>
      </c>
      <c r="Y51" s="61" t="s">
        <v>5217</v>
      </c>
      <c r="Z51" s="62"/>
    </row>
    <row r="52" spans="2:26">
      <c r="B52" s="1038"/>
      <c r="C52" s="207" t="s">
        <v>71</v>
      </c>
      <c r="D52" s="208" t="s">
        <v>5083</v>
      </c>
      <c r="E52" s="70" t="s">
        <v>71</v>
      </c>
      <c r="F52" s="16"/>
      <c r="G52" s="16"/>
      <c r="H52" s="71" t="s">
        <v>68</v>
      </c>
      <c r="I52" s="72">
        <v>1.36</v>
      </c>
      <c r="J52" s="38" t="s">
        <v>69</v>
      </c>
      <c r="K52" s="191">
        <v>5.7000000000000002E-2</v>
      </c>
      <c r="L52" s="38" t="s">
        <v>5315</v>
      </c>
      <c r="P52" s="1038"/>
      <c r="Q52" s="207" t="s">
        <v>5228</v>
      </c>
      <c r="R52" s="208" t="s">
        <v>5083</v>
      </c>
      <c r="S52" s="16" t="s">
        <v>71</v>
      </c>
      <c r="T52" s="16"/>
      <c r="U52" s="16"/>
      <c r="V52" s="71" t="s">
        <v>68</v>
      </c>
      <c r="W52" s="72">
        <v>1.19</v>
      </c>
      <c r="X52" s="38" t="s">
        <v>69</v>
      </c>
      <c r="Y52" s="61" t="s">
        <v>5217</v>
      </c>
      <c r="Z52" s="62"/>
    </row>
    <row r="53" spans="2:26">
      <c r="B53" s="1038"/>
      <c r="C53" s="207" t="s">
        <v>5229</v>
      </c>
      <c r="D53" s="208" t="s">
        <v>5083</v>
      </c>
      <c r="E53" s="70" t="s">
        <v>123</v>
      </c>
      <c r="F53" s="16"/>
      <c r="G53" s="16"/>
      <c r="H53" s="71" t="s">
        <v>68</v>
      </c>
      <c r="I53" s="61" t="s">
        <v>5217</v>
      </c>
      <c r="J53" s="62"/>
      <c r="K53" s="61" t="s">
        <v>5217</v>
      </c>
      <c r="L53" s="62"/>
      <c r="P53" s="1038"/>
      <c r="Q53" s="207" t="s">
        <v>5229</v>
      </c>
      <c r="R53" s="208" t="s">
        <v>5083</v>
      </c>
      <c r="S53" s="16" t="s">
        <v>123</v>
      </c>
      <c r="T53" s="16"/>
      <c r="U53" s="16"/>
      <c r="V53" s="71" t="s">
        <v>68</v>
      </c>
      <c r="W53" s="72">
        <v>1.17</v>
      </c>
      <c r="X53" s="38" t="s">
        <v>69</v>
      </c>
      <c r="Y53" s="61" t="s">
        <v>5217</v>
      </c>
      <c r="Z53" s="62"/>
    </row>
    <row r="54" spans="2:26">
      <c r="B54" s="1038"/>
      <c r="C54" s="207" t="s">
        <v>5230</v>
      </c>
      <c r="D54" s="208" t="s">
        <v>5083</v>
      </c>
      <c r="E54" s="70" t="s">
        <v>133</v>
      </c>
      <c r="F54" s="16"/>
      <c r="G54" s="16"/>
      <c r="H54" s="71" t="s">
        <v>68</v>
      </c>
      <c r="I54" s="61" t="s">
        <v>5217</v>
      </c>
      <c r="J54" s="62"/>
      <c r="K54" s="61" t="s">
        <v>5217</v>
      </c>
      <c r="L54" s="62"/>
      <c r="P54" s="1038"/>
      <c r="Q54" s="207" t="s">
        <v>5230</v>
      </c>
      <c r="R54" s="208" t="s">
        <v>5083</v>
      </c>
      <c r="S54" s="16" t="s">
        <v>133</v>
      </c>
      <c r="T54" s="16"/>
      <c r="U54" s="16"/>
      <c r="V54" s="71" t="s">
        <v>68</v>
      </c>
      <c r="W54" s="72">
        <v>1.19</v>
      </c>
      <c r="X54" s="38" t="s">
        <v>69</v>
      </c>
      <c r="Y54" s="61" t="s">
        <v>5217</v>
      </c>
      <c r="Z54" s="62"/>
    </row>
    <row r="55" spans="2:26">
      <c r="B55" s="1038"/>
      <c r="C55" s="207" t="s">
        <v>5231</v>
      </c>
      <c r="D55" s="208" t="s">
        <v>5083</v>
      </c>
      <c r="E55" s="70" t="s">
        <v>70</v>
      </c>
      <c r="F55" s="16"/>
      <c r="G55" s="16"/>
      <c r="H55" s="71" t="s">
        <v>68</v>
      </c>
      <c r="I55" s="61" t="s">
        <v>5217</v>
      </c>
      <c r="J55" s="62"/>
      <c r="K55" s="61" t="s">
        <v>5217</v>
      </c>
      <c r="L55" s="62"/>
      <c r="P55" s="1038"/>
      <c r="Q55" s="207" t="s">
        <v>5231</v>
      </c>
      <c r="R55" s="208" t="s">
        <v>5083</v>
      </c>
      <c r="S55" s="16" t="s">
        <v>70</v>
      </c>
      <c r="T55" s="16"/>
      <c r="U55" s="16"/>
      <c r="V55" s="71" t="s">
        <v>68</v>
      </c>
      <c r="W55" s="72">
        <v>1.19</v>
      </c>
      <c r="X55" s="38" t="s">
        <v>69</v>
      </c>
      <c r="Y55" s="61" t="s">
        <v>5217</v>
      </c>
      <c r="Z55" s="62"/>
    </row>
    <row r="56" spans="2:26">
      <c r="B56" s="1038"/>
      <c r="C56" s="207" t="s">
        <v>5232</v>
      </c>
      <c r="D56" s="208" t="s">
        <v>5083</v>
      </c>
      <c r="E56" s="70" t="s">
        <v>71</v>
      </c>
      <c r="F56" s="16"/>
      <c r="G56" s="16"/>
      <c r="H56" s="71" t="s">
        <v>68</v>
      </c>
      <c r="I56" s="61" t="s">
        <v>5217</v>
      </c>
      <c r="J56" s="62"/>
      <c r="K56" s="61" t="s">
        <v>5217</v>
      </c>
      <c r="L56" s="62"/>
      <c r="P56" s="1038"/>
      <c r="Q56" s="207" t="s">
        <v>5232</v>
      </c>
      <c r="R56" s="208" t="s">
        <v>5083</v>
      </c>
      <c r="S56" s="16" t="s">
        <v>71</v>
      </c>
      <c r="T56" s="16"/>
      <c r="U56" s="16"/>
      <c r="V56" s="71" t="s">
        <v>68</v>
      </c>
      <c r="W56" s="72">
        <v>1.19</v>
      </c>
      <c r="X56" s="38" t="s">
        <v>5233</v>
      </c>
      <c r="Y56" s="61" t="s">
        <v>5217</v>
      </c>
      <c r="Z56" s="62"/>
    </row>
    <row r="57" spans="2:26" ht="18" customHeight="1">
      <c r="B57" s="1038"/>
      <c r="C57" s="207" t="s">
        <v>5085</v>
      </c>
      <c r="D57" s="208" t="s">
        <v>5083</v>
      </c>
      <c r="E57" s="70" t="s">
        <v>5085</v>
      </c>
      <c r="F57" s="16"/>
      <c r="G57" s="16"/>
      <c r="H57" s="71" t="s">
        <v>68</v>
      </c>
      <c r="I57" s="61" t="s">
        <v>5217</v>
      </c>
      <c r="J57" s="62"/>
      <c r="K57" s="61" t="s">
        <v>5217</v>
      </c>
      <c r="L57" s="62"/>
      <c r="P57" s="1038"/>
      <c r="Q57" s="207" t="s">
        <v>5085</v>
      </c>
      <c r="R57" s="208" t="s">
        <v>5083</v>
      </c>
      <c r="S57" s="16" t="s">
        <v>5085</v>
      </c>
      <c r="T57" s="16"/>
      <c r="U57" s="16"/>
      <c r="V57" s="71" t="s">
        <v>68</v>
      </c>
      <c r="W57" s="61" t="s">
        <v>5217</v>
      </c>
      <c r="X57" s="62"/>
      <c r="Y57" s="61" t="s">
        <v>5217</v>
      </c>
      <c r="Z57" s="62"/>
    </row>
    <row r="58" spans="2:26">
      <c r="B58" s="1038"/>
      <c r="C58" s="207" t="s">
        <v>5086</v>
      </c>
      <c r="D58" s="208" t="s">
        <v>5083</v>
      </c>
      <c r="E58" s="70" t="s">
        <v>5086</v>
      </c>
      <c r="F58" s="16"/>
      <c r="G58" s="16"/>
      <c r="H58" s="71" t="s">
        <v>68</v>
      </c>
      <c r="I58" s="61" t="s">
        <v>5217</v>
      </c>
      <c r="J58" s="62"/>
      <c r="K58" s="61" t="s">
        <v>5217</v>
      </c>
      <c r="L58" s="62"/>
      <c r="P58" s="1038"/>
      <c r="Q58" s="207" t="s">
        <v>5086</v>
      </c>
      <c r="R58" s="208" t="s">
        <v>5083</v>
      </c>
      <c r="S58" s="16" t="s">
        <v>5086</v>
      </c>
      <c r="T58" s="16"/>
      <c r="U58" s="16"/>
      <c r="V58" s="71" t="s">
        <v>68</v>
      </c>
      <c r="W58" s="61" t="s">
        <v>5217</v>
      </c>
      <c r="X58" s="62"/>
      <c r="Y58" s="61" t="s">
        <v>5217</v>
      </c>
      <c r="Z58" s="62"/>
    </row>
    <row r="59" spans="2:26" ht="17.399999999999999" customHeight="1">
      <c r="B59" s="1038"/>
      <c r="C59" s="207" t="s">
        <v>5087</v>
      </c>
      <c r="D59" s="208" t="s">
        <v>5083</v>
      </c>
      <c r="E59" s="70" t="s">
        <v>5087</v>
      </c>
      <c r="F59" s="16"/>
      <c r="G59" s="16"/>
      <c r="H59" s="71" t="s">
        <v>68</v>
      </c>
      <c r="I59" s="61" t="s">
        <v>5217</v>
      </c>
      <c r="J59" s="62"/>
      <c r="K59" s="61" t="s">
        <v>5217</v>
      </c>
      <c r="L59" s="62"/>
      <c r="P59" s="1038"/>
      <c r="Q59" s="207" t="s">
        <v>5087</v>
      </c>
      <c r="R59" s="208" t="s">
        <v>5083</v>
      </c>
      <c r="S59" s="16" t="s">
        <v>5087</v>
      </c>
      <c r="T59" s="16"/>
      <c r="U59" s="16"/>
      <c r="V59" s="71" t="s">
        <v>68</v>
      </c>
      <c r="W59" s="61" t="s">
        <v>5217</v>
      </c>
      <c r="X59" s="62"/>
      <c r="Y59" s="61" t="s">
        <v>5217</v>
      </c>
      <c r="Z59" s="62"/>
    </row>
    <row r="60" spans="2:26" ht="17.399999999999999" customHeight="1">
      <c r="B60" s="1039"/>
      <c r="C60" s="209" t="s">
        <v>5088</v>
      </c>
      <c r="D60" s="210" t="s">
        <v>5083</v>
      </c>
      <c r="E60" s="73" t="s">
        <v>5088</v>
      </c>
      <c r="F60" s="55"/>
      <c r="G60" s="55"/>
      <c r="H60" s="74" t="s">
        <v>68</v>
      </c>
      <c r="I60" s="76" t="s">
        <v>5217</v>
      </c>
      <c r="J60" s="75"/>
      <c r="K60" s="76" t="s">
        <v>5217</v>
      </c>
      <c r="L60" s="75"/>
      <c r="P60" s="1039"/>
      <c r="Q60" s="209" t="s">
        <v>5088</v>
      </c>
      <c r="R60" s="210" t="s">
        <v>5083</v>
      </c>
      <c r="S60" s="55" t="s">
        <v>5088</v>
      </c>
      <c r="T60" s="55"/>
      <c r="U60" s="55"/>
      <c r="V60" s="74" t="s">
        <v>68</v>
      </c>
      <c r="W60" s="76" t="s">
        <v>5217</v>
      </c>
      <c r="X60" s="75"/>
      <c r="Y60" s="61" t="s">
        <v>5217</v>
      </c>
      <c r="Z60" s="62"/>
    </row>
    <row r="61" spans="2:26" ht="17.399999999999999" customHeight="1">
      <c r="B61" s="1040" t="s">
        <v>5089</v>
      </c>
      <c r="C61" s="205" t="s">
        <v>5234</v>
      </c>
      <c r="D61" s="206" t="s">
        <v>5019</v>
      </c>
      <c r="E61" s="1043" t="s">
        <v>88</v>
      </c>
      <c r="F61" s="77" t="s">
        <v>74</v>
      </c>
      <c r="G61" s="10"/>
      <c r="H61" s="178" t="s">
        <v>5190</v>
      </c>
      <c r="I61" s="78">
        <v>9.9700000000000006</v>
      </c>
      <c r="J61" s="79" t="s">
        <v>5090</v>
      </c>
      <c r="K61" s="80" t="s">
        <v>5217</v>
      </c>
      <c r="L61" s="81"/>
      <c r="P61" s="1040" t="s">
        <v>5089</v>
      </c>
      <c r="Q61" s="205" t="s">
        <v>5234</v>
      </c>
      <c r="R61" s="206" t="s">
        <v>5019</v>
      </c>
      <c r="S61" s="1045" t="s">
        <v>88</v>
      </c>
      <c r="T61" s="77" t="s">
        <v>74</v>
      </c>
      <c r="U61" s="10"/>
      <c r="V61" s="178" t="s">
        <v>5190</v>
      </c>
      <c r="W61" s="78">
        <v>8.64</v>
      </c>
      <c r="X61" s="79" t="s">
        <v>5090</v>
      </c>
      <c r="Y61" s="80" t="s">
        <v>5217</v>
      </c>
      <c r="Z61" s="81"/>
    </row>
    <row r="62" spans="2:26" ht="17.399999999999999" customHeight="1">
      <c r="B62" s="1041"/>
      <c r="C62" s="207" t="s">
        <v>5235</v>
      </c>
      <c r="D62" s="208" t="s">
        <v>5019</v>
      </c>
      <c r="E62" s="1044"/>
      <c r="F62" s="17" t="s">
        <v>75</v>
      </c>
      <c r="G62" s="16"/>
      <c r="H62" s="179" t="s">
        <v>5190</v>
      </c>
      <c r="I62" s="82">
        <v>9.2799999999999994</v>
      </c>
      <c r="J62" s="83" t="s">
        <v>5090</v>
      </c>
      <c r="K62" s="61" t="s">
        <v>5217</v>
      </c>
      <c r="L62" s="62"/>
      <c r="P62" s="1041"/>
      <c r="Q62" s="207" t="s">
        <v>5235</v>
      </c>
      <c r="R62" s="208" t="s">
        <v>5019</v>
      </c>
      <c r="S62" s="1046"/>
      <c r="T62" s="17" t="s">
        <v>75</v>
      </c>
      <c r="U62" s="16"/>
      <c r="V62" s="179" t="s">
        <v>5190</v>
      </c>
      <c r="W62" s="82">
        <v>8.64</v>
      </c>
      <c r="X62" s="83" t="s">
        <v>5090</v>
      </c>
      <c r="Y62" s="61" t="s">
        <v>5217</v>
      </c>
      <c r="Z62" s="62"/>
    </row>
    <row r="63" spans="2:26" ht="17.399999999999999" customHeight="1">
      <c r="B63" s="1041"/>
      <c r="C63" s="207" t="s">
        <v>5387</v>
      </c>
      <c r="D63" s="208" t="s">
        <v>5019</v>
      </c>
      <c r="E63" s="84" t="s">
        <v>124</v>
      </c>
      <c r="F63" s="16"/>
      <c r="G63" s="16"/>
      <c r="H63" s="179" t="s">
        <v>5190</v>
      </c>
      <c r="I63" s="82">
        <v>9.76</v>
      </c>
      <c r="J63" s="83" t="s">
        <v>5090</v>
      </c>
      <c r="K63" s="61" t="s">
        <v>5217</v>
      </c>
      <c r="L63" s="62"/>
      <c r="P63" s="1041"/>
      <c r="Q63" s="207" t="s">
        <v>5236</v>
      </c>
      <c r="R63" s="208" t="s">
        <v>5019</v>
      </c>
      <c r="S63" s="183" t="s">
        <v>124</v>
      </c>
      <c r="T63" s="16"/>
      <c r="U63" s="16"/>
      <c r="V63" s="179" t="s">
        <v>5190</v>
      </c>
      <c r="W63" s="184" t="s">
        <v>5217</v>
      </c>
      <c r="X63" s="62"/>
      <c r="Y63" s="61" t="s">
        <v>5217</v>
      </c>
      <c r="Z63" s="62"/>
    </row>
    <row r="64" spans="2:26" ht="17.399999999999999" customHeight="1">
      <c r="B64" s="1041"/>
      <c r="C64" s="207" t="s">
        <v>125</v>
      </c>
      <c r="D64" s="208" t="s">
        <v>5019</v>
      </c>
      <c r="E64" s="84" t="s">
        <v>125</v>
      </c>
      <c r="F64" s="16"/>
      <c r="G64" s="219"/>
      <c r="H64" s="179" t="s">
        <v>5190</v>
      </c>
      <c r="I64" s="82">
        <v>9.76</v>
      </c>
      <c r="J64" s="83" t="s">
        <v>5090</v>
      </c>
      <c r="K64" s="61" t="s">
        <v>5217</v>
      </c>
      <c r="L64" s="62"/>
      <c r="P64" s="1041"/>
      <c r="Q64" s="207" t="s">
        <v>125</v>
      </c>
      <c r="R64" s="208" t="s">
        <v>5019</v>
      </c>
      <c r="S64" s="183" t="s">
        <v>125</v>
      </c>
      <c r="T64" s="16"/>
      <c r="U64" s="219"/>
      <c r="V64" s="179" t="s">
        <v>5190</v>
      </c>
      <c r="W64" s="82">
        <v>8.64</v>
      </c>
      <c r="X64" s="83" t="s">
        <v>5090</v>
      </c>
      <c r="Y64" s="61" t="s">
        <v>5217</v>
      </c>
      <c r="Z64" s="62"/>
    </row>
    <row r="65" spans="2:26" ht="17.399999999999999" customHeight="1">
      <c r="B65" s="1041"/>
      <c r="C65" s="211" t="s">
        <v>5237</v>
      </c>
      <c r="D65" s="212" t="s">
        <v>5019</v>
      </c>
      <c r="E65" s="1047" t="s">
        <v>5091</v>
      </c>
      <c r="F65" s="1034" t="s">
        <v>5092</v>
      </c>
      <c r="G65" s="85" t="s">
        <v>5093</v>
      </c>
      <c r="H65" s="213" t="s">
        <v>5190</v>
      </c>
      <c r="I65" s="214" t="s">
        <v>5217</v>
      </c>
      <c r="J65" s="215"/>
      <c r="K65" s="214" t="s">
        <v>5217</v>
      </c>
      <c r="L65" s="215"/>
      <c r="P65" s="1041"/>
      <c r="Q65" s="211" t="s">
        <v>5237</v>
      </c>
      <c r="R65" s="212" t="s">
        <v>5019</v>
      </c>
      <c r="S65" s="1049" t="s">
        <v>5091</v>
      </c>
      <c r="T65" s="1034" t="s">
        <v>5092</v>
      </c>
      <c r="U65" s="85" t="s">
        <v>5093</v>
      </c>
      <c r="V65" s="213" t="s">
        <v>5190</v>
      </c>
      <c r="W65" s="217">
        <v>8.64</v>
      </c>
      <c r="X65" s="218" t="s">
        <v>5090</v>
      </c>
      <c r="Y65" s="214" t="s">
        <v>5217</v>
      </c>
      <c r="Z65" s="215"/>
    </row>
    <row r="66" spans="2:26" ht="17.399999999999999" customHeight="1">
      <c r="B66" s="1041"/>
      <c r="C66" s="207" t="s">
        <v>5238</v>
      </c>
      <c r="D66" s="208" t="s">
        <v>5019</v>
      </c>
      <c r="E66" s="1047"/>
      <c r="F66" s="1025"/>
      <c r="G66" s="86" t="s">
        <v>5094</v>
      </c>
      <c r="H66" s="179" t="s">
        <v>5190</v>
      </c>
      <c r="I66" s="61" t="s">
        <v>5217</v>
      </c>
      <c r="J66" s="62"/>
      <c r="K66" s="61" t="s">
        <v>5217</v>
      </c>
      <c r="L66" s="62"/>
      <c r="P66" s="1041"/>
      <c r="Q66" s="207" t="s">
        <v>5238</v>
      </c>
      <c r="R66" s="208" t="s">
        <v>5019</v>
      </c>
      <c r="S66" s="1049"/>
      <c r="T66" s="1025"/>
      <c r="U66" s="86" t="s">
        <v>5094</v>
      </c>
      <c r="V66" s="179" t="s">
        <v>5190</v>
      </c>
      <c r="W66" s="82">
        <v>8.64</v>
      </c>
      <c r="X66" s="83" t="s">
        <v>5090</v>
      </c>
      <c r="Y66" s="61" t="s">
        <v>5217</v>
      </c>
      <c r="Z66" s="62"/>
    </row>
    <row r="67" spans="2:26" ht="34.799999999999997">
      <c r="B67" s="1041"/>
      <c r="C67" s="207" t="s">
        <v>5239</v>
      </c>
      <c r="D67" s="208" t="s">
        <v>5019</v>
      </c>
      <c r="E67" s="1047"/>
      <c r="F67" s="1024" t="s">
        <v>5095</v>
      </c>
      <c r="G67" s="87" t="s">
        <v>5096</v>
      </c>
      <c r="H67" s="179" t="s">
        <v>5190</v>
      </c>
      <c r="I67" s="61" t="s">
        <v>5217</v>
      </c>
      <c r="J67" s="62"/>
      <c r="K67" s="61" t="s">
        <v>5217</v>
      </c>
      <c r="L67" s="62"/>
      <c r="P67" s="1041"/>
      <c r="Q67" s="207" t="s">
        <v>5240</v>
      </c>
      <c r="R67" s="208" t="s">
        <v>5019</v>
      </c>
      <c r="S67" s="1049"/>
      <c r="T67" s="1024" t="s">
        <v>5095</v>
      </c>
      <c r="U67" s="87" t="s">
        <v>5096</v>
      </c>
      <c r="V67" s="179" t="s">
        <v>5190</v>
      </c>
      <c r="W67" s="88">
        <v>3.6</v>
      </c>
      <c r="X67" s="83" t="s">
        <v>5090</v>
      </c>
      <c r="Y67" s="61" t="s">
        <v>5217</v>
      </c>
      <c r="Z67" s="62"/>
    </row>
    <row r="68" spans="2:26" ht="34.799999999999997">
      <c r="B68" s="1041"/>
      <c r="C68" s="207" t="s">
        <v>5241</v>
      </c>
      <c r="D68" s="208" t="s">
        <v>5019</v>
      </c>
      <c r="E68" s="1048"/>
      <c r="F68" s="1025"/>
      <c r="G68" s="87" t="s">
        <v>5097</v>
      </c>
      <c r="H68" s="179" t="s">
        <v>5190</v>
      </c>
      <c r="I68" s="61" t="s">
        <v>5217</v>
      </c>
      <c r="J68" s="62"/>
      <c r="K68" s="61" t="s">
        <v>5217</v>
      </c>
      <c r="L68" s="62"/>
      <c r="P68" s="1041"/>
      <c r="Q68" s="207" t="s">
        <v>5241</v>
      </c>
      <c r="R68" s="208" t="s">
        <v>5019</v>
      </c>
      <c r="S68" s="1050"/>
      <c r="T68" s="1025"/>
      <c r="U68" s="87" t="s">
        <v>5097</v>
      </c>
      <c r="V68" s="179" t="s">
        <v>5190</v>
      </c>
      <c r="W68" s="88">
        <v>3.6</v>
      </c>
      <c r="X68" s="83" t="s">
        <v>5090</v>
      </c>
      <c r="Y68" s="61" t="s">
        <v>5217</v>
      </c>
      <c r="Z68" s="62"/>
    </row>
    <row r="69" spans="2:26" ht="17.399999999999999" customHeight="1">
      <c r="B69" s="1041"/>
      <c r="C69" s="207" t="s">
        <v>5242</v>
      </c>
      <c r="D69" s="208" t="s">
        <v>5019</v>
      </c>
      <c r="E69" s="1026" t="s">
        <v>5098</v>
      </c>
      <c r="F69" s="89" t="s">
        <v>5099</v>
      </c>
      <c r="G69" s="90"/>
      <c r="H69" s="179" t="s">
        <v>5190</v>
      </c>
      <c r="I69" s="61" t="s">
        <v>5217</v>
      </c>
      <c r="J69" s="62"/>
      <c r="K69" s="61" t="s">
        <v>5217</v>
      </c>
      <c r="L69" s="62"/>
      <c r="P69" s="1041"/>
      <c r="Q69" s="207" t="s">
        <v>5242</v>
      </c>
      <c r="R69" s="208" t="s">
        <v>5019</v>
      </c>
      <c r="S69" s="1029" t="s">
        <v>5098</v>
      </c>
      <c r="T69" s="89" t="s">
        <v>5099</v>
      </c>
      <c r="U69" s="90"/>
      <c r="V69" s="179" t="s">
        <v>5190</v>
      </c>
      <c r="W69" s="88">
        <v>3.6</v>
      </c>
      <c r="X69" s="83" t="s">
        <v>5090</v>
      </c>
      <c r="Y69" s="61" t="s">
        <v>5217</v>
      </c>
      <c r="Z69" s="62"/>
    </row>
    <row r="70" spans="2:26">
      <c r="B70" s="1041"/>
      <c r="C70" s="207" t="s">
        <v>5243</v>
      </c>
      <c r="D70" s="208" t="s">
        <v>5019</v>
      </c>
      <c r="E70" s="1027"/>
      <c r="F70" s="1024" t="s">
        <v>5100</v>
      </c>
      <c r="G70" s="86" t="s">
        <v>5093</v>
      </c>
      <c r="H70" s="179" t="s">
        <v>5190</v>
      </c>
      <c r="I70" s="61" t="s">
        <v>5217</v>
      </c>
      <c r="J70" s="62"/>
      <c r="K70" s="61" t="s">
        <v>5217</v>
      </c>
      <c r="L70" s="62"/>
      <c r="P70" s="1041"/>
      <c r="Q70" s="207" t="s">
        <v>5243</v>
      </c>
      <c r="R70" s="208" t="s">
        <v>5019</v>
      </c>
      <c r="S70" s="1030"/>
      <c r="T70" s="1024" t="s">
        <v>5100</v>
      </c>
      <c r="U70" s="86" t="s">
        <v>5093</v>
      </c>
      <c r="V70" s="179" t="s">
        <v>5190</v>
      </c>
      <c r="W70" s="82">
        <v>8.64</v>
      </c>
      <c r="X70" s="83" t="s">
        <v>5090</v>
      </c>
      <c r="Y70" s="61" t="s">
        <v>5217</v>
      </c>
      <c r="Z70" s="62"/>
    </row>
    <row r="71" spans="2:26">
      <c r="B71" s="1041"/>
      <c r="C71" s="207" t="s">
        <v>5244</v>
      </c>
      <c r="D71" s="208" t="s">
        <v>5019</v>
      </c>
      <c r="E71" s="1035"/>
      <c r="F71" s="1025"/>
      <c r="G71" s="86" t="s">
        <v>5094</v>
      </c>
      <c r="H71" s="179" t="s">
        <v>5190</v>
      </c>
      <c r="I71" s="61" t="s">
        <v>5217</v>
      </c>
      <c r="J71" s="62"/>
      <c r="K71" s="61" t="s">
        <v>5217</v>
      </c>
      <c r="L71" s="62"/>
      <c r="P71" s="1041"/>
      <c r="Q71" s="207" t="s">
        <v>5244</v>
      </c>
      <c r="R71" s="208" t="s">
        <v>5019</v>
      </c>
      <c r="S71" s="1036"/>
      <c r="T71" s="1025"/>
      <c r="U71" s="86" t="s">
        <v>5094</v>
      </c>
      <c r="V71" s="179" t="s">
        <v>5190</v>
      </c>
      <c r="W71" s="82">
        <v>8.64</v>
      </c>
      <c r="X71" s="83" t="s">
        <v>5090</v>
      </c>
      <c r="Y71" s="61" t="s">
        <v>5217</v>
      </c>
      <c r="Z71" s="62"/>
    </row>
    <row r="72" spans="2:26">
      <c r="B72" s="1041"/>
      <c r="C72" s="207" t="s">
        <v>5245</v>
      </c>
      <c r="D72" s="208" t="s">
        <v>5019</v>
      </c>
      <c r="E72" s="1026" t="s">
        <v>5101</v>
      </c>
      <c r="F72" s="91" t="s">
        <v>5099</v>
      </c>
      <c r="G72" s="90"/>
      <c r="H72" s="179" t="s">
        <v>5190</v>
      </c>
      <c r="I72" s="61" t="s">
        <v>5217</v>
      </c>
      <c r="J72" s="62"/>
      <c r="K72" s="61" t="s">
        <v>5217</v>
      </c>
      <c r="L72" s="62"/>
      <c r="P72" s="1041"/>
      <c r="Q72" s="207" t="s">
        <v>5245</v>
      </c>
      <c r="R72" s="208" t="s">
        <v>5019</v>
      </c>
      <c r="S72" s="1029" t="s">
        <v>5101</v>
      </c>
      <c r="T72" s="91" t="s">
        <v>5099</v>
      </c>
      <c r="U72" s="90"/>
      <c r="V72" s="179" t="s">
        <v>5190</v>
      </c>
      <c r="W72" s="88">
        <v>3.6</v>
      </c>
      <c r="X72" s="83" t="s">
        <v>5090</v>
      </c>
      <c r="Y72" s="61" t="s">
        <v>5217</v>
      </c>
      <c r="Z72" s="62"/>
    </row>
    <row r="73" spans="2:26">
      <c r="B73" s="1041"/>
      <c r="C73" s="207" t="s">
        <v>5246</v>
      </c>
      <c r="D73" s="208" t="s">
        <v>5019</v>
      </c>
      <c r="E73" s="1027"/>
      <c r="F73" s="1024" t="s">
        <v>5100</v>
      </c>
      <c r="G73" s="86" t="s">
        <v>5093</v>
      </c>
      <c r="H73" s="179" t="s">
        <v>5190</v>
      </c>
      <c r="I73" s="61" t="s">
        <v>5217</v>
      </c>
      <c r="J73" s="62"/>
      <c r="K73" s="61" t="s">
        <v>5217</v>
      </c>
      <c r="L73" s="62"/>
      <c r="P73" s="1041"/>
      <c r="Q73" s="207" t="s">
        <v>5246</v>
      </c>
      <c r="R73" s="208" t="s">
        <v>5019</v>
      </c>
      <c r="S73" s="1030"/>
      <c r="T73" s="1024" t="s">
        <v>5100</v>
      </c>
      <c r="U73" s="86" t="s">
        <v>5093</v>
      </c>
      <c r="V73" s="179" t="s">
        <v>5190</v>
      </c>
      <c r="W73" s="82">
        <v>8.64</v>
      </c>
      <c r="X73" s="83" t="s">
        <v>5090</v>
      </c>
      <c r="Y73" s="61" t="s">
        <v>5217</v>
      </c>
      <c r="Z73" s="62"/>
    </row>
    <row r="74" spans="2:26">
      <c r="B74" s="1041"/>
      <c r="C74" s="207" t="s">
        <v>5247</v>
      </c>
      <c r="D74" s="208" t="s">
        <v>5019</v>
      </c>
      <c r="E74" s="1035"/>
      <c r="F74" s="1025"/>
      <c r="G74" s="86" t="s">
        <v>5094</v>
      </c>
      <c r="H74" s="179" t="s">
        <v>5190</v>
      </c>
      <c r="I74" s="61" t="s">
        <v>5217</v>
      </c>
      <c r="J74" s="62"/>
      <c r="K74" s="61" t="s">
        <v>5217</v>
      </c>
      <c r="L74" s="62"/>
      <c r="P74" s="1041"/>
      <c r="Q74" s="207" t="s">
        <v>5247</v>
      </c>
      <c r="R74" s="208" t="s">
        <v>5019</v>
      </c>
      <c r="S74" s="1036"/>
      <c r="T74" s="1025"/>
      <c r="U74" s="86" t="s">
        <v>5094</v>
      </c>
      <c r="V74" s="179" t="s">
        <v>5190</v>
      </c>
      <c r="W74" s="82">
        <v>8.64</v>
      </c>
      <c r="X74" s="83" t="s">
        <v>5090</v>
      </c>
      <c r="Y74" s="61" t="s">
        <v>5217</v>
      </c>
      <c r="Z74" s="62"/>
    </row>
    <row r="75" spans="2:26">
      <c r="B75" s="1041"/>
      <c r="C75" s="207" t="s">
        <v>5248</v>
      </c>
      <c r="D75" s="208" t="s">
        <v>5019</v>
      </c>
      <c r="E75" s="1026" t="s">
        <v>5102</v>
      </c>
      <c r="F75" s="92" t="s">
        <v>5054</v>
      </c>
      <c r="G75" s="90"/>
      <c r="H75" s="179" t="s">
        <v>5190</v>
      </c>
      <c r="I75" s="61" t="s">
        <v>5217</v>
      </c>
      <c r="J75" s="62"/>
      <c r="K75" s="61" t="s">
        <v>5217</v>
      </c>
      <c r="L75" s="62"/>
      <c r="P75" s="1041"/>
      <c r="Q75" s="207" t="s">
        <v>5248</v>
      </c>
      <c r="R75" s="208" t="s">
        <v>5019</v>
      </c>
      <c r="S75" s="1029" t="s">
        <v>5102</v>
      </c>
      <c r="T75" s="92" t="s">
        <v>5054</v>
      </c>
      <c r="U75" s="90"/>
      <c r="V75" s="179" t="s">
        <v>5190</v>
      </c>
      <c r="W75" s="88">
        <v>3.6</v>
      </c>
      <c r="X75" s="83" t="s">
        <v>5090</v>
      </c>
      <c r="Y75" s="61" t="s">
        <v>5217</v>
      </c>
      <c r="Z75" s="62"/>
    </row>
    <row r="76" spans="2:26">
      <c r="B76" s="1041"/>
      <c r="C76" s="207" t="s">
        <v>5249</v>
      </c>
      <c r="D76" s="208" t="s">
        <v>5019</v>
      </c>
      <c r="E76" s="1027"/>
      <c r="F76" s="92" t="s">
        <v>5056</v>
      </c>
      <c r="G76" s="90"/>
      <c r="H76" s="179" t="s">
        <v>5190</v>
      </c>
      <c r="I76" s="61" t="s">
        <v>5217</v>
      </c>
      <c r="J76" s="62"/>
      <c r="K76" s="61" t="s">
        <v>5217</v>
      </c>
      <c r="L76" s="62"/>
      <c r="P76" s="1041"/>
      <c r="Q76" s="207" t="s">
        <v>5249</v>
      </c>
      <c r="R76" s="208" t="s">
        <v>5019</v>
      </c>
      <c r="S76" s="1030"/>
      <c r="T76" s="92" t="s">
        <v>5056</v>
      </c>
      <c r="U76" s="90"/>
      <c r="V76" s="179" t="s">
        <v>5190</v>
      </c>
      <c r="W76" s="88">
        <v>3.6</v>
      </c>
      <c r="X76" s="83" t="s">
        <v>5090</v>
      </c>
      <c r="Y76" s="61" t="s">
        <v>5217</v>
      </c>
      <c r="Z76" s="62"/>
    </row>
    <row r="77" spans="2:26">
      <c r="B77" s="1041"/>
      <c r="C77" s="207" t="s">
        <v>5250</v>
      </c>
      <c r="D77" s="208" t="s">
        <v>5019</v>
      </c>
      <c r="E77" s="1027"/>
      <c r="F77" s="92" t="s">
        <v>5084</v>
      </c>
      <c r="G77" s="90"/>
      <c r="H77" s="179" t="s">
        <v>5190</v>
      </c>
      <c r="I77" s="61" t="s">
        <v>5217</v>
      </c>
      <c r="J77" s="62"/>
      <c r="K77" s="61" t="s">
        <v>5217</v>
      </c>
      <c r="L77" s="62"/>
      <c r="P77" s="1041"/>
      <c r="Q77" s="207" t="s">
        <v>5250</v>
      </c>
      <c r="R77" s="208" t="s">
        <v>5019</v>
      </c>
      <c r="S77" s="1030"/>
      <c r="T77" s="92" t="s">
        <v>5084</v>
      </c>
      <c r="U77" s="90"/>
      <c r="V77" s="179" t="s">
        <v>5190</v>
      </c>
      <c r="W77" s="88">
        <v>3.6</v>
      </c>
      <c r="X77" s="83" t="s">
        <v>5090</v>
      </c>
      <c r="Y77" s="61" t="s">
        <v>5217</v>
      </c>
      <c r="Z77" s="62"/>
    </row>
    <row r="78" spans="2:26">
      <c r="B78" s="1041"/>
      <c r="C78" s="207" t="s">
        <v>5251</v>
      </c>
      <c r="D78" s="208" t="s">
        <v>5019</v>
      </c>
      <c r="E78" s="1027"/>
      <c r="F78" s="92" t="s">
        <v>5055</v>
      </c>
      <c r="G78" s="90"/>
      <c r="H78" s="179" t="s">
        <v>5190</v>
      </c>
      <c r="I78" s="61" t="s">
        <v>5217</v>
      </c>
      <c r="J78" s="62"/>
      <c r="K78" s="61" t="s">
        <v>5217</v>
      </c>
      <c r="L78" s="62"/>
      <c r="P78" s="1041"/>
      <c r="Q78" s="207" t="s">
        <v>5251</v>
      </c>
      <c r="R78" s="208" t="s">
        <v>5019</v>
      </c>
      <c r="S78" s="1030"/>
      <c r="T78" s="92" t="s">
        <v>5055</v>
      </c>
      <c r="U78" s="90"/>
      <c r="V78" s="179" t="s">
        <v>5190</v>
      </c>
      <c r="W78" s="88">
        <v>3.6</v>
      </c>
      <c r="X78" s="83" t="s">
        <v>5090</v>
      </c>
      <c r="Y78" s="61" t="s">
        <v>5217</v>
      </c>
      <c r="Z78" s="62"/>
    </row>
    <row r="79" spans="2:26" ht="34.799999999999997">
      <c r="B79" s="1041"/>
      <c r="C79" s="207" t="s">
        <v>5252</v>
      </c>
      <c r="D79" s="208" t="s">
        <v>5019</v>
      </c>
      <c r="E79" s="1027"/>
      <c r="F79" s="1032" t="s">
        <v>5103</v>
      </c>
      <c r="G79" s="93" t="s">
        <v>5104</v>
      </c>
      <c r="H79" s="179" t="s">
        <v>5190</v>
      </c>
      <c r="I79" s="61" t="s">
        <v>5217</v>
      </c>
      <c r="J79" s="62"/>
      <c r="K79" s="61" t="s">
        <v>5217</v>
      </c>
      <c r="L79" s="62"/>
      <c r="P79" s="1041"/>
      <c r="Q79" s="207" t="s">
        <v>5252</v>
      </c>
      <c r="R79" s="208" t="s">
        <v>5019</v>
      </c>
      <c r="S79" s="1030"/>
      <c r="T79" s="1032" t="s">
        <v>5103</v>
      </c>
      <c r="U79" s="93" t="s">
        <v>5104</v>
      </c>
      <c r="V79" s="179" t="s">
        <v>5190</v>
      </c>
      <c r="W79" s="88">
        <v>3.6</v>
      </c>
      <c r="X79" s="83" t="s">
        <v>5090</v>
      </c>
      <c r="Y79" s="61" t="s">
        <v>5217</v>
      </c>
      <c r="Z79" s="62"/>
    </row>
    <row r="80" spans="2:26" ht="17.399999999999999" customHeight="1">
      <c r="B80" s="1042"/>
      <c r="C80" s="209" t="s">
        <v>5253</v>
      </c>
      <c r="D80" s="210" t="s">
        <v>5019</v>
      </c>
      <c r="E80" s="1028"/>
      <c r="F80" s="1033"/>
      <c r="G80" s="94" t="s">
        <v>5105</v>
      </c>
      <c r="H80" s="182" t="s">
        <v>5190</v>
      </c>
      <c r="I80" s="76" t="s">
        <v>5217</v>
      </c>
      <c r="J80" s="75"/>
      <c r="K80" s="76" t="s">
        <v>5217</v>
      </c>
      <c r="L80" s="75"/>
      <c r="P80" s="1042"/>
      <c r="Q80" s="209" t="s">
        <v>5253</v>
      </c>
      <c r="R80" s="210" t="s">
        <v>5019</v>
      </c>
      <c r="S80" s="1031"/>
      <c r="T80" s="1033"/>
      <c r="U80" s="94" t="s">
        <v>5105</v>
      </c>
      <c r="V80" s="182" t="s">
        <v>5190</v>
      </c>
      <c r="W80" s="76" t="s">
        <v>5217</v>
      </c>
      <c r="X80" s="75"/>
      <c r="Y80" s="76" t="s">
        <v>5217</v>
      </c>
      <c r="Z80" s="75"/>
    </row>
  </sheetData>
  <sheetProtection algorithmName="SHA-512" hashValue="8D0OQLf2MWW6dcpkkahKg0u8wsUmelzyaW03w83obCjrhaU4E1tl8Utedmya8I0Ln4WHJhIi0TndrJLdiSTUuw==" saltValue="88ZbduFboD/BASrYhapw6A==" spinCount="100000" sheet="1" objects="1" scenarios="1"/>
  <mergeCells count="40">
    <mergeCell ref="T18:T20"/>
    <mergeCell ref="F21:F22"/>
    <mergeCell ref="T21:T22"/>
    <mergeCell ref="B32:B48"/>
    <mergeCell ref="P32:P48"/>
    <mergeCell ref="E42:E43"/>
    <mergeCell ref="S42:S43"/>
    <mergeCell ref="B3:B31"/>
    <mergeCell ref="P3:P31"/>
    <mergeCell ref="E14:E15"/>
    <mergeCell ref="S14:S15"/>
    <mergeCell ref="E16:E17"/>
    <mergeCell ref="S16:S17"/>
    <mergeCell ref="E18:E23"/>
    <mergeCell ref="F18:F20"/>
    <mergeCell ref="S18:S23"/>
    <mergeCell ref="S61:S62"/>
    <mergeCell ref="E65:E68"/>
    <mergeCell ref="F65:F66"/>
    <mergeCell ref="S65:S68"/>
    <mergeCell ref="E72:E74"/>
    <mergeCell ref="S72:S74"/>
    <mergeCell ref="B49:B60"/>
    <mergeCell ref="P49:P60"/>
    <mergeCell ref="B61:B80"/>
    <mergeCell ref="E61:E62"/>
    <mergeCell ref="P61:P80"/>
    <mergeCell ref="F73:F74"/>
    <mergeCell ref="T65:T66"/>
    <mergeCell ref="F67:F68"/>
    <mergeCell ref="T67:T68"/>
    <mergeCell ref="E69:E71"/>
    <mergeCell ref="S69:S71"/>
    <mergeCell ref="F70:F71"/>
    <mergeCell ref="T70:T71"/>
    <mergeCell ref="T73:T74"/>
    <mergeCell ref="E75:E80"/>
    <mergeCell ref="S75:S80"/>
    <mergeCell ref="F79:F80"/>
    <mergeCell ref="T79:T80"/>
  </mergeCells>
  <phoneticPr fontId="1"/>
  <pageMargins left="0.36" right="0.70866141732283472" top="0.39370078740157483" bottom="0.19685039370078741" header="0.31496062992125984" footer="0.31496062992125984"/>
  <pageSetup paperSize="8" scale="85" fitToWidth="2"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2">
    <tabColor rgb="FFFF0000"/>
  </sheetPr>
  <dimension ref="A1:H1460"/>
  <sheetViews>
    <sheetView workbookViewId="0">
      <selection activeCell="H17" sqref="H17"/>
    </sheetView>
  </sheetViews>
  <sheetFormatPr defaultRowHeight="13.2"/>
  <cols>
    <col min="2" max="2" width="33.109375" customWidth="1"/>
    <col min="5" max="5" width="33.109375" customWidth="1"/>
    <col min="8" max="8" width="33.109375" customWidth="1"/>
  </cols>
  <sheetData>
    <row r="1" spans="1:8">
      <c r="A1" s="1" t="s">
        <v>2999</v>
      </c>
      <c r="B1" s="1" t="s">
        <v>171</v>
      </c>
      <c r="C1" s="6"/>
      <c r="D1" s="1" t="s">
        <v>3122</v>
      </c>
      <c r="E1" s="1" t="s">
        <v>171</v>
      </c>
      <c r="F1" s="6"/>
      <c r="G1" s="1" t="s">
        <v>3123</v>
      </c>
      <c r="H1" s="1" t="s">
        <v>171</v>
      </c>
    </row>
    <row r="2" spans="1:8">
      <c r="A2" s="3" t="s">
        <v>3000</v>
      </c>
      <c r="B2" s="2" t="s">
        <v>2992</v>
      </c>
      <c r="D2" s="4" t="s">
        <v>3508</v>
      </c>
      <c r="E2" s="2" t="s">
        <v>3124</v>
      </c>
      <c r="G2" s="7" t="s">
        <v>172</v>
      </c>
      <c r="H2" s="2" t="s">
        <v>173</v>
      </c>
    </row>
    <row r="3" spans="1:8">
      <c r="A3" s="3" t="s">
        <v>3001</v>
      </c>
      <c r="B3" s="2" t="s">
        <v>2905</v>
      </c>
      <c r="D3" s="4" t="s">
        <v>3509</v>
      </c>
      <c r="E3" s="2" t="s">
        <v>3125</v>
      </c>
      <c r="G3" s="7" t="s">
        <v>174</v>
      </c>
      <c r="H3" s="2" t="s">
        <v>175</v>
      </c>
    </row>
    <row r="4" spans="1:8">
      <c r="A4" s="3" t="s">
        <v>3002</v>
      </c>
      <c r="B4" s="2" t="s">
        <v>2906</v>
      </c>
      <c r="D4" s="4" t="s">
        <v>3510</v>
      </c>
      <c r="E4" s="2" t="s">
        <v>3126</v>
      </c>
      <c r="G4" s="7" t="s">
        <v>176</v>
      </c>
      <c r="H4" s="2" t="s">
        <v>177</v>
      </c>
    </row>
    <row r="5" spans="1:8">
      <c r="A5" s="3" t="s">
        <v>3003</v>
      </c>
      <c r="B5" s="2" t="s">
        <v>2907</v>
      </c>
      <c r="D5" s="4" t="s">
        <v>3511</v>
      </c>
      <c r="E5" s="2" t="s">
        <v>3127</v>
      </c>
      <c r="G5" s="7" t="s">
        <v>178</v>
      </c>
      <c r="H5" s="2" t="s">
        <v>179</v>
      </c>
    </row>
    <row r="6" spans="1:8">
      <c r="A6" s="3" t="s">
        <v>3004</v>
      </c>
      <c r="B6" s="2" t="s">
        <v>2993</v>
      </c>
      <c r="D6" s="4" t="s">
        <v>3512</v>
      </c>
      <c r="E6" s="2" t="s">
        <v>215</v>
      </c>
      <c r="G6" s="7" t="s">
        <v>180</v>
      </c>
      <c r="H6" s="2" t="s">
        <v>181</v>
      </c>
    </row>
    <row r="7" spans="1:8">
      <c r="A7" s="3" t="s">
        <v>3005</v>
      </c>
      <c r="B7" s="2" t="s">
        <v>2908</v>
      </c>
      <c r="D7" s="4" t="s">
        <v>3513</v>
      </c>
      <c r="E7" s="2" t="s">
        <v>3128</v>
      </c>
      <c r="G7" s="7" t="s">
        <v>182</v>
      </c>
      <c r="H7" s="2" t="s">
        <v>183</v>
      </c>
    </row>
    <row r="8" spans="1:8">
      <c r="A8" s="3" t="s">
        <v>3006</v>
      </c>
      <c r="B8" s="2" t="s">
        <v>2909</v>
      </c>
      <c r="D8" s="4" t="s">
        <v>3514</v>
      </c>
      <c r="E8" s="2" t="s">
        <v>219</v>
      </c>
      <c r="G8" s="7" t="s">
        <v>184</v>
      </c>
      <c r="H8" s="2" t="s">
        <v>185</v>
      </c>
    </row>
    <row r="9" spans="1:8">
      <c r="A9" s="3" t="s">
        <v>3007</v>
      </c>
      <c r="B9" s="2" t="s">
        <v>2910</v>
      </c>
      <c r="D9" s="4" t="s">
        <v>3515</v>
      </c>
      <c r="E9" s="2" t="s">
        <v>221</v>
      </c>
      <c r="G9" s="7" t="s">
        <v>186</v>
      </c>
      <c r="H9" s="2" t="s">
        <v>187</v>
      </c>
    </row>
    <row r="10" spans="1:8">
      <c r="A10" s="3" t="s">
        <v>3008</v>
      </c>
      <c r="B10" s="2" t="s">
        <v>2911</v>
      </c>
      <c r="D10" s="4" t="s">
        <v>3516</v>
      </c>
      <c r="E10" s="2" t="s">
        <v>3129</v>
      </c>
      <c r="G10" s="7" t="s">
        <v>188</v>
      </c>
      <c r="H10" s="2" t="s">
        <v>189</v>
      </c>
    </row>
    <row r="11" spans="1:8">
      <c r="A11" s="3" t="s">
        <v>3009</v>
      </c>
      <c r="B11" s="2" t="s">
        <v>2912</v>
      </c>
      <c r="D11" s="4" t="s">
        <v>3517</v>
      </c>
      <c r="E11" s="2" t="s">
        <v>3130</v>
      </c>
      <c r="G11" s="7" t="s">
        <v>190</v>
      </c>
      <c r="H11" s="2" t="s">
        <v>191</v>
      </c>
    </row>
    <row r="12" spans="1:8">
      <c r="A12" s="3" t="s">
        <v>3010</v>
      </c>
      <c r="B12" s="2" t="s">
        <v>2913</v>
      </c>
      <c r="D12" s="4" t="s">
        <v>3518</v>
      </c>
      <c r="E12" s="2" t="s">
        <v>235</v>
      </c>
      <c r="G12" s="7" t="s">
        <v>192</v>
      </c>
      <c r="H12" s="2" t="s">
        <v>193</v>
      </c>
    </row>
    <row r="13" spans="1:8">
      <c r="A13" s="3" t="s">
        <v>3011</v>
      </c>
      <c r="B13" s="2" t="s">
        <v>2914</v>
      </c>
      <c r="D13" s="4" t="s">
        <v>3519</v>
      </c>
      <c r="E13" s="2" t="s">
        <v>3131</v>
      </c>
      <c r="G13" s="7" t="s">
        <v>194</v>
      </c>
      <c r="H13" s="2" t="s">
        <v>195</v>
      </c>
    </row>
    <row r="14" spans="1:8">
      <c r="A14" s="3" t="s">
        <v>3012</v>
      </c>
      <c r="B14" s="2" t="s">
        <v>2915</v>
      </c>
      <c r="D14" s="4" t="s">
        <v>3520</v>
      </c>
      <c r="E14" s="2" t="s">
        <v>3132</v>
      </c>
      <c r="G14" s="7" t="s">
        <v>196</v>
      </c>
      <c r="H14" s="2" t="s">
        <v>197</v>
      </c>
    </row>
    <row r="15" spans="1:8">
      <c r="A15" s="3" t="s">
        <v>3013</v>
      </c>
      <c r="B15" s="2" t="s">
        <v>2916</v>
      </c>
      <c r="D15" s="4" t="s">
        <v>3521</v>
      </c>
      <c r="E15" s="2" t="s">
        <v>257</v>
      </c>
      <c r="G15" s="7" t="s">
        <v>198</v>
      </c>
      <c r="H15" s="2" t="s">
        <v>199</v>
      </c>
    </row>
    <row r="16" spans="1:8">
      <c r="A16" s="3" t="s">
        <v>3014</v>
      </c>
      <c r="B16" s="2" t="s">
        <v>2917</v>
      </c>
      <c r="D16" s="4" t="s">
        <v>3522</v>
      </c>
      <c r="E16" s="2" t="s">
        <v>3133</v>
      </c>
      <c r="G16" s="7" t="s">
        <v>200</v>
      </c>
      <c r="H16" s="2" t="s">
        <v>201</v>
      </c>
    </row>
    <row r="17" spans="1:8">
      <c r="A17" s="3" t="s">
        <v>3015</v>
      </c>
      <c r="B17" s="2" t="s">
        <v>2918</v>
      </c>
      <c r="D17" s="4" t="s">
        <v>3523</v>
      </c>
      <c r="E17" s="2" t="s">
        <v>3134</v>
      </c>
      <c r="G17" s="7" t="s">
        <v>202</v>
      </c>
      <c r="H17" s="2" t="s">
        <v>203</v>
      </c>
    </row>
    <row r="18" spans="1:8">
      <c r="A18" s="3" t="s">
        <v>3016</v>
      </c>
      <c r="B18" s="2" t="s">
        <v>2919</v>
      </c>
      <c r="D18" s="4" t="s">
        <v>3524</v>
      </c>
      <c r="E18" s="2" t="s">
        <v>273</v>
      </c>
      <c r="G18" s="7" t="s">
        <v>204</v>
      </c>
      <c r="H18" s="2" t="s">
        <v>205</v>
      </c>
    </row>
    <row r="19" spans="1:8">
      <c r="A19" s="3" t="s">
        <v>3017</v>
      </c>
      <c r="B19" s="2" t="s">
        <v>2920</v>
      </c>
      <c r="D19" s="4" t="s">
        <v>3525</v>
      </c>
      <c r="E19" s="2" t="s">
        <v>3135</v>
      </c>
      <c r="G19" s="7" t="s">
        <v>206</v>
      </c>
      <c r="H19" s="2" t="s">
        <v>207</v>
      </c>
    </row>
    <row r="20" spans="1:8">
      <c r="A20" s="3" t="s">
        <v>3018</v>
      </c>
      <c r="B20" s="2" t="s">
        <v>2921</v>
      </c>
      <c r="D20" s="4" t="s">
        <v>3526</v>
      </c>
      <c r="E20" s="2" t="s">
        <v>3136</v>
      </c>
      <c r="G20" s="7" t="s">
        <v>208</v>
      </c>
      <c r="H20" s="2" t="s">
        <v>209</v>
      </c>
    </row>
    <row r="21" spans="1:8">
      <c r="A21" s="3" t="s">
        <v>3019</v>
      </c>
      <c r="B21" s="2" t="s">
        <v>2922</v>
      </c>
      <c r="D21" s="4" t="s">
        <v>3527</v>
      </c>
      <c r="E21" s="2" t="s">
        <v>3137</v>
      </c>
      <c r="G21" s="7" t="s">
        <v>210</v>
      </c>
      <c r="H21" s="2" t="s">
        <v>211</v>
      </c>
    </row>
    <row r="22" spans="1:8">
      <c r="A22" s="3" t="s">
        <v>3020</v>
      </c>
      <c r="B22" s="2" t="s">
        <v>2923</v>
      </c>
      <c r="D22" s="4" t="s">
        <v>3528</v>
      </c>
      <c r="E22" s="2" t="s">
        <v>3138</v>
      </c>
      <c r="G22" s="7" t="s">
        <v>212</v>
      </c>
      <c r="H22" s="2" t="s">
        <v>213</v>
      </c>
    </row>
    <row r="23" spans="1:8">
      <c r="A23" s="3" t="s">
        <v>3021</v>
      </c>
      <c r="B23" s="2" t="s">
        <v>2924</v>
      </c>
      <c r="D23" s="4" t="s">
        <v>3529</v>
      </c>
      <c r="E23" s="2" t="s">
        <v>3139</v>
      </c>
      <c r="G23" s="7" t="s">
        <v>214</v>
      </c>
      <c r="H23" s="2" t="s">
        <v>215</v>
      </c>
    </row>
    <row r="24" spans="1:8">
      <c r="A24" s="3" t="s">
        <v>3022</v>
      </c>
      <c r="B24" s="2" t="s">
        <v>2925</v>
      </c>
      <c r="D24" s="4" t="s">
        <v>3530</v>
      </c>
      <c r="E24" s="2" t="s">
        <v>3140</v>
      </c>
      <c r="G24" s="7" t="s">
        <v>216</v>
      </c>
      <c r="H24" s="2" t="s">
        <v>173</v>
      </c>
    </row>
    <row r="25" spans="1:8">
      <c r="A25" s="3" t="s">
        <v>3023</v>
      </c>
      <c r="B25" s="2" t="s">
        <v>2926</v>
      </c>
      <c r="D25" s="4" t="s">
        <v>3531</v>
      </c>
      <c r="E25" s="2" t="s">
        <v>3141</v>
      </c>
      <c r="G25" s="7" t="s">
        <v>217</v>
      </c>
      <c r="H25" s="2" t="s">
        <v>175</v>
      </c>
    </row>
    <row r="26" spans="1:8">
      <c r="A26" s="3" t="s">
        <v>3024</v>
      </c>
      <c r="B26" s="2" t="s">
        <v>2927</v>
      </c>
      <c r="D26" s="4" t="s">
        <v>3532</v>
      </c>
      <c r="E26" s="2" t="s">
        <v>3142</v>
      </c>
      <c r="G26" s="7" t="s">
        <v>218</v>
      </c>
      <c r="H26" s="2" t="s">
        <v>219</v>
      </c>
    </row>
    <row r="27" spans="1:8">
      <c r="A27" s="3" t="s">
        <v>3025</v>
      </c>
      <c r="B27" s="2" t="s">
        <v>2928</v>
      </c>
      <c r="D27" s="4" t="s">
        <v>3533</v>
      </c>
      <c r="E27" s="2" t="s">
        <v>339</v>
      </c>
      <c r="G27" s="7" t="s">
        <v>220</v>
      </c>
      <c r="H27" s="2" t="s">
        <v>221</v>
      </c>
    </row>
    <row r="28" spans="1:8">
      <c r="A28" s="3" t="s">
        <v>3026</v>
      </c>
      <c r="B28" s="2" t="s">
        <v>2929</v>
      </c>
      <c r="D28" s="4" t="s">
        <v>3534</v>
      </c>
      <c r="E28" s="2" t="s">
        <v>3143</v>
      </c>
      <c r="G28" s="7" t="s">
        <v>222</v>
      </c>
      <c r="H28" s="2" t="s">
        <v>223</v>
      </c>
    </row>
    <row r="29" spans="1:8">
      <c r="A29" s="3" t="s">
        <v>3027</v>
      </c>
      <c r="B29" s="2" t="s">
        <v>2930</v>
      </c>
      <c r="D29" s="4" t="s">
        <v>3535</v>
      </c>
      <c r="E29" s="2" t="s">
        <v>347</v>
      </c>
      <c r="G29" s="7" t="s">
        <v>224</v>
      </c>
      <c r="H29" s="2" t="s">
        <v>225</v>
      </c>
    </row>
    <row r="30" spans="1:8">
      <c r="A30" s="3" t="s">
        <v>3028</v>
      </c>
      <c r="B30" s="2" t="s">
        <v>2931</v>
      </c>
      <c r="D30" s="4" t="s">
        <v>3536</v>
      </c>
      <c r="E30" s="2" t="s">
        <v>349</v>
      </c>
      <c r="G30" s="7" t="s">
        <v>226</v>
      </c>
      <c r="H30" s="2" t="s">
        <v>227</v>
      </c>
    </row>
    <row r="31" spans="1:8">
      <c r="A31" s="3" t="s">
        <v>3029</v>
      </c>
      <c r="B31" s="2" t="s">
        <v>2932</v>
      </c>
      <c r="D31" s="4" t="s">
        <v>3537</v>
      </c>
      <c r="E31" s="2" t="s">
        <v>351</v>
      </c>
      <c r="G31" s="7" t="s">
        <v>228</v>
      </c>
      <c r="H31" s="2" t="s">
        <v>229</v>
      </c>
    </row>
    <row r="32" spans="1:8">
      <c r="A32" s="3" t="s">
        <v>3030</v>
      </c>
      <c r="B32" s="2" t="s">
        <v>2933</v>
      </c>
      <c r="D32" s="4" t="s">
        <v>3538</v>
      </c>
      <c r="E32" s="2" t="s">
        <v>353</v>
      </c>
      <c r="G32" s="7" t="s">
        <v>230</v>
      </c>
      <c r="H32" s="2" t="s">
        <v>231</v>
      </c>
    </row>
    <row r="33" spans="1:8">
      <c r="A33" s="3" t="s">
        <v>3031</v>
      </c>
      <c r="B33" s="2" t="s">
        <v>2934</v>
      </c>
      <c r="D33" s="4" t="s">
        <v>3539</v>
      </c>
      <c r="E33" s="2" t="s">
        <v>3144</v>
      </c>
      <c r="G33" s="7" t="s">
        <v>232</v>
      </c>
      <c r="H33" s="2" t="s">
        <v>233</v>
      </c>
    </row>
    <row r="34" spans="1:8">
      <c r="A34" s="3" t="s">
        <v>3032</v>
      </c>
      <c r="B34" s="2" t="s">
        <v>2935</v>
      </c>
      <c r="D34" s="4" t="s">
        <v>3540</v>
      </c>
      <c r="E34" s="2" t="s">
        <v>3145</v>
      </c>
      <c r="G34" s="7" t="s">
        <v>234</v>
      </c>
      <c r="H34" s="2" t="s">
        <v>235</v>
      </c>
    </row>
    <row r="35" spans="1:8">
      <c r="A35" s="3" t="s">
        <v>3033</v>
      </c>
      <c r="B35" s="2" t="s">
        <v>2936</v>
      </c>
      <c r="D35" s="4" t="s">
        <v>3541</v>
      </c>
      <c r="E35" s="2" t="s">
        <v>3146</v>
      </c>
      <c r="G35" s="7" t="s">
        <v>236</v>
      </c>
      <c r="H35" s="2" t="s">
        <v>173</v>
      </c>
    </row>
    <row r="36" spans="1:8">
      <c r="A36" s="3" t="s">
        <v>3034</v>
      </c>
      <c r="B36" s="2" t="s">
        <v>1596</v>
      </c>
      <c r="D36" s="4" t="s">
        <v>3542</v>
      </c>
      <c r="E36" s="2" t="s">
        <v>3147</v>
      </c>
      <c r="G36" s="7" t="s">
        <v>237</v>
      </c>
      <c r="H36" s="2" t="s">
        <v>175</v>
      </c>
    </row>
    <row r="37" spans="1:8">
      <c r="A37" s="3" t="s">
        <v>3035</v>
      </c>
      <c r="B37" s="2" t="s">
        <v>2937</v>
      </c>
      <c r="D37" s="4" t="s">
        <v>3543</v>
      </c>
      <c r="E37" s="2" t="s">
        <v>3148</v>
      </c>
      <c r="G37" s="7" t="s">
        <v>238</v>
      </c>
      <c r="H37" s="2" t="s">
        <v>239</v>
      </c>
    </row>
    <row r="38" spans="1:8">
      <c r="A38" s="3" t="s">
        <v>3036</v>
      </c>
      <c r="B38" s="2" t="s">
        <v>2938</v>
      </c>
      <c r="D38" s="4" t="s">
        <v>3544</v>
      </c>
      <c r="E38" s="2" t="s">
        <v>379</v>
      </c>
      <c r="G38" s="7" t="s">
        <v>240</v>
      </c>
      <c r="H38" s="2" t="s">
        <v>241</v>
      </c>
    </row>
    <row r="39" spans="1:8">
      <c r="A39" s="3" t="s">
        <v>3037</v>
      </c>
      <c r="B39" s="2" t="s">
        <v>2939</v>
      </c>
      <c r="D39" s="4" t="s">
        <v>3545</v>
      </c>
      <c r="E39" s="2" t="s">
        <v>3149</v>
      </c>
      <c r="G39" s="7" t="s">
        <v>242</v>
      </c>
      <c r="H39" s="2" t="s">
        <v>243</v>
      </c>
    </row>
    <row r="40" spans="1:8">
      <c r="A40" s="3" t="s">
        <v>3038</v>
      </c>
      <c r="B40" s="2" t="s">
        <v>2940</v>
      </c>
      <c r="D40" s="4" t="s">
        <v>3546</v>
      </c>
      <c r="E40" s="2" t="s">
        <v>3150</v>
      </c>
      <c r="G40" s="7" t="s">
        <v>244</v>
      </c>
      <c r="H40" s="2" t="s">
        <v>245</v>
      </c>
    </row>
    <row r="41" spans="1:8">
      <c r="A41" s="3" t="s">
        <v>3039</v>
      </c>
      <c r="B41" s="2" t="s">
        <v>2941</v>
      </c>
      <c r="D41" s="4" t="s">
        <v>3547</v>
      </c>
      <c r="E41" s="2" t="s">
        <v>3151</v>
      </c>
      <c r="G41" s="7" t="s">
        <v>246</v>
      </c>
      <c r="H41" s="2" t="s">
        <v>247</v>
      </c>
    </row>
    <row r="42" spans="1:8">
      <c r="A42" s="3" t="s">
        <v>3040</v>
      </c>
      <c r="B42" s="2" t="s">
        <v>2942</v>
      </c>
      <c r="D42" s="4" t="s">
        <v>3548</v>
      </c>
      <c r="E42" s="2" t="s">
        <v>3152</v>
      </c>
      <c r="G42" s="7" t="s">
        <v>248</v>
      </c>
      <c r="H42" s="2" t="s">
        <v>249</v>
      </c>
    </row>
    <row r="43" spans="1:8">
      <c r="A43" s="3" t="s">
        <v>3041</v>
      </c>
      <c r="B43" s="2" t="s">
        <v>2943</v>
      </c>
      <c r="D43" s="4" t="s">
        <v>3549</v>
      </c>
      <c r="E43" s="2" t="s">
        <v>3153</v>
      </c>
      <c r="G43" s="7" t="s">
        <v>250</v>
      </c>
      <c r="H43" s="2" t="s">
        <v>251</v>
      </c>
    </row>
    <row r="44" spans="1:8">
      <c r="A44" s="3" t="s">
        <v>3042</v>
      </c>
      <c r="B44" s="2" t="s">
        <v>2944</v>
      </c>
      <c r="D44" s="4" t="s">
        <v>3550</v>
      </c>
      <c r="E44" s="2" t="s">
        <v>3154</v>
      </c>
      <c r="G44" s="7" t="s">
        <v>252</v>
      </c>
      <c r="H44" s="2" t="s">
        <v>253</v>
      </c>
    </row>
    <row r="45" spans="1:8">
      <c r="A45" s="3" t="s">
        <v>3043</v>
      </c>
      <c r="B45" s="2" t="s">
        <v>2945</v>
      </c>
      <c r="D45" s="4" t="s">
        <v>3551</v>
      </c>
      <c r="E45" s="2" t="s">
        <v>3155</v>
      </c>
      <c r="G45" s="7" t="s">
        <v>254</v>
      </c>
      <c r="H45" s="2" t="s">
        <v>255</v>
      </c>
    </row>
    <row r="46" spans="1:8">
      <c r="A46" s="3" t="s">
        <v>3044</v>
      </c>
      <c r="B46" s="2" t="s">
        <v>2946</v>
      </c>
      <c r="D46" s="4" t="s">
        <v>3552</v>
      </c>
      <c r="E46" s="2" t="s">
        <v>3156</v>
      </c>
      <c r="G46" s="7" t="s">
        <v>256</v>
      </c>
      <c r="H46" s="2" t="s">
        <v>257</v>
      </c>
    </row>
    <row r="47" spans="1:8">
      <c r="A47" s="3" t="s">
        <v>3045</v>
      </c>
      <c r="B47" s="2" t="s">
        <v>2947</v>
      </c>
      <c r="D47" s="4" t="s">
        <v>3553</v>
      </c>
      <c r="E47" s="2" t="s">
        <v>3157</v>
      </c>
      <c r="G47" s="7" t="s">
        <v>258</v>
      </c>
      <c r="H47" s="2" t="s">
        <v>173</v>
      </c>
    </row>
    <row r="48" spans="1:8">
      <c r="A48" s="3" t="s">
        <v>3046</v>
      </c>
      <c r="B48" s="2" t="s">
        <v>2948</v>
      </c>
      <c r="D48" s="4" t="s">
        <v>3554</v>
      </c>
      <c r="E48" s="2" t="s">
        <v>3158</v>
      </c>
      <c r="G48" s="7" t="s">
        <v>259</v>
      </c>
      <c r="H48" s="2" t="s">
        <v>175</v>
      </c>
    </row>
    <row r="49" spans="1:8">
      <c r="A49" s="3" t="s">
        <v>3047</v>
      </c>
      <c r="B49" s="2" t="s">
        <v>2949</v>
      </c>
      <c r="D49" s="4" t="s">
        <v>3555</v>
      </c>
      <c r="E49" s="2" t="s">
        <v>3159</v>
      </c>
      <c r="G49" s="7" t="s">
        <v>260</v>
      </c>
      <c r="H49" s="2" t="s">
        <v>261</v>
      </c>
    </row>
    <row r="50" spans="1:8">
      <c r="A50" s="3" t="s">
        <v>3048</v>
      </c>
      <c r="B50" s="2" t="s">
        <v>1796</v>
      </c>
      <c r="D50" s="4" t="s">
        <v>3556</v>
      </c>
      <c r="E50" s="2" t="s">
        <v>3160</v>
      </c>
      <c r="G50" s="7" t="s">
        <v>262</v>
      </c>
      <c r="H50" s="2" t="s">
        <v>263</v>
      </c>
    </row>
    <row r="51" spans="1:8">
      <c r="A51" s="3" t="s">
        <v>3049</v>
      </c>
      <c r="B51" s="2" t="s">
        <v>2950</v>
      </c>
      <c r="D51" s="4" t="s">
        <v>3557</v>
      </c>
      <c r="E51" s="2" t="s">
        <v>3161</v>
      </c>
      <c r="G51" s="7" t="s">
        <v>264</v>
      </c>
      <c r="H51" s="2" t="s">
        <v>265</v>
      </c>
    </row>
    <row r="52" spans="1:8">
      <c r="A52" s="3" t="s">
        <v>3050</v>
      </c>
      <c r="B52" s="2" t="s">
        <v>2951</v>
      </c>
      <c r="D52" s="4" t="s">
        <v>3558</v>
      </c>
      <c r="E52" s="2" t="s">
        <v>3162</v>
      </c>
      <c r="G52" s="7" t="s">
        <v>266</v>
      </c>
      <c r="H52" s="2" t="s">
        <v>267</v>
      </c>
    </row>
    <row r="53" spans="1:8">
      <c r="A53" s="3" t="s">
        <v>3051</v>
      </c>
      <c r="B53" s="2" t="s">
        <v>2952</v>
      </c>
      <c r="D53" s="4" t="s">
        <v>3559</v>
      </c>
      <c r="E53" s="2" t="s">
        <v>3163</v>
      </c>
      <c r="G53" s="7" t="s">
        <v>268</v>
      </c>
      <c r="H53" s="2" t="s">
        <v>269</v>
      </c>
    </row>
    <row r="54" spans="1:8">
      <c r="A54" s="3" t="s">
        <v>3052</v>
      </c>
      <c r="B54" s="2" t="s">
        <v>2994</v>
      </c>
      <c r="D54" s="4" t="s">
        <v>3560</v>
      </c>
      <c r="E54" s="2" t="s">
        <v>3164</v>
      </c>
      <c r="G54" s="7" t="s">
        <v>270</v>
      </c>
      <c r="H54" s="2" t="s">
        <v>271</v>
      </c>
    </row>
    <row r="55" spans="1:8">
      <c r="A55" s="3" t="s">
        <v>3053</v>
      </c>
      <c r="B55" s="2" t="s">
        <v>2953</v>
      </c>
      <c r="D55" s="4" t="s">
        <v>3561</v>
      </c>
      <c r="E55" s="2" t="s">
        <v>3165</v>
      </c>
      <c r="G55" s="7" t="s">
        <v>272</v>
      </c>
      <c r="H55" s="2" t="s">
        <v>273</v>
      </c>
    </row>
    <row r="56" spans="1:8">
      <c r="A56" s="3" t="s">
        <v>3054</v>
      </c>
      <c r="B56" s="2" t="s">
        <v>2954</v>
      </c>
      <c r="D56" s="4" t="s">
        <v>3562</v>
      </c>
      <c r="E56" s="2" t="s">
        <v>3166</v>
      </c>
      <c r="G56" s="7" t="s">
        <v>274</v>
      </c>
      <c r="H56" s="2" t="s">
        <v>173</v>
      </c>
    </row>
    <row r="57" spans="1:8">
      <c r="A57" s="3" t="s">
        <v>3055</v>
      </c>
      <c r="B57" s="2" t="s">
        <v>2955</v>
      </c>
      <c r="D57" s="4" t="s">
        <v>3563</v>
      </c>
      <c r="E57" s="2" t="s">
        <v>3167</v>
      </c>
      <c r="G57" s="7" t="s">
        <v>275</v>
      </c>
      <c r="H57" s="2" t="s">
        <v>175</v>
      </c>
    </row>
    <row r="58" spans="1:8">
      <c r="A58" s="3" t="s">
        <v>3056</v>
      </c>
      <c r="B58" s="2" t="s">
        <v>2956</v>
      </c>
      <c r="D58" s="4" t="s">
        <v>3564</v>
      </c>
      <c r="E58" s="2" t="s">
        <v>3168</v>
      </c>
      <c r="G58" s="7" t="s">
        <v>276</v>
      </c>
      <c r="H58" s="2" t="s">
        <v>277</v>
      </c>
    </row>
    <row r="59" spans="1:8">
      <c r="A59" s="3" t="s">
        <v>3057</v>
      </c>
      <c r="B59" s="2" t="s">
        <v>2957</v>
      </c>
      <c r="D59" s="5" t="s">
        <v>3568</v>
      </c>
      <c r="E59" s="2" t="s">
        <v>3169</v>
      </c>
      <c r="G59" s="7" t="s">
        <v>278</v>
      </c>
      <c r="H59" s="2" t="s">
        <v>279</v>
      </c>
    </row>
    <row r="60" spans="1:8">
      <c r="A60" s="3" t="s">
        <v>3058</v>
      </c>
      <c r="B60" s="2" t="s">
        <v>2958</v>
      </c>
      <c r="D60" s="5" t="s">
        <v>3569</v>
      </c>
      <c r="E60" s="2" t="s">
        <v>527</v>
      </c>
      <c r="G60" s="7" t="s">
        <v>280</v>
      </c>
      <c r="H60" s="2" t="s">
        <v>281</v>
      </c>
    </row>
    <row r="61" spans="1:8">
      <c r="A61" s="3" t="s">
        <v>3059</v>
      </c>
      <c r="B61" s="2" t="s">
        <v>2959</v>
      </c>
      <c r="D61" s="5" t="s">
        <v>3570</v>
      </c>
      <c r="E61" s="2" t="s">
        <v>3170</v>
      </c>
      <c r="G61" s="7" t="s">
        <v>282</v>
      </c>
      <c r="H61" s="2" t="s">
        <v>283</v>
      </c>
    </row>
    <row r="62" spans="1:8">
      <c r="A62" s="3" t="s">
        <v>3060</v>
      </c>
      <c r="B62" s="2" t="s">
        <v>2960</v>
      </c>
      <c r="D62" s="5" t="s">
        <v>3571</v>
      </c>
      <c r="E62" s="2" t="s">
        <v>3171</v>
      </c>
      <c r="G62" s="7" t="s">
        <v>284</v>
      </c>
      <c r="H62" s="2" t="s">
        <v>285</v>
      </c>
    </row>
    <row r="63" spans="1:8">
      <c r="A63" s="3" t="s">
        <v>3061</v>
      </c>
      <c r="B63" s="2" t="s">
        <v>2961</v>
      </c>
      <c r="D63" s="5" t="s">
        <v>3572</v>
      </c>
      <c r="E63" s="2" t="s">
        <v>541</v>
      </c>
      <c r="G63" s="7" t="s">
        <v>286</v>
      </c>
      <c r="H63" s="2" t="s">
        <v>287</v>
      </c>
    </row>
    <row r="64" spans="1:8">
      <c r="A64" s="3" t="s">
        <v>3062</v>
      </c>
      <c r="B64" s="2" t="s">
        <v>2962</v>
      </c>
      <c r="D64" s="5" t="s">
        <v>3573</v>
      </c>
      <c r="E64" s="2" t="s">
        <v>3172</v>
      </c>
      <c r="G64" s="7" t="s">
        <v>288</v>
      </c>
      <c r="H64" s="2" t="s">
        <v>289</v>
      </c>
    </row>
    <row r="65" spans="1:8">
      <c r="A65" s="3" t="s">
        <v>3063</v>
      </c>
      <c r="B65" s="2" t="s">
        <v>2995</v>
      </c>
      <c r="D65" s="5" t="s">
        <v>3574</v>
      </c>
      <c r="E65" s="2" t="s">
        <v>3173</v>
      </c>
      <c r="G65" s="7" t="s">
        <v>290</v>
      </c>
      <c r="H65" s="2" t="s">
        <v>291</v>
      </c>
    </row>
    <row r="66" spans="1:8">
      <c r="A66" s="3" t="s">
        <v>3064</v>
      </c>
      <c r="B66" s="2" t="s">
        <v>2996</v>
      </c>
      <c r="D66" s="5" t="s">
        <v>3575</v>
      </c>
      <c r="E66" s="2" t="s">
        <v>3174</v>
      </c>
      <c r="G66" s="7" t="s">
        <v>292</v>
      </c>
      <c r="H66" s="2" t="s">
        <v>293</v>
      </c>
    </row>
    <row r="67" spans="1:8">
      <c r="A67" s="3" t="s">
        <v>3065</v>
      </c>
      <c r="B67" s="2" t="s">
        <v>2963</v>
      </c>
      <c r="D67" s="5" t="s">
        <v>3576</v>
      </c>
      <c r="E67" s="2" t="s">
        <v>3175</v>
      </c>
      <c r="G67" s="7" t="s">
        <v>294</v>
      </c>
      <c r="H67" s="2" t="s">
        <v>295</v>
      </c>
    </row>
    <row r="68" spans="1:8">
      <c r="A68" s="3" t="s">
        <v>3066</v>
      </c>
      <c r="B68" s="2" t="s">
        <v>2997</v>
      </c>
      <c r="D68" s="5" t="s">
        <v>3577</v>
      </c>
      <c r="E68" s="2" t="s">
        <v>3176</v>
      </c>
      <c r="G68" s="7" t="s">
        <v>296</v>
      </c>
      <c r="H68" s="2" t="s">
        <v>297</v>
      </c>
    </row>
    <row r="69" spans="1:8">
      <c r="A69" s="3" t="s">
        <v>3067</v>
      </c>
      <c r="B69" s="2" t="s">
        <v>2964</v>
      </c>
      <c r="D69" s="5" t="s">
        <v>3578</v>
      </c>
      <c r="E69" s="2" t="s">
        <v>3177</v>
      </c>
      <c r="G69" s="7" t="s">
        <v>298</v>
      </c>
      <c r="H69" s="2" t="s">
        <v>299</v>
      </c>
    </row>
    <row r="70" spans="1:8">
      <c r="A70" s="3" t="s">
        <v>3068</v>
      </c>
      <c r="B70" s="2" t="s">
        <v>2965</v>
      </c>
      <c r="D70" s="5" t="s">
        <v>3579</v>
      </c>
      <c r="E70" s="2" t="s">
        <v>3178</v>
      </c>
      <c r="G70" s="7" t="s">
        <v>300</v>
      </c>
      <c r="H70" s="2" t="s">
        <v>301</v>
      </c>
    </row>
    <row r="71" spans="1:8">
      <c r="A71" s="3" t="s">
        <v>3069</v>
      </c>
      <c r="B71" s="2" t="s">
        <v>2966</v>
      </c>
      <c r="D71" s="5" t="s">
        <v>3580</v>
      </c>
      <c r="E71" s="2" t="s">
        <v>3179</v>
      </c>
      <c r="G71" s="7" t="s">
        <v>302</v>
      </c>
      <c r="H71" s="2" t="s">
        <v>303</v>
      </c>
    </row>
    <row r="72" spans="1:8">
      <c r="A72" s="3" t="s">
        <v>3070</v>
      </c>
      <c r="B72" s="2" t="s">
        <v>2967</v>
      </c>
      <c r="D72" s="5" t="s">
        <v>3581</v>
      </c>
      <c r="E72" s="2" t="s">
        <v>3180</v>
      </c>
      <c r="G72" s="7" t="s">
        <v>304</v>
      </c>
      <c r="H72" s="2" t="s">
        <v>305</v>
      </c>
    </row>
    <row r="73" spans="1:8">
      <c r="A73" s="3" t="s">
        <v>3071</v>
      </c>
      <c r="B73" s="2" t="s">
        <v>2968</v>
      </c>
      <c r="D73" s="5" t="s">
        <v>3582</v>
      </c>
      <c r="E73" s="2" t="s">
        <v>3181</v>
      </c>
      <c r="G73" s="7" t="s">
        <v>306</v>
      </c>
      <c r="H73" s="2" t="s">
        <v>307</v>
      </c>
    </row>
    <row r="74" spans="1:8">
      <c r="A74" s="3" t="s">
        <v>3072</v>
      </c>
      <c r="B74" s="2" t="s">
        <v>2399</v>
      </c>
      <c r="D74" s="5" t="s">
        <v>3583</v>
      </c>
      <c r="E74" s="2" t="s">
        <v>3182</v>
      </c>
      <c r="G74" s="7" t="s">
        <v>308</v>
      </c>
      <c r="H74" s="2" t="s">
        <v>309</v>
      </c>
    </row>
    <row r="75" spans="1:8">
      <c r="A75" s="3" t="s">
        <v>3073</v>
      </c>
      <c r="B75" s="2" t="s">
        <v>2969</v>
      </c>
      <c r="D75" s="5" t="s">
        <v>3584</v>
      </c>
      <c r="E75" s="2" t="s">
        <v>3183</v>
      </c>
      <c r="G75" s="7" t="s">
        <v>310</v>
      </c>
      <c r="H75" s="2" t="s">
        <v>311</v>
      </c>
    </row>
    <row r="76" spans="1:8">
      <c r="A76" s="3" t="s">
        <v>3074</v>
      </c>
      <c r="B76" s="2" t="s">
        <v>3115</v>
      </c>
      <c r="D76" s="5" t="s">
        <v>3585</v>
      </c>
      <c r="E76" s="2" t="s">
        <v>3184</v>
      </c>
      <c r="G76" s="7" t="s">
        <v>312</v>
      </c>
      <c r="H76" s="2" t="s">
        <v>313</v>
      </c>
    </row>
    <row r="77" spans="1:8">
      <c r="A77" s="3" t="s">
        <v>3075</v>
      </c>
      <c r="B77" s="2" t="s">
        <v>2970</v>
      </c>
      <c r="D77" s="5" t="s">
        <v>3586</v>
      </c>
      <c r="E77" s="2" t="s">
        <v>3185</v>
      </c>
      <c r="G77" s="7" t="s">
        <v>314</v>
      </c>
      <c r="H77" s="2" t="s">
        <v>315</v>
      </c>
    </row>
    <row r="78" spans="1:8">
      <c r="A78" s="3" t="s">
        <v>3076</v>
      </c>
      <c r="B78" s="2" t="s">
        <v>2971</v>
      </c>
      <c r="D78" s="5" t="s">
        <v>3587</v>
      </c>
      <c r="E78" s="2" t="s">
        <v>3186</v>
      </c>
      <c r="G78" s="7" t="s">
        <v>316</v>
      </c>
      <c r="H78" s="2" t="s">
        <v>317</v>
      </c>
    </row>
    <row r="79" spans="1:8">
      <c r="A79" s="3" t="s">
        <v>3077</v>
      </c>
      <c r="B79" s="2" t="s">
        <v>2972</v>
      </c>
      <c r="D79" s="5" t="s">
        <v>3588</v>
      </c>
      <c r="E79" s="2" t="s">
        <v>3187</v>
      </c>
      <c r="G79" s="7" t="s">
        <v>318</v>
      </c>
      <c r="H79" s="2" t="s">
        <v>319</v>
      </c>
    </row>
    <row r="80" spans="1:8">
      <c r="A80" s="3" t="s">
        <v>3078</v>
      </c>
      <c r="B80" s="2" t="s">
        <v>2973</v>
      </c>
      <c r="D80" s="5" t="s">
        <v>3589</v>
      </c>
      <c r="E80" s="2" t="s">
        <v>3188</v>
      </c>
      <c r="G80" s="7" t="s">
        <v>320</v>
      </c>
      <c r="H80" s="2" t="s">
        <v>321</v>
      </c>
    </row>
    <row r="81" spans="1:8">
      <c r="A81" s="3" t="s">
        <v>3079</v>
      </c>
      <c r="B81" s="2" t="s">
        <v>2974</v>
      </c>
      <c r="D81" s="5" t="s">
        <v>3590</v>
      </c>
      <c r="E81" s="2" t="s">
        <v>3189</v>
      </c>
      <c r="G81" s="7" t="s">
        <v>322</v>
      </c>
      <c r="H81" s="2" t="s">
        <v>323</v>
      </c>
    </row>
    <row r="82" spans="1:8">
      <c r="A82" s="3" t="s">
        <v>3080</v>
      </c>
      <c r="B82" s="2" t="s">
        <v>2975</v>
      </c>
      <c r="D82" s="5" t="s">
        <v>3591</v>
      </c>
      <c r="E82" s="2" t="s">
        <v>3190</v>
      </c>
      <c r="G82" s="7" t="s">
        <v>324</v>
      </c>
      <c r="H82" s="2" t="s">
        <v>325</v>
      </c>
    </row>
    <row r="83" spans="1:8">
      <c r="A83" s="3" t="s">
        <v>3081</v>
      </c>
      <c r="B83" s="2" t="s">
        <v>2998</v>
      </c>
      <c r="D83" s="5" t="s">
        <v>3592</v>
      </c>
      <c r="E83" s="2" t="s">
        <v>728</v>
      </c>
      <c r="G83" s="7" t="s">
        <v>326</v>
      </c>
      <c r="H83" s="2" t="s">
        <v>327</v>
      </c>
    </row>
    <row r="84" spans="1:8">
      <c r="A84" s="3" t="s">
        <v>3082</v>
      </c>
      <c r="B84" s="2" t="s">
        <v>2976</v>
      </c>
      <c r="D84" s="5" t="s">
        <v>3593</v>
      </c>
      <c r="E84" s="2" t="s">
        <v>730</v>
      </c>
      <c r="G84" s="7" t="s">
        <v>328</v>
      </c>
      <c r="H84" s="2" t="s">
        <v>329</v>
      </c>
    </row>
    <row r="85" spans="1:8">
      <c r="A85" s="3" t="s">
        <v>3083</v>
      </c>
      <c r="B85" s="2" t="s">
        <v>2977</v>
      </c>
      <c r="D85" s="5" t="s">
        <v>3594</v>
      </c>
      <c r="E85" s="2" t="s">
        <v>3191</v>
      </c>
      <c r="G85" s="7" t="s">
        <v>330</v>
      </c>
      <c r="H85" s="2" t="s">
        <v>331</v>
      </c>
    </row>
    <row r="86" spans="1:8">
      <c r="A86" s="3" t="s">
        <v>3084</v>
      </c>
      <c r="B86" s="2" t="s">
        <v>2978</v>
      </c>
      <c r="D86" s="5" t="s">
        <v>3595</v>
      </c>
      <c r="E86" s="2" t="s">
        <v>3192</v>
      </c>
      <c r="G86" s="7" t="s">
        <v>332</v>
      </c>
      <c r="H86" s="2" t="s">
        <v>333</v>
      </c>
    </row>
    <row r="87" spans="1:8">
      <c r="A87" s="3" t="s">
        <v>3085</v>
      </c>
      <c r="B87" s="2" t="s">
        <v>2752</v>
      </c>
      <c r="D87" s="5" t="s">
        <v>3596</v>
      </c>
      <c r="E87" s="2" t="s">
        <v>742</v>
      </c>
      <c r="G87" s="7" t="s">
        <v>334</v>
      </c>
      <c r="H87" s="2" t="s">
        <v>335</v>
      </c>
    </row>
    <row r="88" spans="1:8">
      <c r="A88" s="3" t="s">
        <v>3086</v>
      </c>
      <c r="B88" s="2" t="s">
        <v>2979</v>
      </c>
      <c r="D88" s="5" t="s">
        <v>3597</v>
      </c>
      <c r="E88" s="2" t="s">
        <v>3193</v>
      </c>
      <c r="G88" s="7" t="s">
        <v>336</v>
      </c>
      <c r="H88" s="2" t="s">
        <v>173</v>
      </c>
    </row>
    <row r="89" spans="1:8">
      <c r="A89" s="3" t="s">
        <v>3087</v>
      </c>
      <c r="B89" s="2" t="s">
        <v>2980</v>
      </c>
      <c r="D89" s="5" t="s">
        <v>3598</v>
      </c>
      <c r="E89" s="2" t="s">
        <v>3194</v>
      </c>
      <c r="G89" s="7" t="s">
        <v>337</v>
      </c>
      <c r="H89" s="2" t="s">
        <v>175</v>
      </c>
    </row>
    <row r="90" spans="1:8">
      <c r="A90" s="3" t="s">
        <v>3088</v>
      </c>
      <c r="B90" s="2" t="s">
        <v>2981</v>
      </c>
      <c r="D90" s="5" t="s">
        <v>3599</v>
      </c>
      <c r="E90" s="2" t="s">
        <v>3195</v>
      </c>
      <c r="G90" s="7" t="s">
        <v>338</v>
      </c>
      <c r="H90" s="2" t="s">
        <v>339</v>
      </c>
    </row>
    <row r="91" spans="1:8">
      <c r="A91" s="3" t="s">
        <v>3089</v>
      </c>
      <c r="B91" s="2" t="s">
        <v>2982</v>
      </c>
      <c r="D91" s="5" t="s">
        <v>3600</v>
      </c>
      <c r="E91" s="2" t="s">
        <v>3196</v>
      </c>
      <c r="G91" s="7" t="s">
        <v>340</v>
      </c>
      <c r="H91" s="2" t="s">
        <v>341</v>
      </c>
    </row>
    <row r="92" spans="1:8">
      <c r="A92" s="3" t="s">
        <v>3090</v>
      </c>
      <c r="B92" s="2" t="s">
        <v>2983</v>
      </c>
      <c r="D92" s="5" t="s">
        <v>3601</v>
      </c>
      <c r="E92" s="2" t="s">
        <v>772</v>
      </c>
      <c r="G92" s="7" t="s">
        <v>342</v>
      </c>
      <c r="H92" s="2" t="s">
        <v>343</v>
      </c>
    </row>
    <row r="93" spans="1:8">
      <c r="A93" s="3" t="s">
        <v>3091</v>
      </c>
      <c r="B93" s="2" t="s">
        <v>2984</v>
      </c>
      <c r="D93" s="5" t="s">
        <v>3602</v>
      </c>
      <c r="E93" s="2" t="s">
        <v>3197</v>
      </c>
      <c r="G93" s="7" t="s">
        <v>344</v>
      </c>
      <c r="H93" s="2" t="s">
        <v>345</v>
      </c>
    </row>
    <row r="94" spans="1:8">
      <c r="A94" s="3" t="s">
        <v>3092</v>
      </c>
      <c r="B94" s="2" t="s">
        <v>2985</v>
      </c>
      <c r="D94" s="5" t="s">
        <v>3603</v>
      </c>
      <c r="E94" s="2" t="s">
        <v>3198</v>
      </c>
      <c r="G94" s="7" t="s">
        <v>346</v>
      </c>
      <c r="H94" s="2" t="s">
        <v>347</v>
      </c>
    </row>
    <row r="95" spans="1:8">
      <c r="A95" s="3" t="s">
        <v>3093</v>
      </c>
      <c r="B95" s="2" t="s">
        <v>2986</v>
      </c>
      <c r="D95" s="5" t="s">
        <v>3604</v>
      </c>
      <c r="E95" s="2" t="s">
        <v>782</v>
      </c>
      <c r="G95" s="7" t="s">
        <v>348</v>
      </c>
      <c r="H95" s="2" t="s">
        <v>349</v>
      </c>
    </row>
    <row r="96" spans="1:8">
      <c r="A96" s="3" t="s">
        <v>3094</v>
      </c>
      <c r="B96" s="2" t="s">
        <v>2987</v>
      </c>
      <c r="D96" s="5" t="s">
        <v>3605</v>
      </c>
      <c r="E96" s="2" t="s">
        <v>3199</v>
      </c>
      <c r="G96" s="7" t="s">
        <v>350</v>
      </c>
      <c r="H96" s="2" t="s">
        <v>351</v>
      </c>
    </row>
    <row r="97" spans="1:8">
      <c r="A97" s="3" t="s">
        <v>3095</v>
      </c>
      <c r="B97" s="2" t="s">
        <v>2988</v>
      </c>
      <c r="D97" s="5" t="s">
        <v>3606</v>
      </c>
      <c r="E97" s="2" t="s">
        <v>788</v>
      </c>
      <c r="G97" s="7" t="s">
        <v>352</v>
      </c>
      <c r="H97" s="2" t="s">
        <v>353</v>
      </c>
    </row>
    <row r="98" spans="1:8">
      <c r="A98" s="3" t="s">
        <v>3096</v>
      </c>
      <c r="B98" s="2" t="s">
        <v>2989</v>
      </c>
      <c r="D98" s="5" t="s">
        <v>3607</v>
      </c>
      <c r="E98" s="2" t="s">
        <v>3200</v>
      </c>
      <c r="G98" s="7" t="s">
        <v>354</v>
      </c>
      <c r="H98" s="2" t="s">
        <v>173</v>
      </c>
    </row>
    <row r="99" spans="1:8">
      <c r="A99" s="3" t="s">
        <v>3097</v>
      </c>
      <c r="B99" s="2" t="s">
        <v>2990</v>
      </c>
      <c r="D99" s="5" t="s">
        <v>3608</v>
      </c>
      <c r="E99" s="2" t="s">
        <v>3201</v>
      </c>
      <c r="G99" s="7" t="s">
        <v>355</v>
      </c>
      <c r="H99" s="2" t="s">
        <v>175</v>
      </c>
    </row>
    <row r="100" spans="1:8">
      <c r="A100" s="3" t="s">
        <v>3098</v>
      </c>
      <c r="B100" s="2" t="s">
        <v>2991</v>
      </c>
      <c r="D100" s="5" t="s">
        <v>3609</v>
      </c>
      <c r="E100" s="2" t="s">
        <v>3202</v>
      </c>
      <c r="G100" s="7" t="s">
        <v>356</v>
      </c>
      <c r="H100" s="2" t="s">
        <v>357</v>
      </c>
    </row>
    <row r="101" spans="1:8">
      <c r="D101" s="5" t="s">
        <v>3610</v>
      </c>
      <c r="E101" s="2" t="s">
        <v>3203</v>
      </c>
      <c r="G101" s="7" t="s">
        <v>358</v>
      </c>
      <c r="H101" s="2" t="s">
        <v>359</v>
      </c>
    </row>
    <row r="102" spans="1:8">
      <c r="D102" s="5" t="s">
        <v>3611</v>
      </c>
      <c r="E102" s="2" t="s">
        <v>3204</v>
      </c>
      <c r="G102" s="7" t="s">
        <v>360</v>
      </c>
      <c r="H102" s="2" t="s">
        <v>361</v>
      </c>
    </row>
    <row r="103" spans="1:8">
      <c r="D103" s="5" t="s">
        <v>3612</v>
      </c>
      <c r="E103" s="2" t="s">
        <v>3205</v>
      </c>
      <c r="G103" s="7" t="s">
        <v>362</v>
      </c>
      <c r="H103" s="2" t="s">
        <v>363</v>
      </c>
    </row>
    <row r="104" spans="1:8">
      <c r="D104" s="5" t="s">
        <v>3613</v>
      </c>
      <c r="E104" s="2" t="s">
        <v>3206</v>
      </c>
      <c r="G104" s="7" t="s">
        <v>364</v>
      </c>
      <c r="H104" s="2" t="s">
        <v>365</v>
      </c>
    </row>
    <row r="105" spans="1:8">
      <c r="D105" s="5" t="s">
        <v>3614</v>
      </c>
      <c r="E105" s="2" t="s">
        <v>3207</v>
      </c>
      <c r="G105" s="7" t="s">
        <v>366</v>
      </c>
      <c r="H105" s="2" t="s">
        <v>367</v>
      </c>
    </row>
    <row r="106" spans="1:8">
      <c r="D106" s="5" t="s">
        <v>3615</v>
      </c>
      <c r="E106" s="2" t="s">
        <v>3208</v>
      </c>
      <c r="G106" s="7" t="s">
        <v>368</v>
      </c>
      <c r="H106" s="2" t="s">
        <v>369</v>
      </c>
    </row>
    <row r="107" spans="1:8">
      <c r="D107" s="5" t="s">
        <v>3616</v>
      </c>
      <c r="E107" s="2" t="s">
        <v>870</v>
      </c>
      <c r="G107" s="7" t="s">
        <v>370</v>
      </c>
      <c r="H107" s="2" t="s">
        <v>371</v>
      </c>
    </row>
    <row r="108" spans="1:8">
      <c r="D108" s="5" t="s">
        <v>3617</v>
      </c>
      <c r="E108" s="2" t="s">
        <v>872</v>
      </c>
      <c r="G108" s="7" t="s">
        <v>372</v>
      </c>
      <c r="H108" s="2" t="s">
        <v>373</v>
      </c>
    </row>
    <row r="109" spans="1:8">
      <c r="D109" s="5" t="s">
        <v>3618</v>
      </c>
      <c r="E109" s="2" t="s">
        <v>874</v>
      </c>
      <c r="G109" s="7" t="s">
        <v>374</v>
      </c>
      <c r="H109" s="2" t="s">
        <v>375</v>
      </c>
    </row>
    <row r="110" spans="1:8">
      <c r="D110" s="5" t="s">
        <v>3619</v>
      </c>
      <c r="E110" s="2" t="s">
        <v>876</v>
      </c>
      <c r="G110" s="7" t="s">
        <v>376</v>
      </c>
      <c r="H110" s="2" t="s">
        <v>377</v>
      </c>
    </row>
    <row r="111" spans="1:8">
      <c r="D111" s="5" t="s">
        <v>3620</v>
      </c>
      <c r="E111" s="2" t="s">
        <v>878</v>
      </c>
      <c r="G111" s="7" t="s">
        <v>378</v>
      </c>
      <c r="H111" s="2" t="s">
        <v>379</v>
      </c>
    </row>
    <row r="112" spans="1:8">
      <c r="D112" s="5" t="s">
        <v>3621</v>
      </c>
      <c r="E112" s="2" t="s">
        <v>3209</v>
      </c>
      <c r="G112" s="7" t="s">
        <v>380</v>
      </c>
      <c r="H112" s="2" t="s">
        <v>381</v>
      </c>
    </row>
    <row r="113" spans="4:8">
      <c r="D113" s="5" t="s">
        <v>3622</v>
      </c>
      <c r="E113" s="2" t="s">
        <v>3210</v>
      </c>
      <c r="G113" s="7" t="s">
        <v>382</v>
      </c>
      <c r="H113" s="2" t="s">
        <v>383</v>
      </c>
    </row>
    <row r="114" spans="4:8">
      <c r="D114" s="5" t="s">
        <v>3623</v>
      </c>
      <c r="E114" s="2" t="s">
        <v>3211</v>
      </c>
      <c r="G114" s="7" t="s">
        <v>384</v>
      </c>
      <c r="H114" s="2" t="s">
        <v>385</v>
      </c>
    </row>
    <row r="115" spans="4:8">
      <c r="D115" s="5" t="s">
        <v>3624</v>
      </c>
      <c r="E115" s="2" t="s">
        <v>3212</v>
      </c>
      <c r="G115" s="7" t="s">
        <v>386</v>
      </c>
      <c r="H115" s="2" t="s">
        <v>387</v>
      </c>
    </row>
    <row r="116" spans="4:8">
      <c r="D116" s="5" t="s">
        <v>3625</v>
      </c>
      <c r="E116" s="2" t="s">
        <v>3213</v>
      </c>
      <c r="G116" s="7" t="s">
        <v>388</v>
      </c>
      <c r="H116" s="2" t="s">
        <v>389</v>
      </c>
    </row>
    <row r="117" spans="4:8">
      <c r="D117" s="5" t="s">
        <v>3626</v>
      </c>
      <c r="E117" s="2" t="s">
        <v>3214</v>
      </c>
      <c r="G117" s="7" t="s">
        <v>390</v>
      </c>
      <c r="H117" s="2" t="s">
        <v>391</v>
      </c>
    </row>
    <row r="118" spans="4:8">
      <c r="D118" s="5" t="s">
        <v>3627</v>
      </c>
      <c r="E118" s="2" t="s">
        <v>3215</v>
      </c>
      <c r="G118" s="7" t="s">
        <v>392</v>
      </c>
      <c r="H118" s="2" t="s">
        <v>393</v>
      </c>
    </row>
    <row r="119" spans="4:8">
      <c r="D119" s="5" t="s">
        <v>3628</v>
      </c>
      <c r="E119" s="2" t="s">
        <v>3216</v>
      </c>
      <c r="G119" s="7" t="s">
        <v>394</v>
      </c>
      <c r="H119" s="2" t="s">
        <v>395</v>
      </c>
    </row>
    <row r="120" spans="4:8">
      <c r="D120" s="5" t="s">
        <v>3629</v>
      </c>
      <c r="E120" s="2" t="s">
        <v>3217</v>
      </c>
      <c r="G120" s="7" t="s">
        <v>396</v>
      </c>
      <c r="H120" s="2" t="s">
        <v>397</v>
      </c>
    </row>
    <row r="121" spans="4:8">
      <c r="D121" s="5" t="s">
        <v>3630</v>
      </c>
      <c r="E121" s="2" t="s">
        <v>3218</v>
      </c>
      <c r="G121" s="7" t="s">
        <v>398</v>
      </c>
      <c r="H121" s="2" t="s">
        <v>399</v>
      </c>
    </row>
    <row r="122" spans="4:8">
      <c r="D122" s="5" t="s">
        <v>3631</v>
      </c>
      <c r="E122" s="2" t="s">
        <v>3219</v>
      </c>
      <c r="G122" s="7" t="s">
        <v>400</v>
      </c>
      <c r="H122" s="2" t="s">
        <v>401</v>
      </c>
    </row>
    <row r="123" spans="4:8">
      <c r="D123" s="5" t="s">
        <v>3632</v>
      </c>
      <c r="E123" s="2" t="s">
        <v>3220</v>
      </c>
      <c r="G123" s="7" t="s">
        <v>402</v>
      </c>
      <c r="H123" s="2" t="s">
        <v>403</v>
      </c>
    </row>
    <row r="124" spans="4:8">
      <c r="D124" s="5" t="s">
        <v>3633</v>
      </c>
      <c r="E124" s="2" t="s">
        <v>3221</v>
      </c>
      <c r="G124" s="7" t="s">
        <v>404</v>
      </c>
      <c r="H124" s="2" t="s">
        <v>405</v>
      </c>
    </row>
    <row r="125" spans="4:8">
      <c r="D125" s="5" t="s">
        <v>3634</v>
      </c>
      <c r="E125" s="2" t="s">
        <v>962</v>
      </c>
      <c r="G125" s="7" t="s">
        <v>406</v>
      </c>
      <c r="H125" s="2" t="s">
        <v>407</v>
      </c>
    </row>
    <row r="126" spans="4:8">
      <c r="D126" s="5" t="s">
        <v>3635</v>
      </c>
      <c r="E126" s="2" t="s">
        <v>964</v>
      </c>
      <c r="G126" s="7" t="s">
        <v>408</v>
      </c>
      <c r="H126" s="2" t="s">
        <v>173</v>
      </c>
    </row>
    <row r="127" spans="4:8">
      <c r="D127" s="5" t="s">
        <v>3636</v>
      </c>
      <c r="E127" s="2" t="s">
        <v>966</v>
      </c>
      <c r="G127" s="7" t="s">
        <v>409</v>
      </c>
      <c r="H127" s="2" t="s">
        <v>175</v>
      </c>
    </row>
    <row r="128" spans="4:8">
      <c r="D128" s="5" t="s">
        <v>3637</v>
      </c>
      <c r="E128" s="2" t="s">
        <v>968</v>
      </c>
      <c r="G128" s="7" t="s">
        <v>410</v>
      </c>
      <c r="H128" s="2" t="s">
        <v>411</v>
      </c>
    </row>
    <row r="129" spans="4:8">
      <c r="D129" s="5" t="s">
        <v>3638</v>
      </c>
      <c r="E129" s="2" t="s">
        <v>970</v>
      </c>
      <c r="G129" s="7" t="s">
        <v>412</v>
      </c>
      <c r="H129" s="2" t="s">
        <v>413</v>
      </c>
    </row>
    <row r="130" spans="4:8">
      <c r="D130" s="5" t="s">
        <v>3639</v>
      </c>
      <c r="E130" s="2" t="s">
        <v>972</v>
      </c>
      <c r="G130" s="7" t="s">
        <v>414</v>
      </c>
      <c r="H130" s="2" t="s">
        <v>415</v>
      </c>
    </row>
    <row r="131" spans="4:8">
      <c r="D131" s="5" t="s">
        <v>3640</v>
      </c>
      <c r="E131" s="2" t="s">
        <v>3222</v>
      </c>
      <c r="G131" s="7" t="s">
        <v>416</v>
      </c>
      <c r="H131" s="2" t="s">
        <v>417</v>
      </c>
    </row>
    <row r="132" spans="4:8">
      <c r="D132" s="5" t="s">
        <v>3641</v>
      </c>
      <c r="E132" s="2" t="s">
        <v>978</v>
      </c>
      <c r="G132" s="7" t="s">
        <v>418</v>
      </c>
      <c r="H132" s="2" t="s">
        <v>419</v>
      </c>
    </row>
    <row r="133" spans="4:8">
      <c r="D133" s="5" t="s">
        <v>3642</v>
      </c>
      <c r="E133" s="2" t="s">
        <v>980</v>
      </c>
      <c r="G133" s="7" t="s">
        <v>420</v>
      </c>
      <c r="H133" s="2" t="s">
        <v>421</v>
      </c>
    </row>
    <row r="134" spans="4:8">
      <c r="D134" s="5" t="s">
        <v>3643</v>
      </c>
      <c r="E134" s="2" t="s">
        <v>3223</v>
      </c>
      <c r="G134" s="7" t="s">
        <v>422</v>
      </c>
      <c r="H134" s="2" t="s">
        <v>423</v>
      </c>
    </row>
    <row r="135" spans="4:8">
      <c r="D135" s="5" t="s">
        <v>3644</v>
      </c>
      <c r="E135" s="2" t="s">
        <v>3224</v>
      </c>
      <c r="G135" s="7" t="s">
        <v>424</v>
      </c>
      <c r="H135" s="2" t="s">
        <v>425</v>
      </c>
    </row>
    <row r="136" spans="4:8">
      <c r="D136" s="5" t="s">
        <v>3645</v>
      </c>
      <c r="E136" s="2" t="s">
        <v>3225</v>
      </c>
      <c r="G136" s="7" t="s">
        <v>426</v>
      </c>
      <c r="H136" s="2" t="s">
        <v>427</v>
      </c>
    </row>
    <row r="137" spans="4:8">
      <c r="D137" s="5" t="s">
        <v>3646</v>
      </c>
      <c r="E137" s="2" t="s">
        <v>3226</v>
      </c>
      <c r="G137" s="7" t="s">
        <v>428</v>
      </c>
      <c r="H137" s="2" t="s">
        <v>429</v>
      </c>
    </row>
    <row r="138" spans="4:8">
      <c r="D138" s="5" t="s">
        <v>3647</v>
      </c>
      <c r="E138" s="2" t="s">
        <v>3227</v>
      </c>
      <c r="G138" s="7" t="s">
        <v>430</v>
      </c>
      <c r="H138" s="2" t="s">
        <v>431</v>
      </c>
    </row>
    <row r="139" spans="4:8">
      <c r="D139" s="5" t="s">
        <v>3648</v>
      </c>
      <c r="E139" s="2" t="s">
        <v>3228</v>
      </c>
      <c r="G139" s="7" t="s">
        <v>432</v>
      </c>
      <c r="H139" s="2" t="s">
        <v>433</v>
      </c>
    </row>
    <row r="140" spans="4:8">
      <c r="D140" s="5" t="s">
        <v>3649</v>
      </c>
      <c r="E140" s="2" t="s">
        <v>3229</v>
      </c>
      <c r="G140" s="7" t="s">
        <v>434</v>
      </c>
      <c r="H140" s="2" t="s">
        <v>435</v>
      </c>
    </row>
    <row r="141" spans="4:8">
      <c r="D141" s="5" t="s">
        <v>3650</v>
      </c>
      <c r="E141" s="2" t="s">
        <v>3230</v>
      </c>
      <c r="G141" s="7" t="s">
        <v>436</v>
      </c>
      <c r="H141" s="2" t="s">
        <v>437</v>
      </c>
    </row>
    <row r="142" spans="4:8">
      <c r="D142" s="5" t="s">
        <v>3651</v>
      </c>
      <c r="E142" s="2" t="s">
        <v>3231</v>
      </c>
      <c r="G142" s="7" t="s">
        <v>438</v>
      </c>
      <c r="H142" s="2" t="s">
        <v>439</v>
      </c>
    </row>
    <row r="143" spans="4:8">
      <c r="D143" s="5" t="s">
        <v>3652</v>
      </c>
      <c r="E143" s="2" t="s">
        <v>3232</v>
      </c>
      <c r="G143" s="7" t="s">
        <v>440</v>
      </c>
      <c r="H143" s="2" t="s">
        <v>173</v>
      </c>
    </row>
    <row r="144" spans="4:8">
      <c r="D144" s="5" t="s">
        <v>3653</v>
      </c>
      <c r="E144" s="2" t="s">
        <v>3233</v>
      </c>
      <c r="G144" s="7" t="s">
        <v>441</v>
      </c>
      <c r="H144" s="2" t="s">
        <v>175</v>
      </c>
    </row>
    <row r="145" spans="4:8">
      <c r="D145" s="5" t="s">
        <v>3654</v>
      </c>
      <c r="E145" s="2" t="s">
        <v>3234</v>
      </c>
      <c r="G145" s="7" t="s">
        <v>442</v>
      </c>
      <c r="H145" s="2" t="s">
        <v>443</v>
      </c>
    </row>
    <row r="146" spans="4:8">
      <c r="D146" s="5" t="s">
        <v>3655</v>
      </c>
      <c r="E146" s="2" t="s">
        <v>1080</v>
      </c>
      <c r="G146" s="7" t="s">
        <v>444</v>
      </c>
      <c r="H146" s="2" t="s">
        <v>445</v>
      </c>
    </row>
    <row r="147" spans="4:8">
      <c r="D147" s="5" t="s">
        <v>3656</v>
      </c>
      <c r="E147" s="2" t="s">
        <v>3235</v>
      </c>
      <c r="G147" s="7" t="s">
        <v>446</v>
      </c>
      <c r="H147" s="2" t="s">
        <v>447</v>
      </c>
    </row>
    <row r="148" spans="4:8">
      <c r="D148" s="5" t="s">
        <v>3657</v>
      </c>
      <c r="E148" s="2" t="s">
        <v>3236</v>
      </c>
      <c r="G148" s="7" t="s">
        <v>448</v>
      </c>
      <c r="H148" s="2" t="s">
        <v>449</v>
      </c>
    </row>
    <row r="149" spans="4:8">
      <c r="D149" s="5" t="s">
        <v>3658</v>
      </c>
      <c r="E149" s="2" t="s">
        <v>3237</v>
      </c>
      <c r="G149" s="7" t="s">
        <v>450</v>
      </c>
      <c r="H149" s="2" t="s">
        <v>451</v>
      </c>
    </row>
    <row r="150" spans="4:8">
      <c r="D150" s="5" t="s">
        <v>3659</v>
      </c>
      <c r="E150" s="2" t="s">
        <v>3238</v>
      </c>
      <c r="G150" s="7" t="s">
        <v>452</v>
      </c>
      <c r="H150" s="2" t="s">
        <v>453</v>
      </c>
    </row>
    <row r="151" spans="4:8">
      <c r="D151" s="5" t="s">
        <v>3660</v>
      </c>
      <c r="E151" s="2" t="s">
        <v>3239</v>
      </c>
      <c r="G151" s="7" t="s">
        <v>454</v>
      </c>
      <c r="H151" s="2" t="s">
        <v>455</v>
      </c>
    </row>
    <row r="152" spans="4:8">
      <c r="D152" s="5" t="s">
        <v>3661</v>
      </c>
      <c r="E152" s="2" t="s">
        <v>3240</v>
      </c>
      <c r="G152" s="7" t="s">
        <v>456</v>
      </c>
      <c r="H152" s="2" t="s">
        <v>457</v>
      </c>
    </row>
    <row r="153" spans="4:8">
      <c r="D153" s="5" t="s">
        <v>3662</v>
      </c>
      <c r="E153" s="2" t="s">
        <v>3241</v>
      </c>
      <c r="G153" s="7" t="s">
        <v>458</v>
      </c>
      <c r="H153" s="2" t="s">
        <v>459</v>
      </c>
    </row>
    <row r="154" spans="4:8">
      <c r="D154" s="5" t="s">
        <v>3663</v>
      </c>
      <c r="E154" s="2" t="s">
        <v>3242</v>
      </c>
      <c r="G154" s="7" t="s">
        <v>460</v>
      </c>
      <c r="H154" s="2" t="s">
        <v>461</v>
      </c>
    </row>
    <row r="155" spans="4:8">
      <c r="D155" s="5" t="s">
        <v>3664</v>
      </c>
      <c r="E155" s="2" t="s">
        <v>3243</v>
      </c>
      <c r="G155" s="7" t="s">
        <v>462</v>
      </c>
      <c r="H155" s="2" t="s">
        <v>463</v>
      </c>
    </row>
    <row r="156" spans="4:8">
      <c r="D156" s="5" t="s">
        <v>3665</v>
      </c>
      <c r="E156" s="2" t="s">
        <v>3244</v>
      </c>
      <c r="G156" s="7" t="s">
        <v>464</v>
      </c>
      <c r="H156" s="2" t="s">
        <v>465</v>
      </c>
    </row>
    <row r="157" spans="4:8">
      <c r="D157" s="5" t="s">
        <v>3666</v>
      </c>
      <c r="E157" s="2" t="s">
        <v>3245</v>
      </c>
      <c r="G157" s="7" t="s">
        <v>466</v>
      </c>
      <c r="H157" s="2" t="s">
        <v>467</v>
      </c>
    </row>
    <row r="158" spans="4:8">
      <c r="D158" s="5" t="s">
        <v>3667</v>
      </c>
      <c r="E158" s="2" t="s">
        <v>3246</v>
      </c>
      <c r="G158" s="7" t="s">
        <v>468</v>
      </c>
      <c r="H158" s="2" t="s">
        <v>469</v>
      </c>
    </row>
    <row r="159" spans="4:8">
      <c r="D159" s="5" t="s">
        <v>3668</v>
      </c>
      <c r="E159" s="2" t="s">
        <v>1162</v>
      </c>
      <c r="G159" s="7" t="s">
        <v>470</v>
      </c>
      <c r="H159" s="2" t="s">
        <v>471</v>
      </c>
    </row>
    <row r="160" spans="4:8">
      <c r="D160" s="5" t="s">
        <v>3669</v>
      </c>
      <c r="E160" s="2" t="s">
        <v>3247</v>
      </c>
      <c r="G160" s="7" t="s">
        <v>472</v>
      </c>
      <c r="H160" s="2" t="s">
        <v>473</v>
      </c>
    </row>
    <row r="161" spans="4:8">
      <c r="D161" s="5" t="s">
        <v>3670</v>
      </c>
      <c r="E161" s="2" t="s">
        <v>3248</v>
      </c>
      <c r="G161" s="7" t="s">
        <v>474</v>
      </c>
      <c r="H161" s="2" t="s">
        <v>475</v>
      </c>
    </row>
    <row r="162" spans="4:8">
      <c r="D162" s="5" t="s">
        <v>3671</v>
      </c>
      <c r="E162" s="2" t="s">
        <v>3249</v>
      </c>
      <c r="G162" s="7" t="s">
        <v>476</v>
      </c>
      <c r="H162" s="2" t="s">
        <v>477</v>
      </c>
    </row>
    <row r="163" spans="4:8">
      <c r="D163" s="5" t="s">
        <v>3672</v>
      </c>
      <c r="E163" s="2" t="s">
        <v>3250</v>
      </c>
      <c r="G163" s="7" t="s">
        <v>478</v>
      </c>
      <c r="H163" s="2" t="s">
        <v>479</v>
      </c>
    </row>
    <row r="164" spans="4:8">
      <c r="D164" s="5" t="s">
        <v>3673</v>
      </c>
      <c r="E164" s="2" t="s">
        <v>3251</v>
      </c>
      <c r="G164" s="7" t="s">
        <v>480</v>
      </c>
      <c r="H164" s="2" t="s">
        <v>481</v>
      </c>
    </row>
    <row r="165" spans="4:8">
      <c r="D165" s="5" t="s">
        <v>3674</v>
      </c>
      <c r="E165" s="2" t="s">
        <v>3252</v>
      </c>
      <c r="G165" s="7" t="s">
        <v>482</v>
      </c>
      <c r="H165" s="2" t="s">
        <v>483</v>
      </c>
    </row>
    <row r="166" spans="4:8">
      <c r="D166" s="5" t="s">
        <v>3675</v>
      </c>
      <c r="E166" s="2" t="s">
        <v>1220</v>
      </c>
      <c r="G166" s="7" t="s">
        <v>484</v>
      </c>
      <c r="H166" s="2" t="s">
        <v>485</v>
      </c>
    </row>
    <row r="167" spans="4:8">
      <c r="D167" s="5" t="s">
        <v>3676</v>
      </c>
      <c r="E167" s="2" t="s">
        <v>3253</v>
      </c>
      <c r="G167" s="7" t="s">
        <v>486</v>
      </c>
      <c r="H167" s="2" t="s">
        <v>487</v>
      </c>
    </row>
    <row r="168" spans="4:8">
      <c r="D168" s="5" t="s">
        <v>3677</v>
      </c>
      <c r="E168" s="2" t="s">
        <v>3254</v>
      </c>
      <c r="G168" s="7" t="s">
        <v>488</v>
      </c>
      <c r="H168" s="2" t="s">
        <v>489</v>
      </c>
    </row>
    <row r="169" spans="4:8">
      <c r="D169" s="5" t="s">
        <v>3678</v>
      </c>
      <c r="E169" s="2" t="s">
        <v>3255</v>
      </c>
      <c r="G169" s="7" t="s">
        <v>490</v>
      </c>
      <c r="H169" s="2" t="s">
        <v>491</v>
      </c>
    </row>
    <row r="170" spans="4:8">
      <c r="D170" s="5" t="s">
        <v>3679</v>
      </c>
      <c r="E170" s="2" t="s">
        <v>3256</v>
      </c>
      <c r="G170" s="7" t="s">
        <v>492</v>
      </c>
      <c r="H170" s="2" t="s">
        <v>493</v>
      </c>
    </row>
    <row r="171" spans="4:8">
      <c r="D171" s="5" t="s">
        <v>3680</v>
      </c>
      <c r="E171" s="2" t="s">
        <v>3257</v>
      </c>
      <c r="G171" s="7" t="s">
        <v>494</v>
      </c>
      <c r="H171" s="2" t="s">
        <v>495</v>
      </c>
    </row>
    <row r="172" spans="4:8">
      <c r="D172" s="5" t="s">
        <v>3681</v>
      </c>
      <c r="E172" s="2" t="s">
        <v>3258</v>
      </c>
      <c r="G172" s="7" t="s">
        <v>496</v>
      </c>
      <c r="H172" s="2" t="s">
        <v>497</v>
      </c>
    </row>
    <row r="173" spans="4:8">
      <c r="D173" s="5" t="s">
        <v>3682</v>
      </c>
      <c r="E173" s="2" t="s">
        <v>3259</v>
      </c>
      <c r="G173" s="7" t="s">
        <v>498</v>
      </c>
      <c r="H173" s="2" t="s">
        <v>499</v>
      </c>
    </row>
    <row r="174" spans="4:8">
      <c r="D174" s="5" t="s">
        <v>3683</v>
      </c>
      <c r="E174" s="2" t="s">
        <v>1270</v>
      </c>
      <c r="G174" s="7" t="s">
        <v>500</v>
      </c>
      <c r="H174" s="2" t="s">
        <v>501</v>
      </c>
    </row>
    <row r="175" spans="4:8">
      <c r="D175" s="5" t="s">
        <v>3684</v>
      </c>
      <c r="E175" s="2" t="s">
        <v>1272</v>
      </c>
      <c r="G175" s="7" t="s">
        <v>502</v>
      </c>
      <c r="H175" s="2" t="s">
        <v>503</v>
      </c>
    </row>
    <row r="176" spans="4:8">
      <c r="D176" s="5" t="s">
        <v>3685</v>
      </c>
      <c r="E176" s="2" t="s">
        <v>3260</v>
      </c>
      <c r="G176" s="7" t="s">
        <v>504</v>
      </c>
      <c r="H176" s="2" t="s">
        <v>505</v>
      </c>
    </row>
    <row r="177" spans="4:8">
      <c r="D177" s="5" t="s">
        <v>3686</v>
      </c>
      <c r="E177" s="2" t="s">
        <v>3261</v>
      </c>
      <c r="G177" s="7" t="s">
        <v>506</v>
      </c>
      <c r="H177" s="2" t="s">
        <v>507</v>
      </c>
    </row>
    <row r="178" spans="4:8">
      <c r="D178" s="5" t="s">
        <v>3687</v>
      </c>
      <c r="E178" s="2" t="s">
        <v>3262</v>
      </c>
      <c r="G178" s="7" t="s">
        <v>508</v>
      </c>
      <c r="H178" s="2" t="s">
        <v>509</v>
      </c>
    </row>
    <row r="179" spans="4:8">
      <c r="D179" s="5" t="s">
        <v>3688</v>
      </c>
      <c r="E179" s="2" t="s">
        <v>3263</v>
      </c>
      <c r="G179" s="7" t="s">
        <v>510</v>
      </c>
      <c r="H179" s="2" t="s">
        <v>511</v>
      </c>
    </row>
    <row r="180" spans="4:8">
      <c r="D180" s="5" t="s">
        <v>3689</v>
      </c>
      <c r="E180" s="2" t="s">
        <v>3264</v>
      </c>
      <c r="G180" s="7" t="s">
        <v>512</v>
      </c>
      <c r="H180" s="2" t="s">
        <v>513</v>
      </c>
    </row>
    <row r="181" spans="4:8">
      <c r="D181" s="5" t="s">
        <v>3690</v>
      </c>
      <c r="E181" s="2" t="s">
        <v>3265</v>
      </c>
      <c r="G181" s="7" t="s">
        <v>514</v>
      </c>
      <c r="H181" s="2" t="s">
        <v>515</v>
      </c>
    </row>
    <row r="182" spans="4:8">
      <c r="D182" s="5" t="s">
        <v>3691</v>
      </c>
      <c r="E182" s="2" t="s">
        <v>3266</v>
      </c>
      <c r="G182" s="7" t="s">
        <v>516</v>
      </c>
      <c r="H182" s="2" t="s">
        <v>517</v>
      </c>
    </row>
    <row r="183" spans="4:8">
      <c r="D183" s="5" t="s">
        <v>3692</v>
      </c>
      <c r="E183" s="2" t="s">
        <v>3267</v>
      </c>
      <c r="G183" s="7" t="s">
        <v>518</v>
      </c>
      <c r="H183" s="2" t="s">
        <v>519</v>
      </c>
    </row>
    <row r="184" spans="4:8">
      <c r="D184" s="5" t="s">
        <v>3693</v>
      </c>
      <c r="E184" s="2" t="s">
        <v>3268</v>
      </c>
      <c r="G184" s="7" t="s">
        <v>520</v>
      </c>
      <c r="H184" s="2" t="s">
        <v>521</v>
      </c>
    </row>
    <row r="185" spans="4:8">
      <c r="D185" s="5" t="s">
        <v>3694</v>
      </c>
      <c r="E185" s="2" t="s">
        <v>3269</v>
      </c>
      <c r="G185" s="7" t="s">
        <v>522</v>
      </c>
      <c r="H185" s="2" t="s">
        <v>523</v>
      </c>
    </row>
    <row r="186" spans="4:8">
      <c r="D186" s="5" t="s">
        <v>3695</v>
      </c>
      <c r="E186" s="2" t="s">
        <v>3270</v>
      </c>
      <c r="G186" s="7" t="s">
        <v>524</v>
      </c>
      <c r="H186" s="2" t="s">
        <v>173</v>
      </c>
    </row>
    <row r="187" spans="4:8">
      <c r="D187" s="5" t="s">
        <v>3696</v>
      </c>
      <c r="E187" s="2" t="s">
        <v>3271</v>
      </c>
      <c r="G187" s="7" t="s">
        <v>525</v>
      </c>
      <c r="H187" s="2" t="s">
        <v>175</v>
      </c>
    </row>
    <row r="188" spans="4:8">
      <c r="D188" s="5" t="s">
        <v>3697</v>
      </c>
      <c r="E188" s="2" t="s">
        <v>1368</v>
      </c>
      <c r="G188" s="7" t="s">
        <v>526</v>
      </c>
      <c r="H188" s="2" t="s">
        <v>527</v>
      </c>
    </row>
    <row r="189" spans="4:8">
      <c r="D189" s="5" t="s">
        <v>3698</v>
      </c>
      <c r="E189" s="2" t="s">
        <v>3272</v>
      </c>
      <c r="G189" s="7" t="s">
        <v>528</v>
      </c>
      <c r="H189" s="2" t="s">
        <v>529</v>
      </c>
    </row>
    <row r="190" spans="4:8">
      <c r="D190" s="5" t="s">
        <v>3699</v>
      </c>
      <c r="E190" s="2" t="s">
        <v>3273</v>
      </c>
      <c r="G190" s="7" t="s">
        <v>530</v>
      </c>
      <c r="H190" s="2" t="s">
        <v>531</v>
      </c>
    </row>
    <row r="191" spans="4:8">
      <c r="D191" s="5" t="s">
        <v>3700</v>
      </c>
      <c r="E191" s="2" t="s">
        <v>3274</v>
      </c>
      <c r="G191" s="7" t="s">
        <v>532</v>
      </c>
      <c r="H191" s="2" t="s">
        <v>533</v>
      </c>
    </row>
    <row r="192" spans="4:8">
      <c r="D192" s="5" t="s">
        <v>3701</v>
      </c>
      <c r="E192" s="2" t="s">
        <v>3275</v>
      </c>
      <c r="G192" s="7" t="s">
        <v>534</v>
      </c>
      <c r="H192" s="2" t="s">
        <v>535</v>
      </c>
    </row>
    <row r="193" spans="4:8">
      <c r="D193" s="5" t="s">
        <v>3702</v>
      </c>
      <c r="E193" s="2" t="s">
        <v>3276</v>
      </c>
      <c r="G193" s="7" t="s">
        <v>536</v>
      </c>
      <c r="H193" s="2" t="s">
        <v>537</v>
      </c>
    </row>
    <row r="194" spans="4:8">
      <c r="D194" s="5" t="s">
        <v>3703</v>
      </c>
      <c r="E194" s="2" t="s">
        <v>3277</v>
      </c>
      <c r="G194" s="7" t="s">
        <v>538</v>
      </c>
      <c r="H194" s="2" t="s">
        <v>539</v>
      </c>
    </row>
    <row r="195" spans="4:8">
      <c r="D195" s="5" t="s">
        <v>3704</v>
      </c>
      <c r="E195" s="2" t="s">
        <v>1400</v>
      </c>
      <c r="G195" s="7" t="s">
        <v>540</v>
      </c>
      <c r="H195" s="2" t="s">
        <v>541</v>
      </c>
    </row>
    <row r="196" spans="4:8">
      <c r="D196" s="5" t="s">
        <v>3705</v>
      </c>
      <c r="E196" s="2" t="s">
        <v>3278</v>
      </c>
      <c r="G196" s="7" t="s">
        <v>542</v>
      </c>
      <c r="H196" s="2" t="s">
        <v>543</v>
      </c>
    </row>
    <row r="197" spans="4:8">
      <c r="D197" s="5" t="s">
        <v>3706</v>
      </c>
      <c r="E197" s="2" t="s">
        <v>3279</v>
      </c>
      <c r="G197" s="7" t="s">
        <v>544</v>
      </c>
      <c r="H197" s="2" t="s">
        <v>545</v>
      </c>
    </row>
    <row r="198" spans="4:8">
      <c r="D198" s="5" t="s">
        <v>3707</v>
      </c>
      <c r="E198" s="2" t="s">
        <v>3280</v>
      </c>
      <c r="G198" s="7" t="s">
        <v>546</v>
      </c>
      <c r="H198" s="2" t="s">
        <v>547</v>
      </c>
    </row>
    <row r="199" spans="4:8">
      <c r="D199" s="5" t="s">
        <v>3708</v>
      </c>
      <c r="E199" s="2" t="s">
        <v>3281</v>
      </c>
      <c r="G199" s="7" t="s">
        <v>548</v>
      </c>
      <c r="H199" s="2" t="s">
        <v>549</v>
      </c>
    </row>
    <row r="200" spans="4:8">
      <c r="D200" s="5" t="s">
        <v>3709</v>
      </c>
      <c r="E200" s="2" t="s">
        <v>3282</v>
      </c>
      <c r="G200" s="7" t="s">
        <v>550</v>
      </c>
      <c r="H200" s="2" t="s">
        <v>551</v>
      </c>
    </row>
    <row r="201" spans="4:8">
      <c r="D201" s="5" t="s">
        <v>3710</v>
      </c>
      <c r="E201" s="2" t="s">
        <v>3283</v>
      </c>
      <c r="G201" s="7" t="s">
        <v>552</v>
      </c>
      <c r="H201" s="2" t="s">
        <v>173</v>
      </c>
    </row>
    <row r="202" spans="4:8">
      <c r="D202" s="5" t="s">
        <v>3711</v>
      </c>
      <c r="E202" s="2" t="s">
        <v>3284</v>
      </c>
      <c r="G202" s="7" t="s">
        <v>553</v>
      </c>
      <c r="H202" s="2" t="s">
        <v>175</v>
      </c>
    </row>
    <row r="203" spans="4:8">
      <c r="D203" s="5" t="s">
        <v>3712</v>
      </c>
      <c r="E203" s="2" t="s">
        <v>3285</v>
      </c>
      <c r="G203" s="7" t="s">
        <v>554</v>
      </c>
      <c r="H203" s="2" t="s">
        <v>555</v>
      </c>
    </row>
    <row r="204" spans="4:8">
      <c r="D204" s="5" t="s">
        <v>3713</v>
      </c>
      <c r="E204" s="2" t="s">
        <v>1448</v>
      </c>
      <c r="G204" s="7" t="s">
        <v>556</v>
      </c>
      <c r="H204" s="2" t="s">
        <v>557</v>
      </c>
    </row>
    <row r="205" spans="4:8">
      <c r="D205" s="5" t="s">
        <v>3714</v>
      </c>
      <c r="E205" s="2" t="s">
        <v>3286</v>
      </c>
      <c r="G205" s="7" t="s">
        <v>558</v>
      </c>
      <c r="H205" s="2" t="s">
        <v>559</v>
      </c>
    </row>
    <row r="206" spans="4:8">
      <c r="D206" s="5" t="s">
        <v>3715</v>
      </c>
      <c r="E206" s="2" t="s">
        <v>3287</v>
      </c>
      <c r="G206" s="7" t="s">
        <v>560</v>
      </c>
      <c r="H206" s="2" t="s">
        <v>561</v>
      </c>
    </row>
    <row r="207" spans="4:8">
      <c r="D207" s="5" t="s">
        <v>3716</v>
      </c>
      <c r="E207" s="2" t="s">
        <v>3288</v>
      </c>
      <c r="G207" s="7" t="s">
        <v>562</v>
      </c>
      <c r="H207" s="2" t="s">
        <v>563</v>
      </c>
    </row>
    <row r="208" spans="4:8">
      <c r="D208" s="5" t="s">
        <v>3717</v>
      </c>
      <c r="E208" s="2" t="s">
        <v>3289</v>
      </c>
      <c r="G208" s="7" t="s">
        <v>564</v>
      </c>
      <c r="H208" s="2" t="s">
        <v>565</v>
      </c>
    </row>
    <row r="209" spans="4:8">
      <c r="D209" s="5" t="s">
        <v>3718</v>
      </c>
      <c r="E209" s="2" t="s">
        <v>3290</v>
      </c>
      <c r="G209" s="7" t="s">
        <v>566</v>
      </c>
      <c r="H209" s="2" t="s">
        <v>567</v>
      </c>
    </row>
    <row r="210" spans="4:8">
      <c r="D210" s="5" t="s">
        <v>3719</v>
      </c>
      <c r="E210" s="2" t="s">
        <v>3291</v>
      </c>
      <c r="G210" s="7" t="s">
        <v>568</v>
      </c>
      <c r="H210" s="2" t="s">
        <v>569</v>
      </c>
    </row>
    <row r="211" spans="4:8">
      <c r="D211" s="5" t="s">
        <v>3720</v>
      </c>
      <c r="E211" s="2" t="s">
        <v>3292</v>
      </c>
      <c r="G211" s="7" t="s">
        <v>570</v>
      </c>
      <c r="H211" s="2" t="s">
        <v>571</v>
      </c>
    </row>
    <row r="212" spans="4:8">
      <c r="D212" s="5" t="s">
        <v>3721</v>
      </c>
      <c r="E212" s="2" t="s">
        <v>3293</v>
      </c>
      <c r="G212" s="7" t="s">
        <v>572</v>
      </c>
      <c r="H212" s="2" t="s">
        <v>573</v>
      </c>
    </row>
    <row r="213" spans="4:8">
      <c r="D213" s="5" t="s">
        <v>3722</v>
      </c>
      <c r="E213" s="2" t="s">
        <v>3294</v>
      </c>
      <c r="G213" s="7" t="s">
        <v>574</v>
      </c>
      <c r="H213" s="2" t="s">
        <v>575</v>
      </c>
    </row>
    <row r="214" spans="4:8">
      <c r="D214" s="5" t="s">
        <v>3723</v>
      </c>
      <c r="E214" s="2" t="s">
        <v>3295</v>
      </c>
      <c r="G214" s="7" t="s">
        <v>576</v>
      </c>
      <c r="H214" s="2" t="s">
        <v>577</v>
      </c>
    </row>
    <row r="215" spans="4:8">
      <c r="D215" s="5" t="s">
        <v>3724</v>
      </c>
      <c r="E215" s="2" t="s">
        <v>3296</v>
      </c>
      <c r="G215" s="7" t="s">
        <v>578</v>
      </c>
      <c r="H215" s="2" t="s">
        <v>579</v>
      </c>
    </row>
    <row r="216" spans="4:8">
      <c r="D216" s="5" t="s">
        <v>3725</v>
      </c>
      <c r="E216" s="2" t="s">
        <v>3297</v>
      </c>
      <c r="G216" s="7" t="s">
        <v>580</v>
      </c>
      <c r="H216" s="2" t="s">
        <v>581</v>
      </c>
    </row>
    <row r="217" spans="4:8">
      <c r="D217" s="5" t="s">
        <v>3726</v>
      </c>
      <c r="E217" s="2" t="s">
        <v>3298</v>
      </c>
      <c r="G217" s="7" t="s">
        <v>582</v>
      </c>
      <c r="H217" s="2" t="s">
        <v>583</v>
      </c>
    </row>
    <row r="218" spans="4:8">
      <c r="D218" s="5" t="s">
        <v>3727</v>
      </c>
      <c r="E218" s="2" t="s">
        <v>3299</v>
      </c>
      <c r="G218" s="7" t="s">
        <v>584</v>
      </c>
      <c r="H218" s="2" t="s">
        <v>585</v>
      </c>
    </row>
    <row r="219" spans="4:8">
      <c r="D219" s="5" t="s">
        <v>3728</v>
      </c>
      <c r="E219" s="2" t="s">
        <v>1534</v>
      </c>
      <c r="G219" s="7" t="s">
        <v>586</v>
      </c>
      <c r="H219" s="2" t="s">
        <v>587</v>
      </c>
    </row>
    <row r="220" spans="4:8">
      <c r="D220" s="5" t="s">
        <v>3729</v>
      </c>
      <c r="E220" s="2" t="s">
        <v>3300</v>
      </c>
      <c r="G220" s="7" t="s">
        <v>588</v>
      </c>
      <c r="H220" s="2" t="s">
        <v>589</v>
      </c>
    </row>
    <row r="221" spans="4:8">
      <c r="D221" s="5" t="s">
        <v>3730</v>
      </c>
      <c r="E221" s="2" t="s">
        <v>3301</v>
      </c>
      <c r="G221" s="7" t="s">
        <v>590</v>
      </c>
      <c r="H221" s="2" t="s">
        <v>591</v>
      </c>
    </row>
    <row r="222" spans="4:8">
      <c r="D222" s="5" t="s">
        <v>3731</v>
      </c>
      <c r="E222" s="2" t="s">
        <v>3302</v>
      </c>
      <c r="G222" s="7" t="s">
        <v>592</v>
      </c>
      <c r="H222" s="2" t="s">
        <v>593</v>
      </c>
    </row>
    <row r="223" spans="4:8">
      <c r="D223" s="5" t="s">
        <v>3732</v>
      </c>
      <c r="E223" s="2" t="s">
        <v>1552</v>
      </c>
      <c r="G223" s="7" t="s">
        <v>594</v>
      </c>
      <c r="H223" s="2" t="s">
        <v>595</v>
      </c>
    </row>
    <row r="224" spans="4:8">
      <c r="D224" s="5" t="s">
        <v>3733</v>
      </c>
      <c r="E224" s="2" t="s">
        <v>3303</v>
      </c>
      <c r="G224" s="7" t="s">
        <v>596</v>
      </c>
      <c r="H224" s="2" t="s">
        <v>597</v>
      </c>
    </row>
    <row r="225" spans="4:8">
      <c r="D225" s="5" t="s">
        <v>3734</v>
      </c>
      <c r="E225" s="2" t="s">
        <v>3304</v>
      </c>
      <c r="G225" s="7" t="s">
        <v>598</v>
      </c>
      <c r="H225" s="2" t="s">
        <v>599</v>
      </c>
    </row>
    <row r="226" spans="4:8">
      <c r="D226" s="5" t="s">
        <v>3735</v>
      </c>
      <c r="E226" s="2" t="s">
        <v>3305</v>
      </c>
      <c r="G226" s="7" t="s">
        <v>600</v>
      </c>
      <c r="H226" s="2" t="s">
        <v>601</v>
      </c>
    </row>
    <row r="227" spans="4:8">
      <c r="D227" s="5" t="s">
        <v>3736</v>
      </c>
      <c r="E227" s="2" t="s">
        <v>2935</v>
      </c>
      <c r="G227" s="7" t="s">
        <v>602</v>
      </c>
      <c r="H227" s="2" t="s">
        <v>603</v>
      </c>
    </row>
    <row r="228" spans="4:8">
      <c r="D228" s="5" t="s">
        <v>3737</v>
      </c>
      <c r="E228" s="2" t="s">
        <v>3306</v>
      </c>
      <c r="G228" s="7" t="s">
        <v>604</v>
      </c>
      <c r="H228" s="2" t="s">
        <v>605</v>
      </c>
    </row>
    <row r="229" spans="4:8">
      <c r="D229" s="5" t="s">
        <v>3738</v>
      </c>
      <c r="E229" s="2" t="s">
        <v>2936</v>
      </c>
      <c r="G229" s="7" t="s">
        <v>606</v>
      </c>
      <c r="H229" s="2" t="s">
        <v>607</v>
      </c>
    </row>
    <row r="230" spans="4:8">
      <c r="D230" s="5" t="s">
        <v>3739</v>
      </c>
      <c r="E230" s="2" t="s">
        <v>3307</v>
      </c>
      <c r="G230" s="7" t="s">
        <v>608</v>
      </c>
      <c r="H230" s="2" t="s">
        <v>609</v>
      </c>
    </row>
    <row r="231" spans="4:8">
      <c r="D231" s="5" t="s">
        <v>3740</v>
      </c>
      <c r="E231" s="2" t="s">
        <v>1596</v>
      </c>
      <c r="G231" s="7" t="s">
        <v>610</v>
      </c>
      <c r="H231" s="2" t="s">
        <v>611</v>
      </c>
    </row>
    <row r="232" spans="4:8">
      <c r="D232" s="5" t="s">
        <v>3741</v>
      </c>
      <c r="E232" s="2" t="s">
        <v>3308</v>
      </c>
      <c r="G232" s="7" t="s">
        <v>612</v>
      </c>
      <c r="H232" s="2" t="s">
        <v>613</v>
      </c>
    </row>
    <row r="233" spans="4:8">
      <c r="D233" s="5" t="s">
        <v>3742</v>
      </c>
      <c r="E233" s="2" t="s">
        <v>1600</v>
      </c>
      <c r="G233" s="7" t="s">
        <v>614</v>
      </c>
      <c r="H233" s="2" t="s">
        <v>615</v>
      </c>
    </row>
    <row r="234" spans="4:8">
      <c r="D234" s="5" t="s">
        <v>3743</v>
      </c>
      <c r="E234" s="2" t="s">
        <v>1602</v>
      </c>
      <c r="G234" s="7" t="s">
        <v>616</v>
      </c>
      <c r="H234" s="2" t="s">
        <v>617</v>
      </c>
    </row>
    <row r="235" spans="4:8">
      <c r="D235" s="5" t="s">
        <v>3744</v>
      </c>
      <c r="E235" s="2" t="s">
        <v>3309</v>
      </c>
      <c r="G235" s="7" t="s">
        <v>618</v>
      </c>
      <c r="H235" s="2" t="s">
        <v>619</v>
      </c>
    </row>
    <row r="236" spans="4:8">
      <c r="D236" s="5" t="s">
        <v>3745</v>
      </c>
      <c r="E236" s="2" t="s">
        <v>3310</v>
      </c>
      <c r="G236" s="7" t="s">
        <v>620</v>
      </c>
      <c r="H236" s="2" t="s">
        <v>621</v>
      </c>
    </row>
    <row r="237" spans="4:8">
      <c r="D237" s="5" t="s">
        <v>3746</v>
      </c>
      <c r="E237" s="2" t="s">
        <v>3311</v>
      </c>
      <c r="G237" s="7" t="s">
        <v>622</v>
      </c>
      <c r="H237" s="2" t="s">
        <v>623</v>
      </c>
    </row>
    <row r="238" spans="4:8">
      <c r="D238" s="5" t="s">
        <v>3747</v>
      </c>
      <c r="E238" s="2" t="s">
        <v>1618</v>
      </c>
      <c r="G238" s="7" t="s">
        <v>624</v>
      </c>
      <c r="H238" s="2" t="s">
        <v>625</v>
      </c>
    </row>
    <row r="239" spans="4:8">
      <c r="D239" s="5" t="s">
        <v>3748</v>
      </c>
      <c r="E239" s="2" t="s">
        <v>1620</v>
      </c>
      <c r="G239" s="7" t="s">
        <v>626</v>
      </c>
      <c r="H239" s="2" t="s">
        <v>627</v>
      </c>
    </row>
    <row r="240" spans="4:8">
      <c r="D240" s="5" t="s">
        <v>3749</v>
      </c>
      <c r="E240" s="2" t="s">
        <v>3312</v>
      </c>
      <c r="G240" s="7" t="s">
        <v>628</v>
      </c>
      <c r="H240" s="2" t="s">
        <v>629</v>
      </c>
    </row>
    <row r="241" spans="4:8">
      <c r="D241" s="5" t="s">
        <v>3750</v>
      </c>
      <c r="E241" s="2" t="s">
        <v>1624</v>
      </c>
      <c r="G241" s="7" t="s">
        <v>630</v>
      </c>
      <c r="H241" s="2" t="s">
        <v>631</v>
      </c>
    </row>
    <row r="242" spans="4:8">
      <c r="D242" s="5" t="s">
        <v>3751</v>
      </c>
      <c r="E242" s="2" t="s">
        <v>3313</v>
      </c>
      <c r="G242" s="7" t="s">
        <v>632</v>
      </c>
      <c r="H242" s="2" t="s">
        <v>2900</v>
      </c>
    </row>
    <row r="243" spans="4:8">
      <c r="D243" s="5" t="s">
        <v>3752</v>
      </c>
      <c r="E243" s="2" t="s">
        <v>3314</v>
      </c>
      <c r="G243" s="7" t="s">
        <v>633</v>
      </c>
      <c r="H243" s="2" t="s">
        <v>634</v>
      </c>
    </row>
    <row r="244" spans="4:8">
      <c r="D244" s="5" t="s">
        <v>3753</v>
      </c>
      <c r="E244" s="2" t="s">
        <v>3315</v>
      </c>
      <c r="G244" s="7" t="s">
        <v>635</v>
      </c>
      <c r="H244" s="2" t="s">
        <v>636</v>
      </c>
    </row>
    <row r="245" spans="4:8">
      <c r="D245" s="5" t="s">
        <v>3754</v>
      </c>
      <c r="E245" s="2" t="s">
        <v>3316</v>
      </c>
      <c r="G245" s="7" t="s">
        <v>637</v>
      </c>
      <c r="H245" s="2" t="s">
        <v>638</v>
      </c>
    </row>
    <row r="246" spans="4:8">
      <c r="D246" s="5" t="s">
        <v>3755</v>
      </c>
      <c r="E246" s="2" t="s">
        <v>3317</v>
      </c>
      <c r="G246" s="7" t="s">
        <v>639</v>
      </c>
      <c r="H246" s="2" t="s">
        <v>640</v>
      </c>
    </row>
    <row r="247" spans="4:8">
      <c r="D247" s="5" t="s">
        <v>3756</v>
      </c>
      <c r="E247" s="2" t="s">
        <v>3318</v>
      </c>
      <c r="G247" s="7" t="s">
        <v>641</v>
      </c>
      <c r="H247" s="2" t="s">
        <v>642</v>
      </c>
    </row>
    <row r="248" spans="4:8">
      <c r="D248" s="5" t="s">
        <v>3757</v>
      </c>
      <c r="E248" s="2" t="s">
        <v>2941</v>
      </c>
      <c r="G248" s="7" t="s">
        <v>643</v>
      </c>
      <c r="H248" s="2" t="s">
        <v>644</v>
      </c>
    </row>
    <row r="249" spans="4:8">
      <c r="D249" s="5" t="s">
        <v>3758</v>
      </c>
      <c r="E249" s="2" t="s">
        <v>3319</v>
      </c>
      <c r="G249" s="7" t="s">
        <v>645</v>
      </c>
      <c r="H249" s="2" t="s">
        <v>646</v>
      </c>
    </row>
    <row r="250" spans="4:8">
      <c r="D250" s="5" t="s">
        <v>3759</v>
      </c>
      <c r="E250" s="2" t="s">
        <v>3320</v>
      </c>
      <c r="G250" s="7" t="s">
        <v>647</v>
      </c>
      <c r="H250" s="2" t="s">
        <v>648</v>
      </c>
    </row>
    <row r="251" spans="4:8">
      <c r="D251" s="5" t="s">
        <v>3760</v>
      </c>
      <c r="E251" s="2" t="s">
        <v>3321</v>
      </c>
      <c r="G251" s="7" t="s">
        <v>649</v>
      </c>
      <c r="H251" s="2" t="s">
        <v>650</v>
      </c>
    </row>
    <row r="252" spans="4:8">
      <c r="D252" s="5" t="s">
        <v>3761</v>
      </c>
      <c r="E252" s="2" t="s">
        <v>1678</v>
      </c>
      <c r="G252" s="7" t="s">
        <v>651</v>
      </c>
      <c r="H252" s="2" t="s">
        <v>652</v>
      </c>
    </row>
    <row r="253" spans="4:8">
      <c r="D253" s="5" t="s">
        <v>3762</v>
      </c>
      <c r="E253" s="2" t="s">
        <v>1680</v>
      </c>
      <c r="G253" s="7" t="s">
        <v>653</v>
      </c>
      <c r="H253" s="2" t="s">
        <v>654</v>
      </c>
    </row>
    <row r="254" spans="4:8">
      <c r="D254" s="5" t="s">
        <v>3763</v>
      </c>
      <c r="E254" s="2" t="s">
        <v>1682</v>
      </c>
      <c r="G254" s="7" t="s">
        <v>655</v>
      </c>
      <c r="H254" s="2" t="s">
        <v>656</v>
      </c>
    </row>
    <row r="255" spans="4:8">
      <c r="D255" s="5" t="s">
        <v>3764</v>
      </c>
      <c r="E255" s="2" t="s">
        <v>3322</v>
      </c>
      <c r="G255" s="7" t="s">
        <v>657</v>
      </c>
      <c r="H255" s="2" t="s">
        <v>658</v>
      </c>
    </row>
    <row r="256" spans="4:8">
      <c r="D256" s="5" t="s">
        <v>3765</v>
      </c>
      <c r="E256" s="2" t="s">
        <v>3323</v>
      </c>
      <c r="G256" s="7" t="s">
        <v>659</v>
      </c>
      <c r="H256" s="2" t="s">
        <v>660</v>
      </c>
    </row>
    <row r="257" spans="4:8">
      <c r="D257" s="5" t="s">
        <v>3766</v>
      </c>
      <c r="E257" s="2" t="s">
        <v>2943</v>
      </c>
      <c r="G257" s="7" t="s">
        <v>661</v>
      </c>
      <c r="H257" s="2" t="s">
        <v>662</v>
      </c>
    </row>
    <row r="258" spans="4:8">
      <c r="D258" s="5" t="s">
        <v>3767</v>
      </c>
      <c r="E258" s="2" t="s">
        <v>3324</v>
      </c>
      <c r="G258" s="7" t="s">
        <v>663</v>
      </c>
      <c r="H258" s="2" t="s">
        <v>664</v>
      </c>
    </row>
    <row r="259" spans="4:8">
      <c r="D259" s="5" t="s">
        <v>3768</v>
      </c>
      <c r="E259" s="2" t="s">
        <v>1708</v>
      </c>
      <c r="G259" s="7" t="s">
        <v>665</v>
      </c>
      <c r="H259" s="2" t="s">
        <v>666</v>
      </c>
    </row>
    <row r="260" spans="4:8">
      <c r="D260" s="5" t="s">
        <v>3769</v>
      </c>
      <c r="E260" s="2" t="s">
        <v>1710</v>
      </c>
      <c r="G260" s="7" t="s">
        <v>667</v>
      </c>
      <c r="H260" s="2" t="s">
        <v>668</v>
      </c>
    </row>
    <row r="261" spans="4:8">
      <c r="D261" s="5" t="s">
        <v>3770</v>
      </c>
      <c r="E261" s="2" t="s">
        <v>1712</v>
      </c>
      <c r="G261" s="7" t="s">
        <v>669</v>
      </c>
      <c r="H261" s="2" t="s">
        <v>670</v>
      </c>
    </row>
    <row r="262" spans="4:8">
      <c r="D262" s="5" t="s">
        <v>3771</v>
      </c>
      <c r="E262" s="2" t="s">
        <v>3325</v>
      </c>
      <c r="G262" s="7" t="s">
        <v>671</v>
      </c>
      <c r="H262" s="2" t="s">
        <v>672</v>
      </c>
    </row>
    <row r="263" spans="4:8">
      <c r="D263" s="5" t="s">
        <v>3772</v>
      </c>
      <c r="E263" s="2" t="s">
        <v>3326</v>
      </c>
      <c r="G263" s="7" t="s">
        <v>673</v>
      </c>
      <c r="H263" s="2" t="s">
        <v>674</v>
      </c>
    </row>
    <row r="264" spans="4:8">
      <c r="D264" s="5" t="s">
        <v>3773</v>
      </c>
      <c r="E264" s="2" t="s">
        <v>3327</v>
      </c>
      <c r="G264" s="7" t="s">
        <v>675</v>
      </c>
      <c r="H264" s="2" t="s">
        <v>676</v>
      </c>
    </row>
    <row r="265" spans="4:8">
      <c r="D265" s="5" t="s">
        <v>3774</v>
      </c>
      <c r="E265" s="2" t="s">
        <v>1724</v>
      </c>
      <c r="G265" s="7" t="s">
        <v>677</v>
      </c>
      <c r="H265" s="2" t="s">
        <v>678</v>
      </c>
    </row>
    <row r="266" spans="4:8">
      <c r="D266" s="5" t="s">
        <v>3775</v>
      </c>
      <c r="E266" s="2" t="s">
        <v>1726</v>
      </c>
      <c r="G266" s="7" t="s">
        <v>679</v>
      </c>
      <c r="H266" s="2" t="s">
        <v>680</v>
      </c>
    </row>
    <row r="267" spans="4:8">
      <c r="D267" s="5" t="s">
        <v>3776</v>
      </c>
      <c r="E267" s="2" t="s">
        <v>1728</v>
      </c>
      <c r="G267" s="7" t="s">
        <v>681</v>
      </c>
      <c r="H267" s="2" t="s">
        <v>173</v>
      </c>
    </row>
    <row r="268" spans="4:8">
      <c r="D268" s="5" t="s">
        <v>3777</v>
      </c>
      <c r="E268" s="2" t="s">
        <v>1730</v>
      </c>
      <c r="G268" s="7" t="s">
        <v>682</v>
      </c>
      <c r="H268" s="2" t="s">
        <v>175</v>
      </c>
    </row>
    <row r="269" spans="4:8">
      <c r="D269" s="5" t="s">
        <v>3778</v>
      </c>
      <c r="E269" s="2" t="s">
        <v>3328</v>
      </c>
      <c r="G269" s="7" t="s">
        <v>683</v>
      </c>
      <c r="H269" s="2" t="s">
        <v>684</v>
      </c>
    </row>
    <row r="270" spans="4:8">
      <c r="D270" s="5" t="s">
        <v>3779</v>
      </c>
      <c r="E270" s="2" t="s">
        <v>3329</v>
      </c>
      <c r="G270" s="7" t="s">
        <v>685</v>
      </c>
      <c r="H270" s="2" t="s">
        <v>686</v>
      </c>
    </row>
    <row r="271" spans="4:8">
      <c r="D271" s="5" t="s">
        <v>3780</v>
      </c>
      <c r="E271" s="2" t="s">
        <v>3330</v>
      </c>
      <c r="G271" s="7" t="s">
        <v>687</v>
      </c>
      <c r="H271" s="2" t="s">
        <v>688</v>
      </c>
    </row>
    <row r="272" spans="4:8">
      <c r="D272" s="5" t="s">
        <v>3781</v>
      </c>
      <c r="E272" s="2" t="s">
        <v>3331</v>
      </c>
      <c r="G272" s="7" t="s">
        <v>689</v>
      </c>
      <c r="H272" s="2" t="s">
        <v>690</v>
      </c>
    </row>
    <row r="273" spans="4:8">
      <c r="D273" s="5" t="s">
        <v>3782</v>
      </c>
      <c r="E273" s="2" t="s">
        <v>3332</v>
      </c>
      <c r="G273" s="7" t="s">
        <v>691</v>
      </c>
      <c r="H273" s="2" t="s">
        <v>692</v>
      </c>
    </row>
    <row r="274" spans="4:8">
      <c r="D274" s="5" t="s">
        <v>3783</v>
      </c>
      <c r="E274" s="2" t="s">
        <v>3333</v>
      </c>
      <c r="G274" s="7" t="s">
        <v>693</v>
      </c>
      <c r="H274" s="2" t="s">
        <v>694</v>
      </c>
    </row>
    <row r="275" spans="4:8">
      <c r="D275" s="5" t="s">
        <v>3784</v>
      </c>
      <c r="E275" s="2" t="s">
        <v>1754</v>
      </c>
      <c r="G275" s="7" t="s">
        <v>695</v>
      </c>
      <c r="H275" s="2" t="s">
        <v>696</v>
      </c>
    </row>
    <row r="276" spans="4:8">
      <c r="D276" s="5" t="s">
        <v>3785</v>
      </c>
      <c r="E276" s="2" t="s">
        <v>1756</v>
      </c>
      <c r="G276" s="7" t="s">
        <v>697</v>
      </c>
      <c r="H276" s="2" t="s">
        <v>698</v>
      </c>
    </row>
    <row r="277" spans="4:8">
      <c r="D277" s="5" t="s">
        <v>3786</v>
      </c>
      <c r="E277" s="2" t="s">
        <v>3334</v>
      </c>
      <c r="G277" s="7" t="s">
        <v>699</v>
      </c>
      <c r="H277" s="2" t="s">
        <v>700</v>
      </c>
    </row>
    <row r="278" spans="4:8">
      <c r="D278" s="5" t="s">
        <v>3787</v>
      </c>
      <c r="E278" s="2" t="s">
        <v>1760</v>
      </c>
      <c r="G278" s="7" t="s">
        <v>701</v>
      </c>
      <c r="H278" s="2" t="s">
        <v>702</v>
      </c>
    </row>
    <row r="279" spans="4:8">
      <c r="D279" s="5" t="s">
        <v>3788</v>
      </c>
      <c r="E279" s="2" t="s">
        <v>1762</v>
      </c>
      <c r="G279" s="7" t="s">
        <v>703</v>
      </c>
      <c r="H279" s="2" t="s">
        <v>704</v>
      </c>
    </row>
    <row r="280" spans="4:8">
      <c r="D280" s="5" t="s">
        <v>3789</v>
      </c>
      <c r="E280" s="2" t="s">
        <v>3335</v>
      </c>
      <c r="G280" s="7" t="s">
        <v>705</v>
      </c>
      <c r="H280" s="2" t="s">
        <v>706</v>
      </c>
    </row>
    <row r="281" spans="4:8">
      <c r="D281" s="5" t="s">
        <v>3790</v>
      </c>
      <c r="E281" s="2" t="s">
        <v>1766</v>
      </c>
      <c r="G281" s="7" t="s">
        <v>707</v>
      </c>
      <c r="H281" s="2" t="s">
        <v>708</v>
      </c>
    </row>
    <row r="282" spans="4:8">
      <c r="D282" s="5" t="s">
        <v>3791</v>
      </c>
      <c r="E282" s="2" t="s">
        <v>3336</v>
      </c>
      <c r="G282" s="7" t="s">
        <v>709</v>
      </c>
      <c r="H282" s="2" t="s">
        <v>710</v>
      </c>
    </row>
    <row r="283" spans="4:8">
      <c r="D283" s="5" t="s">
        <v>3792</v>
      </c>
      <c r="E283" s="2" t="s">
        <v>1772</v>
      </c>
      <c r="G283" s="7" t="s">
        <v>711</v>
      </c>
      <c r="H283" s="2" t="s">
        <v>712</v>
      </c>
    </row>
    <row r="284" spans="4:8">
      <c r="D284" s="5" t="s">
        <v>3793</v>
      </c>
      <c r="E284" s="2" t="s">
        <v>3337</v>
      </c>
      <c r="G284" s="7" t="s">
        <v>713</v>
      </c>
      <c r="H284" s="2" t="s">
        <v>714</v>
      </c>
    </row>
    <row r="285" spans="4:8">
      <c r="D285" s="5" t="s">
        <v>3794</v>
      </c>
      <c r="E285" s="2" t="s">
        <v>3338</v>
      </c>
      <c r="G285" s="7" t="s">
        <v>715</v>
      </c>
      <c r="H285" s="2" t="s">
        <v>716</v>
      </c>
    </row>
    <row r="286" spans="4:8">
      <c r="D286" s="5" t="s">
        <v>3795</v>
      </c>
      <c r="E286" s="2" t="s">
        <v>3339</v>
      </c>
      <c r="G286" s="7" t="s">
        <v>717</v>
      </c>
      <c r="H286" s="2" t="s">
        <v>718</v>
      </c>
    </row>
    <row r="287" spans="4:8">
      <c r="D287" s="5" t="s">
        <v>3796</v>
      </c>
      <c r="E287" s="2" t="s">
        <v>3340</v>
      </c>
      <c r="G287" s="7" t="s">
        <v>719</v>
      </c>
      <c r="H287" s="2" t="s">
        <v>173</v>
      </c>
    </row>
    <row r="288" spans="4:8">
      <c r="D288" s="5" t="s">
        <v>3797</v>
      </c>
      <c r="E288" s="2" t="s">
        <v>1796</v>
      </c>
      <c r="G288" s="7" t="s">
        <v>720</v>
      </c>
      <c r="H288" s="2" t="s">
        <v>175</v>
      </c>
    </row>
    <row r="289" spans="4:8">
      <c r="D289" s="5" t="s">
        <v>3798</v>
      </c>
      <c r="E289" s="2" t="s">
        <v>3341</v>
      </c>
      <c r="G289" s="7" t="s">
        <v>721</v>
      </c>
      <c r="H289" s="2" t="s">
        <v>722</v>
      </c>
    </row>
    <row r="290" spans="4:8">
      <c r="D290" s="5" t="s">
        <v>3799</v>
      </c>
      <c r="E290" s="2" t="s">
        <v>2950</v>
      </c>
      <c r="G290" s="7" t="s">
        <v>723</v>
      </c>
      <c r="H290" s="2" t="s">
        <v>724</v>
      </c>
    </row>
    <row r="291" spans="4:8">
      <c r="D291" s="5" t="s">
        <v>3800</v>
      </c>
      <c r="E291" s="2" t="s">
        <v>3342</v>
      </c>
      <c r="G291" s="7" t="s">
        <v>725</v>
      </c>
      <c r="H291" s="2" t="s">
        <v>726</v>
      </c>
    </row>
    <row r="292" spans="4:8">
      <c r="D292" s="5" t="s">
        <v>3801</v>
      </c>
      <c r="E292" s="2" t="s">
        <v>3343</v>
      </c>
      <c r="G292" s="7" t="s">
        <v>727</v>
      </c>
      <c r="H292" s="2" t="s">
        <v>728</v>
      </c>
    </row>
    <row r="293" spans="4:8">
      <c r="D293" s="5" t="s">
        <v>3802</v>
      </c>
      <c r="E293" s="2" t="s">
        <v>3344</v>
      </c>
      <c r="G293" s="7" t="s">
        <v>729</v>
      </c>
      <c r="H293" s="2" t="s">
        <v>730</v>
      </c>
    </row>
    <row r="294" spans="4:8">
      <c r="D294" s="5" t="s">
        <v>3803</v>
      </c>
      <c r="E294" s="2" t="s">
        <v>3345</v>
      </c>
      <c r="G294" s="7" t="s">
        <v>731</v>
      </c>
      <c r="H294" s="2" t="s">
        <v>732</v>
      </c>
    </row>
    <row r="295" spans="4:8">
      <c r="D295" s="5" t="s">
        <v>3804</v>
      </c>
      <c r="E295" s="2" t="s">
        <v>3346</v>
      </c>
      <c r="G295" s="7" t="s">
        <v>733</v>
      </c>
      <c r="H295" s="2" t="s">
        <v>734</v>
      </c>
    </row>
    <row r="296" spans="4:8">
      <c r="D296" s="5" t="s">
        <v>3805</v>
      </c>
      <c r="E296" s="2" t="s">
        <v>3347</v>
      </c>
      <c r="G296" s="7" t="s">
        <v>735</v>
      </c>
      <c r="H296" s="2" t="s">
        <v>736</v>
      </c>
    </row>
    <row r="297" spans="4:8">
      <c r="D297" s="5" t="s">
        <v>3806</v>
      </c>
      <c r="E297" s="2" t="s">
        <v>3348</v>
      </c>
      <c r="G297" s="7" t="s">
        <v>737</v>
      </c>
      <c r="H297" s="2" t="s">
        <v>738</v>
      </c>
    </row>
    <row r="298" spans="4:8">
      <c r="D298" s="5" t="s">
        <v>3807</v>
      </c>
      <c r="E298" s="2" t="s">
        <v>3349</v>
      </c>
      <c r="G298" s="7" t="s">
        <v>739</v>
      </c>
      <c r="H298" s="2" t="s">
        <v>173</v>
      </c>
    </row>
    <row r="299" spans="4:8">
      <c r="D299" s="5" t="s">
        <v>3808</v>
      </c>
      <c r="E299" s="2" t="s">
        <v>3350</v>
      </c>
      <c r="G299" s="7" t="s">
        <v>740</v>
      </c>
      <c r="H299" s="2" t="s">
        <v>175</v>
      </c>
    </row>
    <row r="300" spans="4:8">
      <c r="D300" s="5" t="s">
        <v>3809</v>
      </c>
      <c r="E300" s="2" t="s">
        <v>3351</v>
      </c>
      <c r="G300" s="7" t="s">
        <v>741</v>
      </c>
      <c r="H300" s="2" t="s">
        <v>742</v>
      </c>
    </row>
    <row r="301" spans="4:8">
      <c r="D301" s="5" t="s">
        <v>3810</v>
      </c>
      <c r="E301" s="2" t="s">
        <v>3352</v>
      </c>
      <c r="G301" s="7" t="s">
        <v>743</v>
      </c>
      <c r="H301" s="2" t="s">
        <v>744</v>
      </c>
    </row>
    <row r="302" spans="4:8">
      <c r="D302" s="5" t="s">
        <v>3811</v>
      </c>
      <c r="E302" s="2" t="s">
        <v>3353</v>
      </c>
      <c r="G302" s="7" t="s">
        <v>745</v>
      </c>
      <c r="H302" s="2" t="s">
        <v>746</v>
      </c>
    </row>
    <row r="303" spans="4:8">
      <c r="D303" s="5" t="s">
        <v>3812</v>
      </c>
      <c r="E303" s="2" t="s">
        <v>3354</v>
      </c>
      <c r="G303" s="7" t="s">
        <v>747</v>
      </c>
      <c r="H303" s="2" t="s">
        <v>748</v>
      </c>
    </row>
    <row r="304" spans="4:8">
      <c r="D304" s="5" t="s">
        <v>3813</v>
      </c>
      <c r="E304" s="2" t="s">
        <v>3355</v>
      </c>
      <c r="G304" s="7" t="s">
        <v>749</v>
      </c>
      <c r="H304" s="2" t="s">
        <v>750</v>
      </c>
    </row>
    <row r="305" spans="4:8">
      <c r="D305" s="5" t="s">
        <v>3814</v>
      </c>
      <c r="E305" s="2" t="s">
        <v>3356</v>
      </c>
      <c r="G305" s="7" t="s">
        <v>751</v>
      </c>
      <c r="H305" s="2" t="s">
        <v>752</v>
      </c>
    </row>
    <row r="306" spans="4:8">
      <c r="D306" s="5" t="s">
        <v>3815</v>
      </c>
      <c r="E306" s="2" t="s">
        <v>3357</v>
      </c>
      <c r="G306" s="7" t="s">
        <v>753</v>
      </c>
      <c r="H306" s="2" t="s">
        <v>754</v>
      </c>
    </row>
    <row r="307" spans="4:8">
      <c r="D307" s="5" t="s">
        <v>3816</v>
      </c>
      <c r="E307" s="2" t="s">
        <v>3358</v>
      </c>
      <c r="G307" s="7" t="s">
        <v>755</v>
      </c>
      <c r="H307" s="2" t="s">
        <v>756</v>
      </c>
    </row>
    <row r="308" spans="4:8">
      <c r="D308" s="5" t="s">
        <v>3817</v>
      </c>
      <c r="E308" s="2" t="s">
        <v>3359</v>
      </c>
      <c r="G308" s="7" t="s">
        <v>757</v>
      </c>
      <c r="H308" s="2" t="s">
        <v>758</v>
      </c>
    </row>
    <row r="309" spans="4:8">
      <c r="D309" s="5" t="s">
        <v>3818</v>
      </c>
      <c r="E309" s="2" t="s">
        <v>3360</v>
      </c>
      <c r="G309" s="7" t="s">
        <v>759</v>
      </c>
      <c r="H309" s="2" t="s">
        <v>760</v>
      </c>
    </row>
    <row r="310" spans="4:8">
      <c r="D310" s="5" t="s">
        <v>3819</v>
      </c>
      <c r="E310" s="2" t="s">
        <v>3361</v>
      </c>
      <c r="G310" s="7" t="s">
        <v>761</v>
      </c>
      <c r="H310" s="2" t="s">
        <v>762</v>
      </c>
    </row>
    <row r="311" spans="4:8">
      <c r="D311" s="5" t="s">
        <v>3820</v>
      </c>
      <c r="E311" s="2" t="s">
        <v>3362</v>
      </c>
      <c r="G311" s="7" t="s">
        <v>763</v>
      </c>
      <c r="H311" s="2" t="s">
        <v>764</v>
      </c>
    </row>
    <row r="312" spans="4:8">
      <c r="D312" s="5" t="s">
        <v>3821</v>
      </c>
      <c r="E312" s="2" t="s">
        <v>3363</v>
      </c>
      <c r="G312" s="7" t="s">
        <v>765</v>
      </c>
      <c r="H312" s="2" t="s">
        <v>766</v>
      </c>
    </row>
    <row r="313" spans="4:8">
      <c r="D313" s="5" t="s">
        <v>3822</v>
      </c>
      <c r="E313" s="2" t="s">
        <v>3364</v>
      </c>
      <c r="G313" s="7" t="s">
        <v>767</v>
      </c>
      <c r="H313" s="2" t="s">
        <v>768</v>
      </c>
    </row>
    <row r="314" spans="4:8">
      <c r="D314" s="5" t="s">
        <v>3823</v>
      </c>
      <c r="E314" s="2" t="s">
        <v>3365</v>
      </c>
      <c r="G314" s="7" t="s">
        <v>769</v>
      </c>
      <c r="H314" s="2" t="s">
        <v>770</v>
      </c>
    </row>
    <row r="315" spans="4:8">
      <c r="D315" s="5" t="s">
        <v>3824</v>
      </c>
      <c r="E315" s="2" t="s">
        <v>3366</v>
      </c>
      <c r="G315" s="7" t="s">
        <v>771</v>
      </c>
      <c r="H315" s="2" t="s">
        <v>772</v>
      </c>
    </row>
    <row r="316" spans="4:8">
      <c r="D316" s="5" t="s">
        <v>3825</v>
      </c>
      <c r="E316" s="2" t="s">
        <v>1984</v>
      </c>
      <c r="G316" s="7" t="s">
        <v>773</v>
      </c>
      <c r="H316" s="2" t="s">
        <v>173</v>
      </c>
    </row>
    <row r="317" spans="4:8">
      <c r="D317" s="5" t="s">
        <v>3826</v>
      </c>
      <c r="E317" s="2" t="s">
        <v>1986</v>
      </c>
      <c r="G317" s="7" t="s">
        <v>774</v>
      </c>
      <c r="H317" s="2" t="s">
        <v>175</v>
      </c>
    </row>
    <row r="318" spans="4:8">
      <c r="D318" s="5" t="s">
        <v>3827</v>
      </c>
      <c r="E318" s="2" t="s">
        <v>3367</v>
      </c>
      <c r="G318" s="7" t="s">
        <v>775</v>
      </c>
      <c r="H318" s="2" t="s">
        <v>776</v>
      </c>
    </row>
    <row r="319" spans="4:8">
      <c r="D319" s="5" t="s">
        <v>3828</v>
      </c>
      <c r="E319" s="2" t="s">
        <v>3368</v>
      </c>
      <c r="G319" s="7" t="s">
        <v>777</v>
      </c>
      <c r="H319" s="2" t="s">
        <v>778</v>
      </c>
    </row>
    <row r="320" spans="4:8">
      <c r="D320" s="5" t="s">
        <v>3829</v>
      </c>
      <c r="E320" s="2" t="s">
        <v>1995</v>
      </c>
      <c r="G320" s="7" t="s">
        <v>779</v>
      </c>
      <c r="H320" s="2" t="s">
        <v>780</v>
      </c>
    </row>
    <row r="321" spans="4:8">
      <c r="D321" s="5" t="s">
        <v>3830</v>
      </c>
      <c r="E321" s="2" t="s">
        <v>3369</v>
      </c>
      <c r="G321" s="7" t="s">
        <v>781</v>
      </c>
      <c r="H321" s="2" t="s">
        <v>782</v>
      </c>
    </row>
    <row r="322" spans="4:8">
      <c r="D322" s="5" t="s">
        <v>3831</v>
      </c>
      <c r="E322" s="2" t="s">
        <v>3370</v>
      </c>
      <c r="G322" s="7" t="s">
        <v>783</v>
      </c>
      <c r="H322" s="2" t="s">
        <v>784</v>
      </c>
    </row>
    <row r="323" spans="4:8">
      <c r="D323" s="5" t="s">
        <v>3832</v>
      </c>
      <c r="E323" s="2" t="s">
        <v>3371</v>
      </c>
      <c r="G323" s="7" t="s">
        <v>785</v>
      </c>
      <c r="H323" s="2" t="s">
        <v>786</v>
      </c>
    </row>
    <row r="324" spans="4:8">
      <c r="D324" s="5" t="s">
        <v>3833</v>
      </c>
      <c r="E324" s="2" t="s">
        <v>3372</v>
      </c>
      <c r="G324" s="7" t="s">
        <v>787</v>
      </c>
      <c r="H324" s="2" t="s">
        <v>788</v>
      </c>
    </row>
    <row r="325" spans="4:8">
      <c r="D325" s="5" t="s">
        <v>3834</v>
      </c>
      <c r="E325" s="2" t="s">
        <v>2016</v>
      </c>
      <c r="G325" s="7" t="s">
        <v>789</v>
      </c>
      <c r="H325" s="2" t="s">
        <v>173</v>
      </c>
    </row>
    <row r="326" spans="4:8">
      <c r="D326" s="5" t="s">
        <v>3835</v>
      </c>
      <c r="E326" s="2" t="s">
        <v>3373</v>
      </c>
      <c r="G326" s="7" t="s">
        <v>790</v>
      </c>
      <c r="H326" s="2" t="s">
        <v>175</v>
      </c>
    </row>
    <row r="327" spans="4:8">
      <c r="D327" s="5" t="s">
        <v>3836</v>
      </c>
      <c r="E327" s="2" t="s">
        <v>3374</v>
      </c>
      <c r="G327" s="7" t="s">
        <v>791</v>
      </c>
      <c r="H327" s="2" t="s">
        <v>792</v>
      </c>
    </row>
    <row r="328" spans="4:8">
      <c r="D328" s="5" t="s">
        <v>3837</v>
      </c>
      <c r="E328" s="2" t="s">
        <v>2026</v>
      </c>
      <c r="G328" s="7" t="s">
        <v>793</v>
      </c>
      <c r="H328" s="2" t="s">
        <v>794</v>
      </c>
    </row>
    <row r="329" spans="4:8">
      <c r="D329" s="5" t="s">
        <v>3838</v>
      </c>
      <c r="E329" s="2" t="s">
        <v>2028</v>
      </c>
      <c r="G329" s="7" t="s">
        <v>795</v>
      </c>
      <c r="H329" s="2" t="s">
        <v>796</v>
      </c>
    </row>
    <row r="330" spans="4:8">
      <c r="D330" s="5" t="s">
        <v>3839</v>
      </c>
      <c r="E330" s="2" t="s">
        <v>3375</v>
      </c>
      <c r="G330" s="7" t="s">
        <v>797</v>
      </c>
      <c r="H330" s="2" t="s">
        <v>798</v>
      </c>
    </row>
    <row r="331" spans="4:8">
      <c r="D331" s="5" t="s">
        <v>3840</v>
      </c>
      <c r="E331" s="2" t="s">
        <v>3376</v>
      </c>
      <c r="G331" s="7" t="s">
        <v>799</v>
      </c>
      <c r="H331" s="2" t="s">
        <v>800</v>
      </c>
    </row>
    <row r="332" spans="4:8">
      <c r="D332" s="5" t="s">
        <v>3841</v>
      </c>
      <c r="E332" s="2" t="s">
        <v>3377</v>
      </c>
      <c r="G332" s="7" t="s">
        <v>801</v>
      </c>
      <c r="H332" s="2" t="s">
        <v>802</v>
      </c>
    </row>
    <row r="333" spans="4:8">
      <c r="D333" s="5" t="s">
        <v>3842</v>
      </c>
      <c r="E333" s="2" t="s">
        <v>3378</v>
      </c>
      <c r="G333" s="7" t="s">
        <v>803</v>
      </c>
      <c r="H333" s="2" t="s">
        <v>804</v>
      </c>
    </row>
    <row r="334" spans="4:8">
      <c r="D334" s="5" t="s">
        <v>3843</v>
      </c>
      <c r="E334" s="2" t="s">
        <v>2067</v>
      </c>
      <c r="G334" s="7" t="s">
        <v>805</v>
      </c>
      <c r="H334" s="2" t="s">
        <v>806</v>
      </c>
    </row>
    <row r="335" spans="4:8">
      <c r="D335" s="5" t="s">
        <v>3844</v>
      </c>
      <c r="E335" s="2" t="s">
        <v>3379</v>
      </c>
      <c r="G335" s="7" t="s">
        <v>807</v>
      </c>
      <c r="H335" s="2" t="s">
        <v>808</v>
      </c>
    </row>
    <row r="336" spans="4:8">
      <c r="D336" s="5" t="s">
        <v>3845</v>
      </c>
      <c r="E336" s="2" t="s">
        <v>3380</v>
      </c>
      <c r="G336" s="7" t="s">
        <v>809</v>
      </c>
      <c r="H336" s="2" t="s">
        <v>810</v>
      </c>
    </row>
    <row r="337" spans="4:8">
      <c r="D337" s="5" t="s">
        <v>3846</v>
      </c>
      <c r="E337" s="2" t="s">
        <v>3381</v>
      </c>
      <c r="G337" s="7" t="s">
        <v>811</v>
      </c>
      <c r="H337" s="2" t="s">
        <v>812</v>
      </c>
    </row>
    <row r="338" spans="4:8">
      <c r="D338" s="5" t="s">
        <v>3847</v>
      </c>
      <c r="E338" s="2" t="s">
        <v>3382</v>
      </c>
      <c r="G338" s="7" t="s">
        <v>813</v>
      </c>
      <c r="H338" s="2" t="s">
        <v>814</v>
      </c>
    </row>
    <row r="339" spans="4:8">
      <c r="D339" s="5" t="s">
        <v>3848</v>
      </c>
      <c r="E339" s="2" t="s">
        <v>3383</v>
      </c>
      <c r="G339" s="7" t="s">
        <v>815</v>
      </c>
      <c r="H339" s="2" t="s">
        <v>816</v>
      </c>
    </row>
    <row r="340" spans="4:8">
      <c r="D340" s="5" t="s">
        <v>3849</v>
      </c>
      <c r="E340" s="2" t="s">
        <v>3384</v>
      </c>
      <c r="G340" s="7" t="s">
        <v>817</v>
      </c>
      <c r="H340" s="2" t="s">
        <v>818</v>
      </c>
    </row>
    <row r="341" spans="4:8">
      <c r="D341" s="5" t="s">
        <v>3850</v>
      </c>
      <c r="E341" s="2" t="s">
        <v>3385</v>
      </c>
      <c r="G341" s="7" t="s">
        <v>819</v>
      </c>
      <c r="H341" s="2" t="s">
        <v>820</v>
      </c>
    </row>
    <row r="342" spans="4:8">
      <c r="D342" s="5" t="s">
        <v>3851</v>
      </c>
      <c r="E342" s="2" t="s">
        <v>3386</v>
      </c>
      <c r="G342" s="7" t="s">
        <v>821</v>
      </c>
      <c r="H342" s="2" t="s">
        <v>822</v>
      </c>
    </row>
    <row r="343" spans="4:8">
      <c r="D343" s="5" t="s">
        <v>3852</v>
      </c>
      <c r="E343" s="2" t="s">
        <v>3387</v>
      </c>
      <c r="G343" s="7" t="s">
        <v>823</v>
      </c>
      <c r="H343" s="2" t="s">
        <v>824</v>
      </c>
    </row>
    <row r="344" spans="4:8">
      <c r="D344" s="5" t="s">
        <v>3853</v>
      </c>
      <c r="E344" s="2" t="s">
        <v>3388</v>
      </c>
      <c r="G344" s="7" t="s">
        <v>825</v>
      </c>
      <c r="H344" s="2" t="s">
        <v>826</v>
      </c>
    </row>
    <row r="345" spans="4:8">
      <c r="D345" s="5" t="s">
        <v>3854</v>
      </c>
      <c r="E345" s="2" t="s">
        <v>3389</v>
      </c>
      <c r="G345" s="7" t="s">
        <v>827</v>
      </c>
      <c r="H345" s="2" t="s">
        <v>828</v>
      </c>
    </row>
    <row r="346" spans="4:8">
      <c r="D346" s="5" t="s">
        <v>3855</v>
      </c>
      <c r="E346" s="2" t="s">
        <v>3390</v>
      </c>
      <c r="G346" s="7" t="s">
        <v>829</v>
      </c>
      <c r="H346" s="2" t="s">
        <v>830</v>
      </c>
    </row>
    <row r="347" spans="4:8">
      <c r="D347" s="5" t="s">
        <v>3856</v>
      </c>
      <c r="E347" s="2" t="s">
        <v>3391</v>
      </c>
      <c r="G347" s="7" t="s">
        <v>831</v>
      </c>
      <c r="H347" s="2" t="s">
        <v>832</v>
      </c>
    </row>
    <row r="348" spans="4:8">
      <c r="D348" s="5" t="s">
        <v>3857</v>
      </c>
      <c r="E348" s="2" t="s">
        <v>2163</v>
      </c>
      <c r="G348" s="7" t="s">
        <v>833</v>
      </c>
      <c r="H348" s="2" t="s">
        <v>834</v>
      </c>
    </row>
    <row r="349" spans="4:8">
      <c r="D349" s="5" t="s">
        <v>3858</v>
      </c>
      <c r="E349" s="2" t="s">
        <v>2165</v>
      </c>
      <c r="G349" s="7" t="s">
        <v>835</v>
      </c>
      <c r="H349" s="2" t="s">
        <v>836</v>
      </c>
    </row>
    <row r="350" spans="4:8">
      <c r="D350" s="5" t="s">
        <v>3859</v>
      </c>
      <c r="E350" s="2" t="s">
        <v>3392</v>
      </c>
      <c r="G350" s="7" t="s">
        <v>837</v>
      </c>
      <c r="H350" s="2" t="s">
        <v>838</v>
      </c>
    </row>
    <row r="351" spans="4:8">
      <c r="D351" s="5" t="s">
        <v>3860</v>
      </c>
      <c r="E351" s="2" t="s">
        <v>2169</v>
      </c>
      <c r="G351" s="7" t="s">
        <v>839</v>
      </c>
      <c r="H351" s="2" t="s">
        <v>840</v>
      </c>
    </row>
    <row r="352" spans="4:8">
      <c r="D352" s="5" t="s">
        <v>3861</v>
      </c>
      <c r="E352" s="2" t="s">
        <v>3393</v>
      </c>
      <c r="G352" s="7" t="s">
        <v>841</v>
      </c>
      <c r="H352" s="2" t="s">
        <v>842</v>
      </c>
    </row>
    <row r="353" spans="4:8">
      <c r="D353" s="5" t="s">
        <v>3862</v>
      </c>
      <c r="E353" s="2" t="s">
        <v>3394</v>
      </c>
      <c r="G353" s="7" t="s">
        <v>843</v>
      </c>
      <c r="H353" s="2" t="s">
        <v>844</v>
      </c>
    </row>
    <row r="354" spans="4:8">
      <c r="D354" s="5" t="s">
        <v>3863</v>
      </c>
      <c r="E354" s="2" t="s">
        <v>3395</v>
      </c>
      <c r="G354" s="7" t="s">
        <v>845</v>
      </c>
      <c r="H354" s="2" t="s">
        <v>846</v>
      </c>
    </row>
    <row r="355" spans="4:8">
      <c r="D355" s="5" t="s">
        <v>3864</v>
      </c>
      <c r="E355" s="2" t="s">
        <v>3396</v>
      </c>
      <c r="G355" s="7" t="s">
        <v>847</v>
      </c>
      <c r="H355" s="2" t="s">
        <v>848</v>
      </c>
    </row>
    <row r="356" spans="4:8">
      <c r="D356" s="5" t="s">
        <v>3865</v>
      </c>
      <c r="E356" s="2" t="s">
        <v>3397</v>
      </c>
      <c r="G356" s="7" t="s">
        <v>849</v>
      </c>
      <c r="H356" s="2" t="s">
        <v>850</v>
      </c>
    </row>
    <row r="357" spans="4:8">
      <c r="D357" s="5" t="s">
        <v>3866</v>
      </c>
      <c r="E357" s="2" t="s">
        <v>3398</v>
      </c>
      <c r="G357" s="7" t="s">
        <v>851</v>
      </c>
      <c r="H357" s="2" t="s">
        <v>852</v>
      </c>
    </row>
    <row r="358" spans="4:8">
      <c r="D358" s="5" t="s">
        <v>3867</v>
      </c>
      <c r="E358" s="2" t="s">
        <v>2205</v>
      </c>
      <c r="G358" s="7" t="s">
        <v>853</v>
      </c>
      <c r="H358" s="2" t="s">
        <v>854</v>
      </c>
    </row>
    <row r="359" spans="4:8">
      <c r="D359" s="5" t="s">
        <v>3868</v>
      </c>
      <c r="E359" s="2" t="s">
        <v>3399</v>
      </c>
      <c r="G359" s="7" t="s">
        <v>855</v>
      </c>
      <c r="H359" s="2" t="s">
        <v>856</v>
      </c>
    </row>
    <row r="360" spans="4:8">
      <c r="D360" s="5" t="s">
        <v>3869</v>
      </c>
      <c r="E360" s="2" t="s">
        <v>3400</v>
      </c>
      <c r="G360" s="7" t="s">
        <v>857</v>
      </c>
      <c r="H360" s="2" t="s">
        <v>858</v>
      </c>
    </row>
    <row r="361" spans="4:8">
      <c r="D361" s="5" t="s">
        <v>3870</v>
      </c>
      <c r="E361" s="2" t="s">
        <v>3401</v>
      </c>
      <c r="G361" s="7" t="s">
        <v>859</v>
      </c>
      <c r="H361" s="2" t="s">
        <v>860</v>
      </c>
    </row>
    <row r="362" spans="4:8">
      <c r="D362" s="5" t="s">
        <v>3871</v>
      </c>
      <c r="E362" s="2" t="s">
        <v>3402</v>
      </c>
      <c r="G362" s="7" t="s">
        <v>861</v>
      </c>
      <c r="H362" s="2" t="s">
        <v>862</v>
      </c>
    </row>
    <row r="363" spans="4:8">
      <c r="D363" s="5" t="s">
        <v>3872</v>
      </c>
      <c r="E363" s="2" t="s">
        <v>3403</v>
      </c>
      <c r="G363" s="7" t="s">
        <v>863</v>
      </c>
      <c r="H363" s="2" t="s">
        <v>864</v>
      </c>
    </row>
    <row r="364" spans="4:8">
      <c r="D364" s="5" t="s">
        <v>3873</v>
      </c>
      <c r="E364" s="2" t="s">
        <v>3404</v>
      </c>
      <c r="G364" s="7" t="s">
        <v>865</v>
      </c>
      <c r="H364" s="2" t="s">
        <v>866</v>
      </c>
    </row>
    <row r="365" spans="4:8">
      <c r="D365" s="5" t="s">
        <v>3874</v>
      </c>
      <c r="E365" s="2" t="s">
        <v>3405</v>
      </c>
      <c r="G365" s="7" t="s">
        <v>867</v>
      </c>
      <c r="H365" s="2" t="s">
        <v>173</v>
      </c>
    </row>
    <row r="366" spans="4:8">
      <c r="D366" s="5" t="s">
        <v>3875</v>
      </c>
      <c r="E366" s="2" t="s">
        <v>3406</v>
      </c>
      <c r="G366" s="7" t="s">
        <v>868</v>
      </c>
      <c r="H366" s="2" t="s">
        <v>175</v>
      </c>
    </row>
    <row r="367" spans="4:8">
      <c r="D367" s="5" t="s">
        <v>3876</v>
      </c>
      <c r="E367" s="2" t="s">
        <v>3407</v>
      </c>
      <c r="G367" s="7" t="s">
        <v>869</v>
      </c>
      <c r="H367" s="2" t="s">
        <v>870</v>
      </c>
    </row>
    <row r="368" spans="4:8">
      <c r="D368" s="5" t="s">
        <v>3877</v>
      </c>
      <c r="E368" s="2" t="s">
        <v>3408</v>
      </c>
      <c r="G368" s="7" t="s">
        <v>871</v>
      </c>
      <c r="H368" s="2" t="s">
        <v>872</v>
      </c>
    </row>
    <row r="369" spans="4:8">
      <c r="D369" s="5" t="s">
        <v>3878</v>
      </c>
      <c r="E369" s="2" t="s">
        <v>3409</v>
      </c>
      <c r="G369" s="7" t="s">
        <v>873</v>
      </c>
      <c r="H369" s="2" t="s">
        <v>874</v>
      </c>
    </row>
    <row r="370" spans="4:8">
      <c r="D370" s="5" t="s">
        <v>3879</v>
      </c>
      <c r="E370" s="2" t="s">
        <v>3410</v>
      </c>
      <c r="G370" s="7" t="s">
        <v>875</v>
      </c>
      <c r="H370" s="2" t="s">
        <v>876</v>
      </c>
    </row>
    <row r="371" spans="4:8">
      <c r="D371" s="5" t="s">
        <v>3880</v>
      </c>
      <c r="E371" s="2" t="s">
        <v>3411</v>
      </c>
      <c r="G371" s="7" t="s">
        <v>877</v>
      </c>
      <c r="H371" s="2" t="s">
        <v>878</v>
      </c>
    </row>
    <row r="372" spans="4:8">
      <c r="D372" s="5" t="s">
        <v>3881</v>
      </c>
      <c r="E372" s="2" t="s">
        <v>3412</v>
      </c>
      <c r="G372" s="7" t="s">
        <v>879</v>
      </c>
      <c r="H372" s="2" t="s">
        <v>173</v>
      </c>
    </row>
    <row r="373" spans="4:8">
      <c r="D373" s="5" t="s">
        <v>3882</v>
      </c>
      <c r="E373" s="2" t="s">
        <v>3413</v>
      </c>
      <c r="G373" s="7" t="s">
        <v>880</v>
      </c>
      <c r="H373" s="2" t="s">
        <v>175</v>
      </c>
    </row>
    <row r="374" spans="4:8">
      <c r="D374" s="5" t="s">
        <v>3883</v>
      </c>
      <c r="E374" s="2" t="s">
        <v>3414</v>
      </c>
      <c r="G374" s="7" t="s">
        <v>881</v>
      </c>
      <c r="H374" s="2" t="s">
        <v>882</v>
      </c>
    </row>
    <row r="375" spans="4:8">
      <c r="D375" s="5" t="s">
        <v>3884</v>
      </c>
      <c r="E375" s="2" t="s">
        <v>3415</v>
      </c>
      <c r="G375" s="7" t="s">
        <v>883</v>
      </c>
      <c r="H375" s="2" t="s">
        <v>884</v>
      </c>
    </row>
    <row r="376" spans="4:8">
      <c r="D376" s="5" t="s">
        <v>3885</v>
      </c>
      <c r="E376" s="2" t="s">
        <v>2305</v>
      </c>
      <c r="G376" s="7" t="s">
        <v>885</v>
      </c>
      <c r="H376" s="2" t="s">
        <v>886</v>
      </c>
    </row>
    <row r="377" spans="4:8">
      <c r="D377" s="5" t="s">
        <v>3886</v>
      </c>
      <c r="E377" s="2" t="s">
        <v>3416</v>
      </c>
      <c r="G377" s="7" t="s">
        <v>887</v>
      </c>
      <c r="H377" s="2" t="s">
        <v>888</v>
      </c>
    </row>
    <row r="378" spans="4:8">
      <c r="D378" s="5" t="s">
        <v>3887</v>
      </c>
      <c r="E378" s="2" t="s">
        <v>3417</v>
      </c>
      <c r="G378" s="7" t="s">
        <v>889</v>
      </c>
      <c r="H378" s="2" t="s">
        <v>890</v>
      </c>
    </row>
    <row r="379" spans="4:8">
      <c r="D379" s="5" t="s">
        <v>3888</v>
      </c>
      <c r="E379" s="2" t="s">
        <v>3418</v>
      </c>
      <c r="G379" s="7" t="s">
        <v>891</v>
      </c>
      <c r="H379" s="2" t="s">
        <v>892</v>
      </c>
    </row>
    <row r="380" spans="4:8">
      <c r="D380" s="5" t="s">
        <v>3889</v>
      </c>
      <c r="E380" s="2" t="s">
        <v>2319</v>
      </c>
      <c r="G380" s="7" t="s">
        <v>893</v>
      </c>
      <c r="H380" s="2" t="s">
        <v>894</v>
      </c>
    </row>
    <row r="381" spans="4:8">
      <c r="D381" s="5" t="s">
        <v>3890</v>
      </c>
      <c r="E381" s="2" t="s">
        <v>2321</v>
      </c>
      <c r="G381" s="7" t="s">
        <v>895</v>
      </c>
      <c r="H381" s="2" t="s">
        <v>896</v>
      </c>
    </row>
    <row r="382" spans="4:8">
      <c r="D382" s="5" t="s">
        <v>3891</v>
      </c>
      <c r="E382" s="2" t="s">
        <v>3419</v>
      </c>
      <c r="G382" s="7" t="s">
        <v>897</v>
      </c>
      <c r="H382" s="2" t="s">
        <v>898</v>
      </c>
    </row>
    <row r="383" spans="4:8">
      <c r="D383" s="5" t="s">
        <v>3892</v>
      </c>
      <c r="E383" s="2" t="s">
        <v>3420</v>
      </c>
      <c r="G383" s="7" t="s">
        <v>899</v>
      </c>
      <c r="H383" s="2" t="s">
        <v>900</v>
      </c>
    </row>
    <row r="384" spans="4:8">
      <c r="D384" s="5" t="s">
        <v>3893</v>
      </c>
      <c r="E384" s="2" t="s">
        <v>3421</v>
      </c>
      <c r="G384" s="7" t="s">
        <v>901</v>
      </c>
      <c r="H384" s="2" t="s">
        <v>902</v>
      </c>
    </row>
    <row r="385" spans="4:8">
      <c r="D385" s="5" t="s">
        <v>3894</v>
      </c>
      <c r="E385" s="2" t="s">
        <v>3422</v>
      </c>
      <c r="G385" s="7" t="s">
        <v>903</v>
      </c>
      <c r="H385" s="2" t="s">
        <v>904</v>
      </c>
    </row>
    <row r="386" spans="4:8">
      <c r="D386" s="5" t="s">
        <v>3895</v>
      </c>
      <c r="E386" s="2" t="s">
        <v>2337</v>
      </c>
      <c r="G386" s="7" t="s">
        <v>905</v>
      </c>
      <c r="H386" s="2" t="s">
        <v>906</v>
      </c>
    </row>
    <row r="387" spans="4:8">
      <c r="D387" s="5" t="s">
        <v>3896</v>
      </c>
      <c r="E387" s="2" t="s">
        <v>2339</v>
      </c>
      <c r="G387" s="7" t="s">
        <v>907</v>
      </c>
      <c r="H387" s="2" t="s">
        <v>908</v>
      </c>
    </row>
    <row r="388" spans="4:8">
      <c r="D388" s="5" t="s">
        <v>3897</v>
      </c>
      <c r="E388" s="2" t="s">
        <v>3423</v>
      </c>
      <c r="G388" s="7" t="s">
        <v>909</v>
      </c>
      <c r="H388" s="2" t="s">
        <v>910</v>
      </c>
    </row>
    <row r="389" spans="4:8">
      <c r="D389" s="5" t="s">
        <v>3898</v>
      </c>
      <c r="E389" s="2" t="s">
        <v>3424</v>
      </c>
      <c r="G389" s="7" t="s">
        <v>911</v>
      </c>
      <c r="H389" s="2" t="s">
        <v>912</v>
      </c>
    </row>
    <row r="390" spans="4:8">
      <c r="D390" s="5" t="s">
        <v>3899</v>
      </c>
      <c r="E390" s="2" t="s">
        <v>3425</v>
      </c>
      <c r="G390" s="7" t="s">
        <v>913</v>
      </c>
      <c r="H390" s="2" t="s">
        <v>914</v>
      </c>
    </row>
    <row r="391" spans="4:8">
      <c r="D391" s="5" t="s">
        <v>3900</v>
      </c>
      <c r="E391" s="2" t="s">
        <v>2358</v>
      </c>
      <c r="G391" s="7" t="s">
        <v>915</v>
      </c>
      <c r="H391" s="2" t="s">
        <v>916</v>
      </c>
    </row>
    <row r="392" spans="4:8">
      <c r="D392" s="5" t="s">
        <v>3901</v>
      </c>
      <c r="E392" s="2" t="s">
        <v>3426</v>
      </c>
      <c r="G392" s="7" t="s">
        <v>917</v>
      </c>
      <c r="H392" s="2" t="s">
        <v>918</v>
      </c>
    </row>
    <row r="393" spans="4:8">
      <c r="D393" s="5" t="s">
        <v>3902</v>
      </c>
      <c r="E393" s="2" t="s">
        <v>3427</v>
      </c>
      <c r="G393" s="7" t="s">
        <v>919</v>
      </c>
      <c r="H393" s="2" t="s">
        <v>920</v>
      </c>
    </row>
    <row r="394" spans="4:8">
      <c r="D394" s="5" t="s">
        <v>3903</v>
      </c>
      <c r="E394" s="2" t="s">
        <v>3428</v>
      </c>
      <c r="G394" s="7" t="s">
        <v>921</v>
      </c>
      <c r="H394" s="2" t="s">
        <v>922</v>
      </c>
    </row>
    <row r="395" spans="4:8">
      <c r="D395" s="5" t="s">
        <v>3904</v>
      </c>
      <c r="E395" s="2" t="s">
        <v>2369</v>
      </c>
      <c r="G395" s="7" t="s">
        <v>923</v>
      </c>
      <c r="H395" s="2" t="s">
        <v>924</v>
      </c>
    </row>
    <row r="396" spans="4:8">
      <c r="D396" s="5" t="s">
        <v>3905</v>
      </c>
      <c r="E396" s="2" t="s">
        <v>3429</v>
      </c>
      <c r="G396" s="7" t="s">
        <v>925</v>
      </c>
      <c r="H396" s="2" t="s">
        <v>926</v>
      </c>
    </row>
    <row r="397" spans="4:8">
      <c r="D397" s="5" t="s">
        <v>3906</v>
      </c>
      <c r="E397" s="2" t="s">
        <v>2375</v>
      </c>
      <c r="G397" s="7" t="s">
        <v>927</v>
      </c>
      <c r="H397" s="2" t="s">
        <v>928</v>
      </c>
    </row>
    <row r="398" spans="4:8">
      <c r="D398" s="5" t="s">
        <v>3907</v>
      </c>
      <c r="E398" s="2" t="s">
        <v>2377</v>
      </c>
      <c r="G398" s="7" t="s">
        <v>929</v>
      </c>
      <c r="H398" s="2" t="s">
        <v>930</v>
      </c>
    </row>
    <row r="399" spans="4:8">
      <c r="D399" s="5" t="s">
        <v>3908</v>
      </c>
      <c r="E399" s="2" t="s">
        <v>3430</v>
      </c>
      <c r="G399" s="7" t="s">
        <v>931</v>
      </c>
      <c r="H399" s="2" t="s">
        <v>173</v>
      </c>
    </row>
    <row r="400" spans="4:8">
      <c r="D400" s="5" t="s">
        <v>3909</v>
      </c>
      <c r="E400" s="2" t="s">
        <v>3431</v>
      </c>
      <c r="G400" s="7" t="s">
        <v>932</v>
      </c>
      <c r="H400" s="2" t="s">
        <v>175</v>
      </c>
    </row>
    <row r="401" spans="4:8">
      <c r="D401" s="5" t="s">
        <v>3910</v>
      </c>
      <c r="E401" s="2" t="s">
        <v>3432</v>
      </c>
      <c r="G401" s="7" t="s">
        <v>933</v>
      </c>
      <c r="H401" s="2" t="s">
        <v>934</v>
      </c>
    </row>
    <row r="402" spans="4:8">
      <c r="D402" s="5" t="s">
        <v>3911</v>
      </c>
      <c r="E402" s="2" t="s">
        <v>3433</v>
      </c>
      <c r="G402" s="7" t="s">
        <v>935</v>
      </c>
      <c r="H402" s="2" t="s">
        <v>936</v>
      </c>
    </row>
    <row r="403" spans="4:8">
      <c r="D403" s="5" t="s">
        <v>3912</v>
      </c>
      <c r="E403" s="2" t="s">
        <v>2399</v>
      </c>
      <c r="G403" s="7" t="s">
        <v>937</v>
      </c>
      <c r="H403" s="2" t="s">
        <v>938</v>
      </c>
    </row>
    <row r="404" spans="4:8">
      <c r="D404" s="5" t="s">
        <v>3913</v>
      </c>
      <c r="E404" s="2" t="s">
        <v>3434</v>
      </c>
      <c r="G404" s="7" t="s">
        <v>939</v>
      </c>
      <c r="H404" s="2" t="s">
        <v>940</v>
      </c>
    </row>
    <row r="405" spans="4:8">
      <c r="D405" s="5" t="s">
        <v>3914</v>
      </c>
      <c r="E405" s="2" t="s">
        <v>2402</v>
      </c>
      <c r="G405" s="7" t="s">
        <v>941</v>
      </c>
      <c r="H405" s="2" t="s">
        <v>942</v>
      </c>
    </row>
    <row r="406" spans="4:8">
      <c r="D406" s="5" t="s">
        <v>3915</v>
      </c>
      <c r="E406" s="2" t="s">
        <v>3435</v>
      </c>
      <c r="G406" s="7" t="s">
        <v>943</v>
      </c>
      <c r="H406" s="2" t="s">
        <v>944</v>
      </c>
    </row>
    <row r="407" spans="4:8">
      <c r="D407" s="5" t="s">
        <v>3916</v>
      </c>
      <c r="E407" s="2" t="s">
        <v>2410</v>
      </c>
      <c r="G407" s="7" t="s">
        <v>945</v>
      </c>
      <c r="H407" s="2" t="s">
        <v>946</v>
      </c>
    </row>
    <row r="408" spans="4:8">
      <c r="D408" s="5" t="s">
        <v>3917</v>
      </c>
      <c r="E408" s="2" t="s">
        <v>3436</v>
      </c>
      <c r="G408" s="7" t="s">
        <v>947</v>
      </c>
      <c r="H408" s="2" t="s">
        <v>948</v>
      </c>
    </row>
    <row r="409" spans="4:8">
      <c r="D409" s="5" t="s">
        <v>3918</v>
      </c>
      <c r="E409" s="2" t="s">
        <v>3437</v>
      </c>
      <c r="G409" s="7" t="s">
        <v>949</v>
      </c>
      <c r="H409" s="2" t="s">
        <v>950</v>
      </c>
    </row>
    <row r="410" spans="4:8">
      <c r="D410" s="5" t="s">
        <v>3919</v>
      </c>
      <c r="E410" s="2" t="s">
        <v>3438</v>
      </c>
      <c r="G410" s="7" t="s">
        <v>951</v>
      </c>
      <c r="H410" s="2" t="s">
        <v>952</v>
      </c>
    </row>
    <row r="411" spans="4:8">
      <c r="D411" s="5" t="s">
        <v>3920</v>
      </c>
      <c r="E411" s="2" t="s">
        <v>2426</v>
      </c>
      <c r="G411" s="7" t="s">
        <v>953</v>
      </c>
      <c r="H411" s="2" t="s">
        <v>954</v>
      </c>
    </row>
    <row r="412" spans="4:8">
      <c r="D412" s="5" t="s">
        <v>3921</v>
      </c>
      <c r="E412" s="2" t="s">
        <v>3439</v>
      </c>
      <c r="G412" s="7" t="s">
        <v>955</v>
      </c>
      <c r="H412" s="2" t="s">
        <v>956</v>
      </c>
    </row>
    <row r="413" spans="4:8">
      <c r="D413" s="5" t="s">
        <v>3922</v>
      </c>
      <c r="E413" s="2" t="s">
        <v>2430</v>
      </c>
      <c r="G413" s="7" t="s">
        <v>957</v>
      </c>
      <c r="H413" s="2" t="s">
        <v>958</v>
      </c>
    </row>
    <row r="414" spans="4:8">
      <c r="D414" s="5" t="s">
        <v>3923</v>
      </c>
      <c r="E414" s="2" t="s">
        <v>2432</v>
      </c>
      <c r="G414" s="7" t="s">
        <v>959</v>
      </c>
      <c r="H414" s="2" t="s">
        <v>173</v>
      </c>
    </row>
    <row r="415" spans="4:8">
      <c r="D415" s="5" t="s">
        <v>3924</v>
      </c>
      <c r="E415" s="2" t="s">
        <v>2434</v>
      </c>
      <c r="G415" s="7" t="s">
        <v>960</v>
      </c>
      <c r="H415" s="2" t="s">
        <v>175</v>
      </c>
    </row>
    <row r="416" spans="4:8">
      <c r="D416" s="5" t="s">
        <v>3925</v>
      </c>
      <c r="E416" s="2" t="s">
        <v>3440</v>
      </c>
      <c r="G416" s="7" t="s">
        <v>961</v>
      </c>
      <c r="H416" s="2" t="s">
        <v>962</v>
      </c>
    </row>
    <row r="417" spans="4:8">
      <c r="D417" s="5" t="s">
        <v>3926</v>
      </c>
      <c r="E417" s="2" t="s">
        <v>3441</v>
      </c>
      <c r="G417" s="7" t="s">
        <v>963</v>
      </c>
      <c r="H417" s="2" t="s">
        <v>964</v>
      </c>
    </row>
    <row r="418" spans="4:8">
      <c r="D418" s="5" t="s">
        <v>3927</v>
      </c>
      <c r="E418" s="2" t="s">
        <v>2444</v>
      </c>
      <c r="G418" s="7" t="s">
        <v>965</v>
      </c>
      <c r="H418" s="2" t="s">
        <v>966</v>
      </c>
    </row>
    <row r="419" spans="4:8">
      <c r="D419" s="5" t="s">
        <v>3928</v>
      </c>
      <c r="E419" s="2" t="s">
        <v>3442</v>
      </c>
      <c r="G419" s="7" t="s">
        <v>967</v>
      </c>
      <c r="H419" s="2" t="s">
        <v>968</v>
      </c>
    </row>
    <row r="420" spans="4:8">
      <c r="D420" s="5" t="s">
        <v>3929</v>
      </c>
      <c r="E420" s="2" t="s">
        <v>2458</v>
      </c>
      <c r="G420" s="7" t="s">
        <v>969</v>
      </c>
      <c r="H420" s="2" t="s">
        <v>970</v>
      </c>
    </row>
    <row r="421" spans="4:8">
      <c r="D421" s="5" t="s">
        <v>3930</v>
      </c>
      <c r="E421" s="2" t="s">
        <v>2460</v>
      </c>
      <c r="G421" s="7" t="s">
        <v>971</v>
      </c>
      <c r="H421" s="2" t="s">
        <v>972</v>
      </c>
    </row>
    <row r="422" spans="4:8">
      <c r="D422" s="5" t="s">
        <v>3931</v>
      </c>
      <c r="E422" s="2" t="s">
        <v>2462</v>
      </c>
      <c r="G422" s="7" t="s">
        <v>973</v>
      </c>
      <c r="H422" s="2" t="s">
        <v>974</v>
      </c>
    </row>
    <row r="423" spans="4:8">
      <c r="D423" s="5" t="s">
        <v>3932</v>
      </c>
      <c r="E423" s="2" t="s">
        <v>2464</v>
      </c>
      <c r="G423" s="7" t="s">
        <v>975</v>
      </c>
      <c r="H423" s="2" t="s">
        <v>976</v>
      </c>
    </row>
    <row r="424" spans="4:8">
      <c r="D424" s="5" t="s">
        <v>3933</v>
      </c>
      <c r="E424" s="2" t="s">
        <v>2466</v>
      </c>
      <c r="G424" s="7" t="s">
        <v>977</v>
      </c>
      <c r="H424" s="2" t="s">
        <v>978</v>
      </c>
    </row>
    <row r="425" spans="4:8">
      <c r="D425" s="5" t="s">
        <v>3934</v>
      </c>
      <c r="E425" s="2" t="s">
        <v>3443</v>
      </c>
      <c r="G425" s="7" t="s">
        <v>979</v>
      </c>
      <c r="H425" s="2" t="s">
        <v>980</v>
      </c>
    </row>
    <row r="426" spans="4:8">
      <c r="D426" s="5" t="s">
        <v>3935</v>
      </c>
      <c r="E426" s="2" t="s">
        <v>3444</v>
      </c>
      <c r="G426" s="7" t="s">
        <v>981</v>
      </c>
      <c r="H426" s="2" t="s">
        <v>173</v>
      </c>
    </row>
    <row r="427" spans="4:8">
      <c r="D427" s="5" t="s">
        <v>3936</v>
      </c>
      <c r="E427" s="2" t="s">
        <v>2475</v>
      </c>
      <c r="G427" s="7" t="s">
        <v>982</v>
      </c>
      <c r="H427" s="2" t="s">
        <v>175</v>
      </c>
    </row>
    <row r="428" spans="4:8">
      <c r="D428" s="5" t="s">
        <v>3937</v>
      </c>
      <c r="E428" s="2" t="s">
        <v>2477</v>
      </c>
      <c r="G428" s="7" t="s">
        <v>983</v>
      </c>
      <c r="H428" s="2" t="s">
        <v>984</v>
      </c>
    </row>
    <row r="429" spans="4:8">
      <c r="D429" s="5" t="s">
        <v>3938</v>
      </c>
      <c r="E429" s="2" t="s">
        <v>3445</v>
      </c>
      <c r="G429" s="7" t="s">
        <v>985</v>
      </c>
      <c r="H429" s="2" t="s">
        <v>986</v>
      </c>
    </row>
    <row r="430" spans="4:8">
      <c r="D430" s="5" t="s">
        <v>3939</v>
      </c>
      <c r="E430" s="2" t="s">
        <v>3446</v>
      </c>
      <c r="G430" s="7" t="s">
        <v>987</v>
      </c>
      <c r="H430" s="2" t="s">
        <v>988</v>
      </c>
    </row>
    <row r="431" spans="4:8">
      <c r="D431" s="5" t="s">
        <v>3940</v>
      </c>
      <c r="E431" s="2" t="s">
        <v>2487</v>
      </c>
      <c r="G431" s="7" t="s">
        <v>989</v>
      </c>
      <c r="H431" s="2" t="s">
        <v>990</v>
      </c>
    </row>
    <row r="432" spans="4:8">
      <c r="D432" s="5" t="s">
        <v>3941</v>
      </c>
      <c r="E432" s="2" t="s">
        <v>2489</v>
      </c>
      <c r="G432" s="7" t="s">
        <v>991</v>
      </c>
      <c r="H432" s="2" t="s">
        <v>992</v>
      </c>
    </row>
    <row r="433" spans="4:8">
      <c r="D433" s="5" t="s">
        <v>3942</v>
      </c>
      <c r="E433" s="2" t="s">
        <v>2491</v>
      </c>
      <c r="G433" s="7" t="s">
        <v>993</v>
      </c>
      <c r="H433" s="2" t="s">
        <v>994</v>
      </c>
    </row>
    <row r="434" spans="4:8">
      <c r="D434" s="5" t="s">
        <v>3943</v>
      </c>
      <c r="E434" s="2" t="s">
        <v>2493</v>
      </c>
      <c r="G434" s="7" t="s">
        <v>995</v>
      </c>
      <c r="H434" s="2" t="s">
        <v>996</v>
      </c>
    </row>
    <row r="435" spans="4:8">
      <c r="D435" s="5" t="s">
        <v>3944</v>
      </c>
      <c r="E435" s="2" t="s">
        <v>3447</v>
      </c>
      <c r="G435" s="7" t="s">
        <v>997</v>
      </c>
      <c r="H435" s="2" t="s">
        <v>998</v>
      </c>
    </row>
    <row r="436" spans="4:8">
      <c r="D436" s="5" t="s">
        <v>3945</v>
      </c>
      <c r="E436" s="2" t="s">
        <v>3448</v>
      </c>
      <c r="G436" s="7" t="s">
        <v>999</v>
      </c>
      <c r="H436" s="2" t="s">
        <v>1000</v>
      </c>
    </row>
    <row r="437" spans="4:8">
      <c r="D437" s="5" t="s">
        <v>3946</v>
      </c>
      <c r="E437" s="2" t="s">
        <v>3449</v>
      </c>
      <c r="G437" s="7" t="s">
        <v>1001</v>
      </c>
      <c r="H437" s="2" t="s">
        <v>1002</v>
      </c>
    </row>
    <row r="438" spans="4:8">
      <c r="D438" s="5" t="s">
        <v>3947</v>
      </c>
      <c r="E438" s="2" t="s">
        <v>3450</v>
      </c>
      <c r="G438" s="7" t="s">
        <v>1003</v>
      </c>
      <c r="H438" s="2" t="s">
        <v>1004</v>
      </c>
    </row>
    <row r="439" spans="4:8">
      <c r="D439" s="5" t="s">
        <v>3948</v>
      </c>
      <c r="E439" s="2" t="s">
        <v>2514</v>
      </c>
      <c r="G439" s="7" t="s">
        <v>1005</v>
      </c>
      <c r="H439" s="2" t="s">
        <v>1006</v>
      </c>
    </row>
    <row r="440" spans="4:8">
      <c r="D440" s="5" t="s">
        <v>3949</v>
      </c>
      <c r="E440" s="2" t="s">
        <v>2516</v>
      </c>
      <c r="G440" s="7" t="s">
        <v>1007</v>
      </c>
      <c r="H440" s="2" t="s">
        <v>1008</v>
      </c>
    </row>
    <row r="441" spans="4:8">
      <c r="D441" s="5" t="s">
        <v>3950</v>
      </c>
      <c r="E441" s="2" t="s">
        <v>3451</v>
      </c>
      <c r="G441" s="7" t="s">
        <v>1009</v>
      </c>
      <c r="H441" s="2" t="s">
        <v>1010</v>
      </c>
    </row>
    <row r="442" spans="4:8">
      <c r="D442" s="5" t="s">
        <v>3951</v>
      </c>
      <c r="E442" s="2" t="s">
        <v>3452</v>
      </c>
      <c r="G442" s="7" t="s">
        <v>1011</v>
      </c>
      <c r="H442" s="2" t="s">
        <v>1012</v>
      </c>
    </row>
    <row r="443" spans="4:8">
      <c r="D443" s="5" t="s">
        <v>3952</v>
      </c>
      <c r="E443" s="2" t="s">
        <v>3453</v>
      </c>
      <c r="G443" s="7" t="s">
        <v>1013</v>
      </c>
      <c r="H443" s="2" t="s">
        <v>1014</v>
      </c>
    </row>
    <row r="444" spans="4:8">
      <c r="D444" s="5" t="s">
        <v>3953</v>
      </c>
      <c r="E444" s="2" t="s">
        <v>3454</v>
      </c>
      <c r="G444" s="7" t="s">
        <v>1015</v>
      </c>
      <c r="H444" s="2" t="s">
        <v>1016</v>
      </c>
    </row>
    <row r="445" spans="4:8">
      <c r="D445" s="5" t="s">
        <v>3954</v>
      </c>
      <c r="E445" s="2" t="s">
        <v>2537</v>
      </c>
      <c r="G445" s="7" t="s">
        <v>1017</v>
      </c>
      <c r="H445" s="2" t="s">
        <v>1018</v>
      </c>
    </row>
    <row r="446" spans="4:8">
      <c r="D446" s="5" t="s">
        <v>3955</v>
      </c>
      <c r="E446" s="2" t="s">
        <v>3455</v>
      </c>
      <c r="G446" s="7" t="s">
        <v>1019</v>
      </c>
      <c r="H446" s="2" t="s">
        <v>1020</v>
      </c>
    </row>
    <row r="447" spans="4:8">
      <c r="D447" s="5" t="s">
        <v>3956</v>
      </c>
      <c r="E447" s="2" t="s">
        <v>3456</v>
      </c>
      <c r="G447" s="7" t="s">
        <v>1021</v>
      </c>
      <c r="H447" s="2" t="s">
        <v>1022</v>
      </c>
    </row>
    <row r="448" spans="4:8">
      <c r="D448" s="5" t="s">
        <v>3957</v>
      </c>
      <c r="E448" s="2" t="s">
        <v>3457</v>
      </c>
      <c r="G448" s="7" t="s">
        <v>1023</v>
      </c>
      <c r="H448" s="2" t="s">
        <v>1024</v>
      </c>
    </row>
    <row r="449" spans="4:8">
      <c r="D449" s="5" t="s">
        <v>3958</v>
      </c>
      <c r="E449" s="2" t="s">
        <v>3458</v>
      </c>
      <c r="G449" s="7" t="s">
        <v>1025</v>
      </c>
      <c r="H449" s="2" t="s">
        <v>1026</v>
      </c>
    </row>
    <row r="450" spans="4:8">
      <c r="D450" s="5" t="s">
        <v>3959</v>
      </c>
      <c r="E450" s="2" t="s">
        <v>3459</v>
      </c>
      <c r="G450" s="7" t="s">
        <v>1027</v>
      </c>
      <c r="H450" s="2" t="s">
        <v>1028</v>
      </c>
    </row>
    <row r="451" spans="4:8">
      <c r="D451" s="5" t="s">
        <v>3960</v>
      </c>
      <c r="E451" s="2" t="s">
        <v>3460</v>
      </c>
      <c r="G451" s="7" t="s">
        <v>1029</v>
      </c>
      <c r="H451" s="2" t="s">
        <v>1030</v>
      </c>
    </row>
    <row r="452" spans="4:8">
      <c r="D452" s="5" t="s">
        <v>3961</v>
      </c>
      <c r="E452" s="2" t="s">
        <v>3461</v>
      </c>
      <c r="G452" s="7" t="s">
        <v>1031</v>
      </c>
      <c r="H452" s="2" t="s">
        <v>1032</v>
      </c>
    </row>
    <row r="453" spans="4:8">
      <c r="D453" s="5" t="s">
        <v>3962</v>
      </c>
      <c r="E453" s="2" t="s">
        <v>2610</v>
      </c>
      <c r="G453" s="7" t="s">
        <v>1033</v>
      </c>
      <c r="H453" s="2" t="s">
        <v>1034</v>
      </c>
    </row>
    <row r="454" spans="4:8">
      <c r="D454" s="5" t="s">
        <v>3963</v>
      </c>
      <c r="E454" s="2" t="s">
        <v>2612</v>
      </c>
      <c r="G454" s="7" t="s">
        <v>1035</v>
      </c>
      <c r="H454" s="2" t="s">
        <v>1036</v>
      </c>
    </row>
    <row r="455" spans="4:8">
      <c r="D455" s="5" t="s">
        <v>3964</v>
      </c>
      <c r="E455" s="2" t="s">
        <v>2614</v>
      </c>
      <c r="G455" s="7" t="s">
        <v>1037</v>
      </c>
      <c r="H455" s="2" t="s">
        <v>1038</v>
      </c>
    </row>
    <row r="456" spans="4:8">
      <c r="D456" s="5" t="s">
        <v>3965</v>
      </c>
      <c r="E456" s="2" t="s">
        <v>3462</v>
      </c>
      <c r="G456" s="7" t="s">
        <v>1039</v>
      </c>
      <c r="H456" s="2" t="s">
        <v>1040</v>
      </c>
    </row>
    <row r="457" spans="4:8">
      <c r="D457" s="5" t="s">
        <v>3966</v>
      </c>
      <c r="E457" s="2" t="s">
        <v>2620</v>
      </c>
      <c r="G457" s="7" t="s">
        <v>1041</v>
      </c>
      <c r="H457" s="2" t="s">
        <v>1042</v>
      </c>
    </row>
    <row r="458" spans="4:8">
      <c r="D458" s="5" t="s">
        <v>3967</v>
      </c>
      <c r="E458" s="2" t="s">
        <v>3463</v>
      </c>
      <c r="G458" s="7" t="s">
        <v>1043</v>
      </c>
      <c r="H458" s="2" t="s">
        <v>1044</v>
      </c>
    </row>
    <row r="459" spans="4:8">
      <c r="D459" s="5" t="s">
        <v>3968</v>
      </c>
      <c r="E459" s="2" t="s">
        <v>3464</v>
      </c>
      <c r="G459" s="7" t="s">
        <v>1045</v>
      </c>
      <c r="H459" s="2" t="s">
        <v>1046</v>
      </c>
    </row>
    <row r="460" spans="4:8">
      <c r="D460" s="5" t="s">
        <v>3969</v>
      </c>
      <c r="E460" s="2" t="s">
        <v>2632</v>
      </c>
      <c r="G460" s="7" t="s">
        <v>1047</v>
      </c>
      <c r="H460" s="2" t="s">
        <v>1048</v>
      </c>
    </row>
    <row r="461" spans="4:8">
      <c r="D461" s="5" t="s">
        <v>3970</v>
      </c>
      <c r="E461" s="2" t="s">
        <v>3465</v>
      </c>
      <c r="G461" s="7" t="s">
        <v>1049</v>
      </c>
      <c r="H461" s="2" t="s">
        <v>1050</v>
      </c>
    </row>
    <row r="462" spans="4:8">
      <c r="D462" s="5" t="s">
        <v>3971</v>
      </c>
      <c r="E462" s="2" t="s">
        <v>3466</v>
      </c>
      <c r="G462" s="7" t="s">
        <v>1051</v>
      </c>
      <c r="H462" s="2" t="s">
        <v>1052</v>
      </c>
    </row>
    <row r="463" spans="4:8">
      <c r="D463" s="5" t="s">
        <v>3972</v>
      </c>
      <c r="E463" s="2" t="s">
        <v>3467</v>
      </c>
      <c r="G463" s="7" t="s">
        <v>1053</v>
      </c>
      <c r="H463" s="2" t="s">
        <v>1054</v>
      </c>
    </row>
    <row r="464" spans="4:8">
      <c r="D464" s="5" t="s">
        <v>3973</v>
      </c>
      <c r="E464" s="2" t="s">
        <v>3468</v>
      </c>
      <c r="G464" s="7" t="s">
        <v>1055</v>
      </c>
      <c r="H464" s="2" t="s">
        <v>1056</v>
      </c>
    </row>
    <row r="465" spans="4:8">
      <c r="D465" s="5" t="s">
        <v>3974</v>
      </c>
      <c r="E465" s="2" t="s">
        <v>2657</v>
      </c>
      <c r="G465" s="7" t="s">
        <v>1057</v>
      </c>
      <c r="H465" s="2" t="s">
        <v>1058</v>
      </c>
    </row>
    <row r="466" spans="4:8">
      <c r="D466" s="5" t="s">
        <v>3975</v>
      </c>
      <c r="E466" s="2" t="s">
        <v>3469</v>
      </c>
      <c r="G466" s="7" t="s">
        <v>1059</v>
      </c>
      <c r="H466" s="2" t="s">
        <v>1060</v>
      </c>
    </row>
    <row r="467" spans="4:8">
      <c r="D467" s="5" t="s">
        <v>3976</v>
      </c>
      <c r="E467" s="2" t="s">
        <v>2673</v>
      </c>
      <c r="G467" s="7" t="s">
        <v>1061</v>
      </c>
      <c r="H467" s="2" t="s">
        <v>1062</v>
      </c>
    </row>
    <row r="468" spans="4:8">
      <c r="D468" s="5" t="s">
        <v>3977</v>
      </c>
      <c r="E468" s="2" t="s">
        <v>3470</v>
      </c>
      <c r="G468" s="7" t="s">
        <v>1063</v>
      </c>
      <c r="H468" s="2" t="s">
        <v>1064</v>
      </c>
    </row>
    <row r="469" spans="4:8">
      <c r="D469" s="5" t="s">
        <v>3978</v>
      </c>
      <c r="E469" s="2" t="s">
        <v>3471</v>
      </c>
      <c r="G469" s="7" t="s">
        <v>1065</v>
      </c>
      <c r="H469" s="2" t="s">
        <v>1066</v>
      </c>
    </row>
    <row r="470" spans="4:8">
      <c r="D470" s="5" t="s">
        <v>3979</v>
      </c>
      <c r="E470" s="2" t="s">
        <v>3472</v>
      </c>
      <c r="G470" s="7" t="s">
        <v>1067</v>
      </c>
      <c r="H470" s="2" t="s">
        <v>1068</v>
      </c>
    </row>
    <row r="471" spans="4:8">
      <c r="D471" s="5" t="s">
        <v>3980</v>
      </c>
      <c r="E471" s="2" t="s">
        <v>2685</v>
      </c>
      <c r="G471" s="7" t="s">
        <v>1069</v>
      </c>
      <c r="H471" s="2" t="s">
        <v>1070</v>
      </c>
    </row>
    <row r="472" spans="4:8">
      <c r="D472" s="5" t="s">
        <v>3981</v>
      </c>
      <c r="E472" s="2" t="s">
        <v>3473</v>
      </c>
      <c r="G472" s="7" t="s">
        <v>1071</v>
      </c>
      <c r="H472" s="2" t="s">
        <v>173</v>
      </c>
    </row>
    <row r="473" spans="4:8">
      <c r="D473" s="5" t="s">
        <v>3982</v>
      </c>
      <c r="E473" s="2" t="s">
        <v>3474</v>
      </c>
      <c r="G473" s="7" t="s">
        <v>1072</v>
      </c>
      <c r="H473" s="2" t="s">
        <v>175</v>
      </c>
    </row>
    <row r="474" spans="4:8">
      <c r="D474" s="5" t="s">
        <v>3983</v>
      </c>
      <c r="E474" s="2" t="s">
        <v>3475</v>
      </c>
      <c r="G474" s="7" t="s">
        <v>1073</v>
      </c>
      <c r="H474" s="2" t="s">
        <v>1074</v>
      </c>
    </row>
    <row r="475" spans="4:8">
      <c r="D475" s="5" t="s">
        <v>3984</v>
      </c>
      <c r="E475" s="2" t="s">
        <v>3476</v>
      </c>
      <c r="G475" s="7" t="s">
        <v>1075</v>
      </c>
      <c r="H475" s="2" t="s">
        <v>1076</v>
      </c>
    </row>
    <row r="476" spans="4:8">
      <c r="D476" s="5" t="s">
        <v>3985</v>
      </c>
      <c r="E476" s="2" t="s">
        <v>2701</v>
      </c>
      <c r="G476" s="7" t="s">
        <v>1077</v>
      </c>
      <c r="H476" s="2" t="s">
        <v>1078</v>
      </c>
    </row>
    <row r="477" spans="4:8">
      <c r="D477" s="5" t="s">
        <v>3986</v>
      </c>
      <c r="E477" s="2" t="s">
        <v>3477</v>
      </c>
      <c r="G477" s="7" t="s">
        <v>1079</v>
      </c>
      <c r="H477" s="2" t="s">
        <v>1080</v>
      </c>
    </row>
    <row r="478" spans="4:8">
      <c r="D478" s="5" t="s">
        <v>3987</v>
      </c>
      <c r="E478" s="2" t="s">
        <v>3478</v>
      </c>
      <c r="G478" s="7" t="s">
        <v>1081</v>
      </c>
      <c r="H478" s="2" t="s">
        <v>1082</v>
      </c>
    </row>
    <row r="479" spans="4:8">
      <c r="D479" s="5" t="s">
        <v>3988</v>
      </c>
      <c r="E479" s="2" t="s">
        <v>3479</v>
      </c>
      <c r="G479" s="7" t="s">
        <v>1083</v>
      </c>
      <c r="H479" s="2" t="s">
        <v>1084</v>
      </c>
    </row>
    <row r="480" spans="4:8">
      <c r="D480" s="5" t="s">
        <v>3989</v>
      </c>
      <c r="E480" s="2" t="s">
        <v>2721</v>
      </c>
      <c r="G480" s="7" t="s">
        <v>1085</v>
      </c>
      <c r="H480" s="2" t="s">
        <v>1086</v>
      </c>
    </row>
    <row r="481" spans="4:8">
      <c r="D481" s="5" t="s">
        <v>3990</v>
      </c>
      <c r="E481" s="2" t="s">
        <v>2723</v>
      </c>
      <c r="G481" s="7" t="s">
        <v>1087</v>
      </c>
      <c r="H481" s="2" t="s">
        <v>1088</v>
      </c>
    </row>
    <row r="482" spans="4:8">
      <c r="D482" s="5" t="s">
        <v>3991</v>
      </c>
      <c r="E482" s="2" t="s">
        <v>3480</v>
      </c>
      <c r="G482" s="7" t="s">
        <v>1089</v>
      </c>
      <c r="H482" s="2" t="s">
        <v>1090</v>
      </c>
    </row>
    <row r="483" spans="4:8">
      <c r="D483" s="5" t="s">
        <v>3992</v>
      </c>
      <c r="E483" s="2" t="s">
        <v>3481</v>
      </c>
      <c r="G483" s="7" t="s">
        <v>1091</v>
      </c>
      <c r="H483" s="2" t="s">
        <v>1092</v>
      </c>
    </row>
    <row r="484" spans="4:8">
      <c r="D484" s="5" t="s">
        <v>3993</v>
      </c>
      <c r="E484" s="2" t="s">
        <v>3482</v>
      </c>
      <c r="G484" s="7" t="s">
        <v>1093</v>
      </c>
      <c r="H484" s="2" t="s">
        <v>1094</v>
      </c>
    </row>
    <row r="485" spans="4:8">
      <c r="D485" s="5" t="s">
        <v>3994</v>
      </c>
      <c r="E485" s="2" t="s">
        <v>3483</v>
      </c>
      <c r="G485" s="7" t="s">
        <v>1095</v>
      </c>
      <c r="H485" s="2" t="s">
        <v>1096</v>
      </c>
    </row>
    <row r="486" spans="4:8">
      <c r="D486" s="5" t="s">
        <v>3995</v>
      </c>
      <c r="E486" s="2" t="s">
        <v>3484</v>
      </c>
      <c r="G486" s="7" t="s">
        <v>1097</v>
      </c>
      <c r="H486" s="2" t="s">
        <v>1098</v>
      </c>
    </row>
    <row r="487" spans="4:8">
      <c r="D487" s="5" t="s">
        <v>3996</v>
      </c>
      <c r="E487" s="2" t="s">
        <v>2752</v>
      </c>
      <c r="G487" s="7" t="s">
        <v>1099</v>
      </c>
      <c r="H487" s="2" t="s">
        <v>1100</v>
      </c>
    </row>
    <row r="488" spans="4:8">
      <c r="D488" s="5" t="s">
        <v>3997</v>
      </c>
      <c r="E488" s="2" t="s">
        <v>3485</v>
      </c>
      <c r="G488" s="7" t="s">
        <v>1101</v>
      </c>
      <c r="H488" s="2" t="s">
        <v>1102</v>
      </c>
    </row>
    <row r="489" spans="4:8">
      <c r="D489" s="5" t="s">
        <v>3998</v>
      </c>
      <c r="E489" s="2" t="s">
        <v>3486</v>
      </c>
      <c r="G489" s="7" t="s">
        <v>1103</v>
      </c>
      <c r="H489" s="2" t="s">
        <v>1104</v>
      </c>
    </row>
    <row r="490" spans="4:8">
      <c r="D490" s="5" t="s">
        <v>3999</v>
      </c>
      <c r="E490" s="2" t="s">
        <v>3487</v>
      </c>
      <c r="G490" s="7" t="s">
        <v>1105</v>
      </c>
      <c r="H490" s="2" t="s">
        <v>1106</v>
      </c>
    </row>
    <row r="491" spans="4:8">
      <c r="D491" s="5" t="s">
        <v>4000</v>
      </c>
      <c r="E491" s="2" t="s">
        <v>2767</v>
      </c>
      <c r="G491" s="7" t="s">
        <v>1107</v>
      </c>
      <c r="H491" s="2" t="s">
        <v>1108</v>
      </c>
    </row>
    <row r="492" spans="4:8">
      <c r="D492" s="5" t="s">
        <v>4001</v>
      </c>
      <c r="E492" s="2" t="s">
        <v>3488</v>
      </c>
      <c r="G492" s="7" t="s">
        <v>1109</v>
      </c>
      <c r="H492" s="2" t="s">
        <v>1110</v>
      </c>
    </row>
    <row r="493" spans="4:8">
      <c r="D493" s="5" t="s">
        <v>4002</v>
      </c>
      <c r="E493" s="2" t="s">
        <v>3489</v>
      </c>
      <c r="G493" s="7" t="s">
        <v>1111</v>
      </c>
      <c r="H493" s="2" t="s">
        <v>1112</v>
      </c>
    </row>
    <row r="494" spans="4:8">
      <c r="D494" s="5" t="s">
        <v>4003</v>
      </c>
      <c r="E494" s="2" t="s">
        <v>3490</v>
      </c>
      <c r="G494" s="7" t="s">
        <v>1113</v>
      </c>
      <c r="H494" s="2" t="s">
        <v>1114</v>
      </c>
    </row>
    <row r="495" spans="4:8">
      <c r="D495" s="5" t="s">
        <v>4004</v>
      </c>
      <c r="E495" s="2" t="s">
        <v>3491</v>
      </c>
      <c r="G495" s="7" t="s">
        <v>1115</v>
      </c>
      <c r="H495" s="2" t="s">
        <v>1116</v>
      </c>
    </row>
    <row r="496" spans="4:8">
      <c r="D496" s="5" t="s">
        <v>4005</v>
      </c>
      <c r="E496" s="2" t="s">
        <v>3492</v>
      </c>
      <c r="G496" s="7" t="s">
        <v>1117</v>
      </c>
      <c r="H496" s="2" t="s">
        <v>1118</v>
      </c>
    </row>
    <row r="497" spans="4:8">
      <c r="D497" s="5" t="s">
        <v>4006</v>
      </c>
      <c r="E497" s="2" t="s">
        <v>2981</v>
      </c>
      <c r="G497" s="7" t="s">
        <v>1119</v>
      </c>
      <c r="H497" s="2" t="s">
        <v>1120</v>
      </c>
    </row>
    <row r="498" spans="4:8">
      <c r="D498" s="5" t="s">
        <v>4007</v>
      </c>
      <c r="E498" s="2" t="s">
        <v>3493</v>
      </c>
      <c r="G498" s="7" t="s">
        <v>1121</v>
      </c>
      <c r="H498" s="2" t="s">
        <v>173</v>
      </c>
    </row>
    <row r="499" spans="4:8">
      <c r="D499" s="5" t="s">
        <v>4008</v>
      </c>
      <c r="E499" s="2" t="s">
        <v>3494</v>
      </c>
      <c r="G499" s="7" t="s">
        <v>1122</v>
      </c>
      <c r="H499" s="2" t="s">
        <v>175</v>
      </c>
    </row>
    <row r="500" spans="4:8">
      <c r="D500" s="5" t="s">
        <v>4009</v>
      </c>
      <c r="E500" s="2" t="s">
        <v>2808</v>
      </c>
      <c r="G500" s="7" t="s">
        <v>1123</v>
      </c>
      <c r="H500" s="2" t="s">
        <v>1124</v>
      </c>
    </row>
    <row r="501" spans="4:8">
      <c r="D501" s="5" t="s">
        <v>4010</v>
      </c>
      <c r="E501" s="2" t="s">
        <v>2810</v>
      </c>
      <c r="G501" s="7" t="s">
        <v>1125</v>
      </c>
      <c r="H501" s="2" t="s">
        <v>1126</v>
      </c>
    </row>
    <row r="502" spans="4:8">
      <c r="D502" s="5" t="s">
        <v>4011</v>
      </c>
      <c r="E502" s="2" t="s">
        <v>3495</v>
      </c>
      <c r="G502" s="7" t="s">
        <v>1127</v>
      </c>
      <c r="H502" s="2" t="s">
        <v>1128</v>
      </c>
    </row>
    <row r="503" spans="4:8">
      <c r="D503" s="5" t="s">
        <v>4012</v>
      </c>
      <c r="E503" s="2" t="s">
        <v>3496</v>
      </c>
      <c r="G503" s="7" t="s">
        <v>1129</v>
      </c>
      <c r="H503" s="2" t="s">
        <v>1130</v>
      </c>
    </row>
    <row r="504" spans="4:8">
      <c r="D504" s="5" t="s">
        <v>4013</v>
      </c>
      <c r="E504" s="2" t="s">
        <v>2824</v>
      </c>
      <c r="G504" s="7" t="s">
        <v>1131</v>
      </c>
      <c r="H504" s="2" t="s">
        <v>1132</v>
      </c>
    </row>
    <row r="505" spans="4:8">
      <c r="D505" s="5" t="s">
        <v>4014</v>
      </c>
      <c r="E505" s="2" t="s">
        <v>2826</v>
      </c>
      <c r="G505" s="7" t="s">
        <v>1133</v>
      </c>
      <c r="H505" s="2" t="s">
        <v>1134</v>
      </c>
    </row>
    <row r="506" spans="4:8">
      <c r="D506" s="5" t="s">
        <v>4015</v>
      </c>
      <c r="E506" s="2" t="s">
        <v>3497</v>
      </c>
      <c r="G506" s="7" t="s">
        <v>1135</v>
      </c>
      <c r="H506" s="2" t="s">
        <v>1136</v>
      </c>
    </row>
    <row r="507" spans="4:8">
      <c r="D507" s="5" t="s">
        <v>4016</v>
      </c>
      <c r="E507" s="2" t="s">
        <v>3498</v>
      </c>
      <c r="G507" s="7" t="s">
        <v>1137</v>
      </c>
      <c r="H507" s="2" t="s">
        <v>1138</v>
      </c>
    </row>
    <row r="508" spans="4:8">
      <c r="D508" s="5" t="s">
        <v>4017</v>
      </c>
      <c r="E508" s="2" t="s">
        <v>3499</v>
      </c>
      <c r="G508" s="7" t="s">
        <v>1139</v>
      </c>
      <c r="H508" s="2" t="s">
        <v>1140</v>
      </c>
    </row>
    <row r="509" spans="4:8">
      <c r="D509" s="5" t="s">
        <v>4018</v>
      </c>
      <c r="E509" s="2" t="s">
        <v>2838</v>
      </c>
      <c r="G509" s="7" t="s">
        <v>1141</v>
      </c>
      <c r="H509" s="2" t="s">
        <v>1142</v>
      </c>
    </row>
    <row r="510" spans="4:8">
      <c r="D510" s="5" t="s">
        <v>4019</v>
      </c>
      <c r="E510" s="2" t="s">
        <v>3500</v>
      </c>
      <c r="G510" s="7" t="s">
        <v>1143</v>
      </c>
      <c r="H510" s="2" t="s">
        <v>1144</v>
      </c>
    </row>
    <row r="511" spans="4:8">
      <c r="D511" s="5" t="s">
        <v>4020</v>
      </c>
      <c r="E511" s="2" t="s">
        <v>3501</v>
      </c>
      <c r="G511" s="7" t="s">
        <v>1145</v>
      </c>
      <c r="H511" s="2" t="s">
        <v>1146</v>
      </c>
    </row>
    <row r="512" spans="4:8">
      <c r="D512" s="5" t="s">
        <v>4021</v>
      </c>
      <c r="E512" s="2" t="s">
        <v>2854</v>
      </c>
      <c r="G512" s="7" t="s">
        <v>1147</v>
      </c>
      <c r="H512" s="2" t="s">
        <v>1148</v>
      </c>
    </row>
    <row r="513" spans="4:8">
      <c r="D513" s="5" t="s">
        <v>4022</v>
      </c>
      <c r="E513" s="2" t="s">
        <v>3502</v>
      </c>
      <c r="G513" s="7" t="s">
        <v>1149</v>
      </c>
      <c r="H513" s="2" t="s">
        <v>1150</v>
      </c>
    </row>
    <row r="514" spans="4:8">
      <c r="D514" s="5" t="s">
        <v>4023</v>
      </c>
      <c r="E514" s="2" t="s">
        <v>2860</v>
      </c>
      <c r="G514" s="7" t="s">
        <v>1151</v>
      </c>
      <c r="H514" s="2" t="s">
        <v>1152</v>
      </c>
    </row>
    <row r="515" spans="4:8">
      <c r="D515" s="5" t="s">
        <v>4024</v>
      </c>
      <c r="E515" s="2" t="s">
        <v>2862</v>
      </c>
      <c r="G515" s="7" t="s">
        <v>1153</v>
      </c>
      <c r="H515" s="2" t="s">
        <v>1154</v>
      </c>
    </row>
    <row r="516" spans="4:8">
      <c r="D516" s="5" t="s">
        <v>4025</v>
      </c>
      <c r="E516" s="2" t="s">
        <v>3503</v>
      </c>
      <c r="G516" s="7" t="s">
        <v>1155</v>
      </c>
      <c r="H516" s="2" t="s">
        <v>1156</v>
      </c>
    </row>
    <row r="517" spans="4:8">
      <c r="D517" s="5" t="s">
        <v>4026</v>
      </c>
      <c r="E517" s="2" t="s">
        <v>3504</v>
      </c>
      <c r="G517" s="7" t="s">
        <v>1157</v>
      </c>
      <c r="H517" s="2" t="s">
        <v>1158</v>
      </c>
    </row>
    <row r="518" spans="4:8">
      <c r="D518" s="5" t="s">
        <v>4027</v>
      </c>
      <c r="E518" s="2" t="s">
        <v>3505</v>
      </c>
      <c r="G518" s="7" t="s">
        <v>1159</v>
      </c>
      <c r="H518" s="2" t="s">
        <v>173</v>
      </c>
    </row>
    <row r="519" spans="4:8">
      <c r="D519" s="5" t="s">
        <v>4028</v>
      </c>
      <c r="E519" s="2" t="s">
        <v>3506</v>
      </c>
      <c r="G519" s="7" t="s">
        <v>1160</v>
      </c>
      <c r="H519" s="2" t="s">
        <v>175</v>
      </c>
    </row>
    <row r="520" spans="4:8">
      <c r="D520" s="5" t="s">
        <v>4029</v>
      </c>
      <c r="E520" s="2" t="s">
        <v>3507</v>
      </c>
      <c r="G520" s="7" t="s">
        <v>1161</v>
      </c>
      <c r="H520" s="2" t="s">
        <v>1162</v>
      </c>
    </row>
    <row r="521" spans="4:8">
      <c r="D521" s="5" t="s">
        <v>4030</v>
      </c>
      <c r="E521" s="2" t="s">
        <v>2881</v>
      </c>
      <c r="G521" s="7" t="s">
        <v>1163</v>
      </c>
      <c r="H521" s="2" t="s">
        <v>1164</v>
      </c>
    </row>
    <row r="522" spans="4:8">
      <c r="D522" s="5" t="s">
        <v>4031</v>
      </c>
      <c r="E522" s="2" t="s">
        <v>2883</v>
      </c>
      <c r="G522" s="7" t="s">
        <v>1165</v>
      </c>
      <c r="H522" s="2" t="s">
        <v>1166</v>
      </c>
    </row>
    <row r="523" spans="4:8">
      <c r="D523" s="5" t="s">
        <v>4032</v>
      </c>
      <c r="E523" s="2" t="s">
        <v>2885</v>
      </c>
      <c r="G523" s="7" t="s">
        <v>1167</v>
      </c>
      <c r="H523" s="2" t="s">
        <v>1168</v>
      </c>
    </row>
    <row r="524" spans="4:8">
      <c r="D524" s="5" t="s">
        <v>4033</v>
      </c>
      <c r="E524" s="2" t="s">
        <v>2887</v>
      </c>
      <c r="G524" s="7" t="s">
        <v>1169</v>
      </c>
      <c r="H524" s="2" t="s">
        <v>1170</v>
      </c>
    </row>
    <row r="525" spans="4:8">
      <c r="D525" s="5" t="s">
        <v>4034</v>
      </c>
      <c r="E525" s="2" t="s">
        <v>2889</v>
      </c>
      <c r="G525" s="7" t="s">
        <v>1171</v>
      </c>
      <c r="H525" s="2" t="s">
        <v>1172</v>
      </c>
    </row>
    <row r="526" spans="4:8">
      <c r="D526" s="5" t="s">
        <v>4035</v>
      </c>
      <c r="E526" s="2" t="s">
        <v>2891</v>
      </c>
      <c r="G526" s="7" t="s">
        <v>1173</v>
      </c>
      <c r="H526" s="2" t="s">
        <v>1174</v>
      </c>
    </row>
    <row r="527" spans="4:8">
      <c r="D527" s="5" t="s">
        <v>4036</v>
      </c>
      <c r="E527" s="2" t="s">
        <v>2893</v>
      </c>
      <c r="G527" s="7" t="s">
        <v>1175</v>
      </c>
      <c r="H527" s="2" t="s">
        <v>1176</v>
      </c>
    </row>
    <row r="528" spans="4:8">
      <c r="D528" s="5" t="s">
        <v>4037</v>
      </c>
      <c r="E528" s="2" t="s">
        <v>2895</v>
      </c>
      <c r="G528" s="7" t="s">
        <v>1177</v>
      </c>
      <c r="H528" s="2" t="s">
        <v>1178</v>
      </c>
    </row>
    <row r="529" spans="4:8">
      <c r="D529" s="5" t="s">
        <v>4038</v>
      </c>
      <c r="E529" s="2" t="s">
        <v>2897</v>
      </c>
      <c r="G529" s="7" t="s">
        <v>1179</v>
      </c>
      <c r="H529" s="2" t="s">
        <v>1180</v>
      </c>
    </row>
    <row r="530" spans="4:8">
      <c r="D530" s="5" t="s">
        <v>4039</v>
      </c>
      <c r="E530" s="2" t="s">
        <v>2899</v>
      </c>
      <c r="G530" s="7" t="s">
        <v>1181</v>
      </c>
      <c r="H530" s="2" t="s">
        <v>1182</v>
      </c>
    </row>
    <row r="531" spans="4:8">
      <c r="D531" s="5" t="s">
        <v>4040</v>
      </c>
      <c r="E531" s="2" t="s">
        <v>2991</v>
      </c>
      <c r="G531" s="7" t="s">
        <v>1183</v>
      </c>
      <c r="H531" s="2" t="s">
        <v>1184</v>
      </c>
    </row>
    <row r="532" spans="4:8">
      <c r="G532" s="7" t="s">
        <v>1185</v>
      </c>
      <c r="H532" s="2" t="s">
        <v>1186</v>
      </c>
    </row>
    <row r="533" spans="4:8">
      <c r="G533" s="7" t="s">
        <v>1187</v>
      </c>
      <c r="H533" s="2" t="s">
        <v>1188</v>
      </c>
    </row>
    <row r="534" spans="4:8">
      <c r="G534" s="7" t="s">
        <v>1189</v>
      </c>
      <c r="H534" s="2" t="s">
        <v>1190</v>
      </c>
    </row>
    <row r="535" spans="4:8">
      <c r="G535" s="7" t="s">
        <v>1191</v>
      </c>
      <c r="H535" s="2" t="s">
        <v>1192</v>
      </c>
    </row>
    <row r="536" spans="4:8">
      <c r="G536" s="7" t="s">
        <v>1193</v>
      </c>
      <c r="H536" s="2" t="s">
        <v>1194</v>
      </c>
    </row>
    <row r="537" spans="4:8">
      <c r="G537" s="7" t="s">
        <v>1195</v>
      </c>
      <c r="H537" s="2" t="s">
        <v>1196</v>
      </c>
    </row>
    <row r="538" spans="4:8">
      <c r="G538" s="7" t="s">
        <v>1197</v>
      </c>
      <c r="H538" s="2" t="s">
        <v>1198</v>
      </c>
    </row>
    <row r="539" spans="4:8">
      <c r="G539" s="7" t="s">
        <v>1199</v>
      </c>
      <c r="H539" s="2" t="s">
        <v>1200</v>
      </c>
    </row>
    <row r="540" spans="4:8">
      <c r="G540" s="7" t="s">
        <v>1201</v>
      </c>
      <c r="H540" s="2" t="s">
        <v>1202</v>
      </c>
    </row>
    <row r="541" spans="4:8">
      <c r="G541" s="7" t="s">
        <v>1203</v>
      </c>
      <c r="H541" s="2" t="s">
        <v>1204</v>
      </c>
    </row>
    <row r="542" spans="4:8">
      <c r="G542" s="7" t="s">
        <v>1205</v>
      </c>
      <c r="H542" s="2" t="s">
        <v>1206</v>
      </c>
    </row>
    <row r="543" spans="4:8">
      <c r="G543" s="7" t="s">
        <v>1207</v>
      </c>
      <c r="H543" s="2" t="s">
        <v>1208</v>
      </c>
    </row>
    <row r="544" spans="4:8">
      <c r="G544" s="7" t="s">
        <v>1209</v>
      </c>
      <c r="H544" s="2" t="s">
        <v>1210</v>
      </c>
    </row>
    <row r="545" spans="7:8">
      <c r="G545" s="7" t="s">
        <v>1211</v>
      </c>
      <c r="H545" s="2" t="s">
        <v>1212</v>
      </c>
    </row>
    <row r="546" spans="7:8">
      <c r="G546" s="7" t="s">
        <v>1213</v>
      </c>
      <c r="H546" s="2" t="s">
        <v>1214</v>
      </c>
    </row>
    <row r="547" spans="7:8">
      <c r="G547" s="7" t="s">
        <v>1215</v>
      </c>
      <c r="H547" s="2" t="s">
        <v>1216</v>
      </c>
    </row>
    <row r="548" spans="7:8">
      <c r="G548" s="7" t="s">
        <v>1217</v>
      </c>
      <c r="H548" s="2" t="s">
        <v>1218</v>
      </c>
    </row>
    <row r="549" spans="7:8">
      <c r="G549" s="7" t="s">
        <v>1219</v>
      </c>
      <c r="H549" s="2" t="s">
        <v>1220</v>
      </c>
    </row>
    <row r="550" spans="7:8">
      <c r="G550" s="7" t="s">
        <v>1221</v>
      </c>
      <c r="H550" s="2" t="s">
        <v>1222</v>
      </c>
    </row>
    <row r="551" spans="7:8">
      <c r="G551" s="7" t="s">
        <v>1223</v>
      </c>
      <c r="H551" s="2" t="s">
        <v>1224</v>
      </c>
    </row>
    <row r="552" spans="7:8">
      <c r="G552" s="7" t="s">
        <v>1225</v>
      </c>
      <c r="H552" s="2" t="s">
        <v>1226</v>
      </c>
    </row>
    <row r="553" spans="7:8">
      <c r="G553" s="7" t="s">
        <v>1227</v>
      </c>
      <c r="H553" s="2" t="s">
        <v>173</v>
      </c>
    </row>
    <row r="554" spans="7:8">
      <c r="G554" s="7" t="s">
        <v>1228</v>
      </c>
      <c r="H554" s="2" t="s">
        <v>175</v>
      </c>
    </row>
    <row r="555" spans="7:8">
      <c r="G555" s="7" t="s">
        <v>1229</v>
      </c>
      <c r="H555" s="2" t="s">
        <v>1230</v>
      </c>
    </row>
    <row r="556" spans="7:8">
      <c r="G556" s="7" t="s">
        <v>1231</v>
      </c>
      <c r="H556" s="2" t="s">
        <v>1232</v>
      </c>
    </row>
    <row r="557" spans="7:8">
      <c r="G557" s="7" t="s">
        <v>1233</v>
      </c>
      <c r="H557" s="2" t="s">
        <v>1234</v>
      </c>
    </row>
    <row r="558" spans="7:8">
      <c r="G558" s="7" t="s">
        <v>1235</v>
      </c>
      <c r="H558" s="2" t="s">
        <v>1236</v>
      </c>
    </row>
    <row r="559" spans="7:8">
      <c r="G559" s="7" t="s">
        <v>1237</v>
      </c>
      <c r="H559" s="2" t="s">
        <v>1238</v>
      </c>
    </row>
    <row r="560" spans="7:8">
      <c r="G560" s="7" t="s">
        <v>1239</v>
      </c>
      <c r="H560" s="2" t="s">
        <v>1240</v>
      </c>
    </row>
    <row r="561" spans="7:8">
      <c r="G561" s="7" t="s">
        <v>1241</v>
      </c>
      <c r="H561" s="2" t="s">
        <v>1242</v>
      </c>
    </row>
    <row r="562" spans="7:8">
      <c r="G562" s="7" t="s">
        <v>1243</v>
      </c>
      <c r="H562" s="2" t="s">
        <v>1244</v>
      </c>
    </row>
    <row r="563" spans="7:8">
      <c r="G563" s="7" t="s">
        <v>1245</v>
      </c>
      <c r="H563" s="2" t="s">
        <v>1246</v>
      </c>
    </row>
    <row r="564" spans="7:8">
      <c r="G564" s="7" t="s">
        <v>1247</v>
      </c>
      <c r="H564" s="2" t="s">
        <v>1248</v>
      </c>
    </row>
    <row r="565" spans="7:8">
      <c r="G565" s="7" t="s">
        <v>1249</v>
      </c>
      <c r="H565" s="2" t="s">
        <v>1250</v>
      </c>
    </row>
    <row r="566" spans="7:8">
      <c r="G566" s="7" t="s">
        <v>1251</v>
      </c>
      <c r="H566" s="2" t="s">
        <v>1252</v>
      </c>
    </row>
    <row r="567" spans="7:8">
      <c r="G567" s="7" t="s">
        <v>1253</v>
      </c>
      <c r="H567" s="2" t="s">
        <v>1254</v>
      </c>
    </row>
    <row r="568" spans="7:8">
      <c r="G568" s="7" t="s">
        <v>1255</v>
      </c>
      <c r="H568" s="2" t="s">
        <v>1256</v>
      </c>
    </row>
    <row r="569" spans="7:8">
      <c r="G569" s="7" t="s">
        <v>1257</v>
      </c>
      <c r="H569" s="2" t="s">
        <v>1258</v>
      </c>
    </row>
    <row r="570" spans="7:8">
      <c r="G570" s="7" t="s">
        <v>1259</v>
      </c>
      <c r="H570" s="2" t="s">
        <v>1260</v>
      </c>
    </row>
    <row r="571" spans="7:8">
      <c r="G571" s="7" t="s">
        <v>1261</v>
      </c>
      <c r="H571" s="2" t="s">
        <v>1262</v>
      </c>
    </row>
    <row r="572" spans="7:8">
      <c r="G572" s="7" t="s">
        <v>1263</v>
      </c>
      <c r="H572" s="2" t="s">
        <v>1264</v>
      </c>
    </row>
    <row r="573" spans="7:8">
      <c r="G573" s="7" t="s">
        <v>1265</v>
      </c>
      <c r="H573" s="2" t="s">
        <v>1266</v>
      </c>
    </row>
    <row r="574" spans="7:8">
      <c r="G574" s="7" t="s">
        <v>1267</v>
      </c>
      <c r="H574" s="2" t="s">
        <v>173</v>
      </c>
    </row>
    <row r="575" spans="7:8">
      <c r="G575" s="7" t="s">
        <v>1268</v>
      </c>
      <c r="H575" s="2" t="s">
        <v>175</v>
      </c>
    </row>
    <row r="576" spans="7:8">
      <c r="G576" s="7" t="s">
        <v>1269</v>
      </c>
      <c r="H576" s="2" t="s">
        <v>1270</v>
      </c>
    </row>
    <row r="577" spans="7:8">
      <c r="G577" s="7" t="s">
        <v>1271</v>
      </c>
      <c r="H577" s="2" t="s">
        <v>1272</v>
      </c>
    </row>
    <row r="578" spans="7:8">
      <c r="G578" s="7" t="s">
        <v>1273</v>
      </c>
      <c r="H578" s="2" t="s">
        <v>1274</v>
      </c>
    </row>
    <row r="579" spans="7:8">
      <c r="G579" s="7" t="s">
        <v>1275</v>
      </c>
      <c r="H579" s="2" t="s">
        <v>1276</v>
      </c>
    </row>
    <row r="580" spans="7:8">
      <c r="G580" s="7" t="s">
        <v>1277</v>
      </c>
      <c r="H580" s="2" t="s">
        <v>1278</v>
      </c>
    </row>
    <row r="581" spans="7:8">
      <c r="G581" s="7" t="s">
        <v>1279</v>
      </c>
      <c r="H581" s="2" t="s">
        <v>1280</v>
      </c>
    </row>
    <row r="582" spans="7:8">
      <c r="G582" s="7" t="s">
        <v>1281</v>
      </c>
      <c r="H582" s="2" t="s">
        <v>1282</v>
      </c>
    </row>
    <row r="583" spans="7:8">
      <c r="G583" s="7" t="s">
        <v>1283</v>
      </c>
      <c r="H583" s="2" t="s">
        <v>1284</v>
      </c>
    </row>
    <row r="584" spans="7:8">
      <c r="G584" s="7" t="s">
        <v>1285</v>
      </c>
      <c r="H584" s="2" t="s">
        <v>1286</v>
      </c>
    </row>
    <row r="585" spans="7:8">
      <c r="G585" s="7" t="s">
        <v>1287</v>
      </c>
      <c r="H585" s="2" t="s">
        <v>1288</v>
      </c>
    </row>
    <row r="586" spans="7:8">
      <c r="G586" s="7" t="s">
        <v>1289</v>
      </c>
      <c r="H586" s="2" t="s">
        <v>1290</v>
      </c>
    </row>
    <row r="587" spans="7:8">
      <c r="G587" s="7" t="s">
        <v>1291</v>
      </c>
      <c r="H587" s="2" t="s">
        <v>1292</v>
      </c>
    </row>
    <row r="588" spans="7:8">
      <c r="G588" s="7" t="s">
        <v>1293</v>
      </c>
      <c r="H588" s="2" t="s">
        <v>1294</v>
      </c>
    </row>
    <row r="589" spans="7:8">
      <c r="G589" s="7" t="s">
        <v>1295</v>
      </c>
      <c r="H589" s="2" t="s">
        <v>1296</v>
      </c>
    </row>
    <row r="590" spans="7:8">
      <c r="G590" s="7" t="s">
        <v>1297</v>
      </c>
      <c r="H590" s="2" t="s">
        <v>1298</v>
      </c>
    </row>
    <row r="591" spans="7:8">
      <c r="G591" s="7" t="s">
        <v>1299</v>
      </c>
      <c r="H591" s="2" t="s">
        <v>1300</v>
      </c>
    </row>
    <row r="592" spans="7:8">
      <c r="G592" s="7" t="s">
        <v>1301</v>
      </c>
      <c r="H592" s="2" t="s">
        <v>1302</v>
      </c>
    </row>
    <row r="593" spans="7:8">
      <c r="G593" s="7" t="s">
        <v>1303</v>
      </c>
      <c r="H593" s="2" t="s">
        <v>1304</v>
      </c>
    </row>
    <row r="594" spans="7:8">
      <c r="G594" s="7" t="s">
        <v>1305</v>
      </c>
      <c r="H594" s="2" t="s">
        <v>1306</v>
      </c>
    </row>
    <row r="595" spans="7:8">
      <c r="G595" s="7" t="s">
        <v>1307</v>
      </c>
      <c r="H595" s="2" t="s">
        <v>1308</v>
      </c>
    </row>
    <row r="596" spans="7:8">
      <c r="G596" s="7" t="s">
        <v>1309</v>
      </c>
      <c r="H596" s="2" t="s">
        <v>1310</v>
      </c>
    </row>
    <row r="597" spans="7:8">
      <c r="G597" s="7" t="s">
        <v>1311</v>
      </c>
      <c r="H597" s="2" t="s">
        <v>1312</v>
      </c>
    </row>
    <row r="598" spans="7:8">
      <c r="G598" s="7" t="s">
        <v>1313</v>
      </c>
      <c r="H598" s="2" t="s">
        <v>1314</v>
      </c>
    </row>
    <row r="599" spans="7:8">
      <c r="G599" s="7" t="s">
        <v>1315</v>
      </c>
      <c r="H599" s="2" t="s">
        <v>1316</v>
      </c>
    </row>
    <row r="600" spans="7:8">
      <c r="G600" s="7" t="s">
        <v>1317</v>
      </c>
      <c r="H600" s="2" t="s">
        <v>1318</v>
      </c>
    </row>
    <row r="601" spans="7:8">
      <c r="G601" s="7" t="s">
        <v>1319</v>
      </c>
      <c r="H601" s="2" t="s">
        <v>1320</v>
      </c>
    </row>
    <row r="602" spans="7:8">
      <c r="G602" s="7" t="s">
        <v>1321</v>
      </c>
      <c r="H602" s="2" t="s">
        <v>173</v>
      </c>
    </row>
    <row r="603" spans="7:8">
      <c r="G603" s="7" t="s">
        <v>1322</v>
      </c>
      <c r="H603" s="2" t="s">
        <v>175</v>
      </c>
    </row>
    <row r="604" spans="7:8">
      <c r="G604" s="7" t="s">
        <v>1323</v>
      </c>
      <c r="H604" s="2" t="s">
        <v>1324</v>
      </c>
    </row>
    <row r="605" spans="7:8">
      <c r="G605" s="7" t="s">
        <v>1325</v>
      </c>
      <c r="H605" s="2" t="s">
        <v>1326</v>
      </c>
    </row>
    <row r="606" spans="7:8">
      <c r="G606" s="7" t="s">
        <v>1327</v>
      </c>
      <c r="H606" s="2" t="s">
        <v>1328</v>
      </c>
    </row>
    <row r="607" spans="7:8">
      <c r="G607" s="7" t="s">
        <v>1329</v>
      </c>
      <c r="H607" s="2" t="s">
        <v>1330</v>
      </c>
    </row>
    <row r="608" spans="7:8">
      <c r="G608" s="7" t="s">
        <v>1331</v>
      </c>
      <c r="H608" s="2" t="s">
        <v>1332</v>
      </c>
    </row>
    <row r="609" spans="7:8">
      <c r="G609" s="7" t="s">
        <v>1333</v>
      </c>
      <c r="H609" s="2" t="s">
        <v>1334</v>
      </c>
    </row>
    <row r="610" spans="7:8">
      <c r="G610" s="7" t="s">
        <v>1335</v>
      </c>
      <c r="H610" s="2" t="s">
        <v>1336</v>
      </c>
    </row>
    <row r="611" spans="7:8">
      <c r="G611" s="7" t="s">
        <v>1337</v>
      </c>
      <c r="H611" s="2" t="s">
        <v>1338</v>
      </c>
    </row>
    <row r="612" spans="7:8">
      <c r="G612" s="7" t="s">
        <v>1339</v>
      </c>
      <c r="H612" s="2" t="s">
        <v>1340</v>
      </c>
    </row>
    <row r="613" spans="7:8">
      <c r="G613" s="7" t="s">
        <v>1341</v>
      </c>
      <c r="H613" s="2" t="s">
        <v>1342</v>
      </c>
    </row>
    <row r="614" spans="7:8">
      <c r="G614" s="7" t="s">
        <v>1343</v>
      </c>
      <c r="H614" s="2" t="s">
        <v>1344</v>
      </c>
    </row>
    <row r="615" spans="7:8">
      <c r="G615" s="7" t="s">
        <v>1345</v>
      </c>
      <c r="H615" s="2" t="s">
        <v>1346</v>
      </c>
    </row>
    <row r="616" spans="7:8">
      <c r="G616" s="7" t="s">
        <v>1347</v>
      </c>
      <c r="H616" s="2" t="s">
        <v>1348</v>
      </c>
    </row>
    <row r="617" spans="7:8">
      <c r="G617" s="7" t="s">
        <v>1349</v>
      </c>
      <c r="H617" s="2" t="s">
        <v>1350</v>
      </c>
    </row>
    <row r="618" spans="7:8">
      <c r="G618" s="7" t="s">
        <v>1351</v>
      </c>
      <c r="H618" s="2" t="s">
        <v>1352</v>
      </c>
    </row>
    <row r="619" spans="7:8">
      <c r="G619" s="7" t="s">
        <v>1353</v>
      </c>
      <c r="H619" s="2" t="s">
        <v>1354</v>
      </c>
    </row>
    <row r="620" spans="7:8">
      <c r="G620" s="7" t="s">
        <v>1355</v>
      </c>
      <c r="H620" s="2" t="s">
        <v>1356</v>
      </c>
    </row>
    <row r="621" spans="7:8">
      <c r="G621" s="7" t="s">
        <v>1357</v>
      </c>
      <c r="H621" s="2" t="s">
        <v>1358</v>
      </c>
    </row>
    <row r="622" spans="7:8">
      <c r="G622" s="7" t="s">
        <v>1359</v>
      </c>
      <c r="H622" s="2" t="s">
        <v>1360</v>
      </c>
    </row>
    <row r="623" spans="7:8">
      <c r="G623" s="7" t="s">
        <v>1361</v>
      </c>
      <c r="H623" s="2" t="s">
        <v>1362</v>
      </c>
    </row>
    <row r="624" spans="7:8">
      <c r="G624" s="7" t="s">
        <v>1363</v>
      </c>
      <c r="H624" s="2" t="s">
        <v>1364</v>
      </c>
    </row>
    <row r="625" spans="7:8">
      <c r="G625" s="7" t="s">
        <v>1365</v>
      </c>
      <c r="H625" s="2" t="s">
        <v>1366</v>
      </c>
    </row>
    <row r="626" spans="7:8">
      <c r="G626" s="7" t="s">
        <v>1367</v>
      </c>
      <c r="H626" s="2" t="s">
        <v>1368</v>
      </c>
    </row>
    <row r="627" spans="7:8">
      <c r="G627" s="7" t="s">
        <v>1369</v>
      </c>
      <c r="H627" s="2" t="s">
        <v>173</v>
      </c>
    </row>
    <row r="628" spans="7:8">
      <c r="G628" s="7" t="s">
        <v>1370</v>
      </c>
      <c r="H628" s="2" t="s">
        <v>175</v>
      </c>
    </row>
    <row r="629" spans="7:8">
      <c r="G629" s="7" t="s">
        <v>1371</v>
      </c>
      <c r="H629" s="2" t="s">
        <v>1372</v>
      </c>
    </row>
    <row r="630" spans="7:8">
      <c r="G630" s="7" t="s">
        <v>1373</v>
      </c>
      <c r="H630" s="2" t="s">
        <v>1374</v>
      </c>
    </row>
    <row r="631" spans="7:8">
      <c r="G631" s="7" t="s">
        <v>1375</v>
      </c>
      <c r="H631" s="2" t="s">
        <v>1376</v>
      </c>
    </row>
    <row r="632" spans="7:8">
      <c r="G632" s="7" t="s">
        <v>1377</v>
      </c>
      <c r="H632" s="2" t="s">
        <v>1378</v>
      </c>
    </row>
    <row r="633" spans="7:8">
      <c r="G633" s="7" t="s">
        <v>1379</v>
      </c>
      <c r="H633" s="2" t="s">
        <v>1380</v>
      </c>
    </row>
    <row r="634" spans="7:8">
      <c r="G634" s="7" t="s">
        <v>1381</v>
      </c>
      <c r="H634" s="2" t="s">
        <v>1382</v>
      </c>
    </row>
    <row r="635" spans="7:8">
      <c r="G635" s="7" t="s">
        <v>1383</v>
      </c>
      <c r="H635" s="2" t="s">
        <v>1384</v>
      </c>
    </row>
    <row r="636" spans="7:8">
      <c r="G636" s="7" t="s">
        <v>1385</v>
      </c>
      <c r="H636" s="2" t="s">
        <v>1386</v>
      </c>
    </row>
    <row r="637" spans="7:8">
      <c r="G637" s="7" t="s">
        <v>1387</v>
      </c>
      <c r="H637" s="2" t="s">
        <v>1388</v>
      </c>
    </row>
    <row r="638" spans="7:8">
      <c r="G638" s="7" t="s">
        <v>1389</v>
      </c>
      <c r="H638" s="2" t="s">
        <v>1390</v>
      </c>
    </row>
    <row r="639" spans="7:8">
      <c r="G639" s="7" t="s">
        <v>1391</v>
      </c>
      <c r="H639" s="2" t="s">
        <v>1392</v>
      </c>
    </row>
    <row r="640" spans="7:8">
      <c r="G640" s="7" t="s">
        <v>1393</v>
      </c>
      <c r="H640" s="2" t="s">
        <v>1394</v>
      </c>
    </row>
    <row r="641" spans="7:8">
      <c r="G641" s="7" t="s">
        <v>1395</v>
      </c>
      <c r="H641" s="2" t="s">
        <v>1396</v>
      </c>
    </row>
    <row r="642" spans="7:8">
      <c r="G642" s="7" t="s">
        <v>1397</v>
      </c>
      <c r="H642" s="2" t="s">
        <v>1398</v>
      </c>
    </row>
    <row r="643" spans="7:8">
      <c r="G643" s="7" t="s">
        <v>1399</v>
      </c>
      <c r="H643" s="2" t="s">
        <v>1400</v>
      </c>
    </row>
    <row r="644" spans="7:8">
      <c r="G644" s="7" t="s">
        <v>1401</v>
      </c>
      <c r="H644" s="2" t="s">
        <v>173</v>
      </c>
    </row>
    <row r="645" spans="7:8">
      <c r="G645" s="7" t="s">
        <v>1402</v>
      </c>
      <c r="H645" s="2" t="s">
        <v>175</v>
      </c>
    </row>
    <row r="646" spans="7:8">
      <c r="G646" s="7" t="s">
        <v>1403</v>
      </c>
      <c r="H646" s="2" t="s">
        <v>1404</v>
      </c>
    </row>
    <row r="647" spans="7:8">
      <c r="G647" s="7" t="s">
        <v>1405</v>
      </c>
      <c r="H647" s="2" t="s">
        <v>1406</v>
      </c>
    </row>
    <row r="648" spans="7:8">
      <c r="G648" s="7" t="s">
        <v>1407</v>
      </c>
      <c r="H648" s="2" t="s">
        <v>1408</v>
      </c>
    </row>
    <row r="649" spans="7:8">
      <c r="G649" s="7" t="s">
        <v>1409</v>
      </c>
      <c r="H649" s="2" t="s">
        <v>1410</v>
      </c>
    </row>
    <row r="650" spans="7:8">
      <c r="G650" s="7" t="s">
        <v>1411</v>
      </c>
      <c r="H650" s="2" t="s">
        <v>1412</v>
      </c>
    </row>
    <row r="651" spans="7:8">
      <c r="G651" s="7" t="s">
        <v>1413</v>
      </c>
      <c r="H651" s="2" t="s">
        <v>1414</v>
      </c>
    </row>
    <row r="652" spans="7:8">
      <c r="G652" s="7" t="s">
        <v>1415</v>
      </c>
      <c r="H652" s="2" t="s">
        <v>1416</v>
      </c>
    </row>
    <row r="653" spans="7:8">
      <c r="G653" s="7" t="s">
        <v>1417</v>
      </c>
      <c r="H653" s="2" t="s">
        <v>1418</v>
      </c>
    </row>
    <row r="654" spans="7:8">
      <c r="G654" s="7" t="s">
        <v>1419</v>
      </c>
      <c r="H654" s="2" t="s">
        <v>1420</v>
      </c>
    </row>
    <row r="655" spans="7:8">
      <c r="G655" s="7" t="s">
        <v>1421</v>
      </c>
      <c r="H655" s="2" t="s">
        <v>1422</v>
      </c>
    </row>
    <row r="656" spans="7:8">
      <c r="G656" s="7" t="s">
        <v>1423</v>
      </c>
      <c r="H656" s="2" t="s">
        <v>1424</v>
      </c>
    </row>
    <row r="657" spans="7:8">
      <c r="G657" s="7" t="s">
        <v>1425</v>
      </c>
      <c r="H657" s="2" t="s">
        <v>1426</v>
      </c>
    </row>
    <row r="658" spans="7:8">
      <c r="G658" s="7" t="s">
        <v>1427</v>
      </c>
      <c r="H658" s="2" t="s">
        <v>1428</v>
      </c>
    </row>
    <row r="659" spans="7:8">
      <c r="G659" s="7" t="s">
        <v>1429</v>
      </c>
      <c r="H659" s="2" t="s">
        <v>1430</v>
      </c>
    </row>
    <row r="660" spans="7:8">
      <c r="G660" s="7" t="s">
        <v>1431</v>
      </c>
      <c r="H660" s="2" t="s">
        <v>1432</v>
      </c>
    </row>
    <row r="661" spans="7:8">
      <c r="G661" s="7" t="s">
        <v>1433</v>
      </c>
      <c r="H661" s="2" t="s">
        <v>1434</v>
      </c>
    </row>
    <row r="662" spans="7:8">
      <c r="G662" s="7" t="s">
        <v>1435</v>
      </c>
      <c r="H662" s="2" t="s">
        <v>1436</v>
      </c>
    </row>
    <row r="663" spans="7:8">
      <c r="G663" s="7" t="s">
        <v>1437</v>
      </c>
      <c r="H663" s="2" t="s">
        <v>1438</v>
      </c>
    </row>
    <row r="664" spans="7:8">
      <c r="G664" s="7" t="s">
        <v>1439</v>
      </c>
      <c r="H664" s="2" t="s">
        <v>1440</v>
      </c>
    </row>
    <row r="665" spans="7:8">
      <c r="G665" s="7" t="s">
        <v>1441</v>
      </c>
      <c r="H665" s="2" t="s">
        <v>1442</v>
      </c>
    </row>
    <row r="666" spans="7:8">
      <c r="G666" s="7" t="s">
        <v>1443</v>
      </c>
      <c r="H666" s="2" t="s">
        <v>1444</v>
      </c>
    </row>
    <row r="667" spans="7:8">
      <c r="G667" s="7" t="s">
        <v>1445</v>
      </c>
      <c r="H667" s="2" t="s">
        <v>1446</v>
      </c>
    </row>
    <row r="668" spans="7:8">
      <c r="G668" s="7" t="s">
        <v>1447</v>
      </c>
      <c r="H668" s="2" t="s">
        <v>1448</v>
      </c>
    </row>
    <row r="669" spans="7:8">
      <c r="G669" s="7" t="s">
        <v>1449</v>
      </c>
      <c r="H669" s="2" t="s">
        <v>173</v>
      </c>
    </row>
    <row r="670" spans="7:8">
      <c r="G670" s="7" t="s">
        <v>1450</v>
      </c>
      <c r="H670" s="2" t="s">
        <v>175</v>
      </c>
    </row>
    <row r="671" spans="7:8">
      <c r="G671" s="7" t="s">
        <v>1451</v>
      </c>
      <c r="H671" s="2" t="s">
        <v>1452</v>
      </c>
    </row>
    <row r="672" spans="7:8">
      <c r="G672" s="7" t="s">
        <v>1453</v>
      </c>
      <c r="H672" s="2" t="s">
        <v>1454</v>
      </c>
    </row>
    <row r="673" spans="7:8">
      <c r="G673" s="7" t="s">
        <v>1455</v>
      </c>
      <c r="H673" s="2" t="s">
        <v>1456</v>
      </c>
    </row>
    <row r="674" spans="7:8">
      <c r="G674" s="7" t="s">
        <v>1457</v>
      </c>
      <c r="H674" s="2" t="s">
        <v>1458</v>
      </c>
    </row>
    <row r="675" spans="7:8">
      <c r="G675" s="7" t="s">
        <v>1459</v>
      </c>
      <c r="H675" s="2" t="s">
        <v>1460</v>
      </c>
    </row>
    <row r="676" spans="7:8">
      <c r="G676" s="7" t="s">
        <v>1461</v>
      </c>
      <c r="H676" s="2" t="s">
        <v>1462</v>
      </c>
    </row>
    <row r="677" spans="7:8">
      <c r="G677" s="7" t="s">
        <v>1463</v>
      </c>
      <c r="H677" s="2" t="s">
        <v>1464</v>
      </c>
    </row>
    <row r="678" spans="7:8">
      <c r="G678" s="7" t="s">
        <v>1465</v>
      </c>
      <c r="H678" s="2" t="s">
        <v>1466</v>
      </c>
    </row>
    <row r="679" spans="7:8">
      <c r="G679" s="7" t="s">
        <v>1467</v>
      </c>
      <c r="H679" s="2" t="s">
        <v>1468</v>
      </c>
    </row>
    <row r="680" spans="7:8">
      <c r="G680" s="7" t="s">
        <v>1469</v>
      </c>
      <c r="H680" s="2" t="s">
        <v>1470</v>
      </c>
    </row>
    <row r="681" spans="7:8">
      <c r="G681" s="7" t="s">
        <v>1471</v>
      </c>
      <c r="H681" s="2" t="s">
        <v>1472</v>
      </c>
    </row>
    <row r="682" spans="7:8">
      <c r="G682" s="7" t="s">
        <v>1473</v>
      </c>
      <c r="H682" s="2" t="s">
        <v>1474</v>
      </c>
    </row>
    <row r="683" spans="7:8">
      <c r="G683" s="7" t="s">
        <v>1475</v>
      </c>
      <c r="H683" s="2" t="s">
        <v>1476</v>
      </c>
    </row>
    <row r="684" spans="7:8">
      <c r="G684" s="7" t="s">
        <v>1477</v>
      </c>
      <c r="H684" s="2" t="s">
        <v>1478</v>
      </c>
    </row>
    <row r="685" spans="7:8">
      <c r="G685" s="7" t="s">
        <v>1479</v>
      </c>
      <c r="H685" s="2" t="s">
        <v>1480</v>
      </c>
    </row>
    <row r="686" spans="7:8">
      <c r="G686" s="7" t="s">
        <v>1481</v>
      </c>
      <c r="H686" s="2" t="s">
        <v>173</v>
      </c>
    </row>
    <row r="687" spans="7:8">
      <c r="G687" s="7" t="s">
        <v>1482</v>
      </c>
      <c r="H687" s="2" t="s">
        <v>175</v>
      </c>
    </row>
    <row r="688" spans="7:8">
      <c r="G688" s="7" t="s">
        <v>1483</v>
      </c>
      <c r="H688" s="2" t="s">
        <v>1484</v>
      </c>
    </row>
    <row r="689" spans="7:8">
      <c r="G689" s="7" t="s">
        <v>1485</v>
      </c>
      <c r="H689" s="2" t="s">
        <v>1486</v>
      </c>
    </row>
    <row r="690" spans="7:8">
      <c r="G690" s="7" t="s">
        <v>1487</v>
      </c>
      <c r="H690" s="2" t="s">
        <v>1488</v>
      </c>
    </row>
    <row r="691" spans="7:8">
      <c r="G691" s="7" t="s">
        <v>1489</v>
      </c>
      <c r="H691" s="2" t="s">
        <v>1490</v>
      </c>
    </row>
    <row r="692" spans="7:8">
      <c r="G692" s="7" t="s">
        <v>1491</v>
      </c>
      <c r="H692" s="2" t="s">
        <v>1492</v>
      </c>
    </row>
    <row r="693" spans="7:8">
      <c r="G693" s="7" t="s">
        <v>1493</v>
      </c>
      <c r="H693" s="2" t="s">
        <v>1494</v>
      </c>
    </row>
    <row r="694" spans="7:8">
      <c r="G694" s="7" t="s">
        <v>1495</v>
      </c>
      <c r="H694" s="2" t="s">
        <v>1496</v>
      </c>
    </row>
    <row r="695" spans="7:8">
      <c r="G695" s="7" t="s">
        <v>1497</v>
      </c>
      <c r="H695" s="2" t="s">
        <v>1498</v>
      </c>
    </row>
    <row r="696" spans="7:8">
      <c r="G696" s="7" t="s">
        <v>1499</v>
      </c>
      <c r="H696" s="2" t="s">
        <v>1500</v>
      </c>
    </row>
    <row r="697" spans="7:8">
      <c r="G697" s="7" t="s">
        <v>1501</v>
      </c>
      <c r="H697" s="2" t="s">
        <v>1502</v>
      </c>
    </row>
    <row r="698" spans="7:8">
      <c r="G698" s="7" t="s">
        <v>1503</v>
      </c>
      <c r="H698" s="2" t="s">
        <v>1504</v>
      </c>
    </row>
    <row r="699" spans="7:8">
      <c r="G699" s="7" t="s">
        <v>1505</v>
      </c>
      <c r="H699" s="2" t="s">
        <v>1506</v>
      </c>
    </row>
    <row r="700" spans="7:8">
      <c r="G700" s="7" t="s">
        <v>1507</v>
      </c>
      <c r="H700" s="2" t="s">
        <v>1508</v>
      </c>
    </row>
    <row r="701" spans="7:8">
      <c r="G701" s="7" t="s">
        <v>1509</v>
      </c>
      <c r="H701" s="2" t="s">
        <v>1510</v>
      </c>
    </row>
    <row r="702" spans="7:8">
      <c r="G702" s="7" t="s">
        <v>1511</v>
      </c>
      <c r="H702" s="2" t="s">
        <v>1512</v>
      </c>
    </row>
    <row r="703" spans="7:8">
      <c r="G703" s="7" t="s">
        <v>1513</v>
      </c>
      <c r="H703" s="2" t="s">
        <v>1514</v>
      </c>
    </row>
    <row r="704" spans="7:8">
      <c r="G704" s="7" t="s">
        <v>1515</v>
      </c>
      <c r="H704" s="2" t="s">
        <v>173</v>
      </c>
    </row>
    <row r="705" spans="7:8">
      <c r="G705" s="7" t="s">
        <v>1516</v>
      </c>
      <c r="H705" s="2" t="s">
        <v>175</v>
      </c>
    </row>
    <row r="706" spans="7:8">
      <c r="G706" s="7" t="s">
        <v>1517</v>
      </c>
      <c r="H706" s="2" t="s">
        <v>1518</v>
      </c>
    </row>
    <row r="707" spans="7:8">
      <c r="G707" s="7" t="s">
        <v>1519</v>
      </c>
      <c r="H707" s="2" t="s">
        <v>1520</v>
      </c>
    </row>
    <row r="708" spans="7:8">
      <c r="G708" s="7" t="s">
        <v>1521</v>
      </c>
      <c r="H708" s="2" t="s">
        <v>1522</v>
      </c>
    </row>
    <row r="709" spans="7:8">
      <c r="G709" s="7" t="s">
        <v>1523</v>
      </c>
      <c r="H709" s="2" t="s">
        <v>1524</v>
      </c>
    </row>
    <row r="710" spans="7:8">
      <c r="G710" s="7" t="s">
        <v>1525</v>
      </c>
      <c r="H710" s="2" t="s">
        <v>1526</v>
      </c>
    </row>
    <row r="711" spans="7:8">
      <c r="G711" s="7" t="s">
        <v>1527</v>
      </c>
      <c r="H711" s="2" t="s">
        <v>1528</v>
      </c>
    </row>
    <row r="712" spans="7:8">
      <c r="G712" s="7" t="s">
        <v>1529</v>
      </c>
      <c r="H712" s="2" t="s">
        <v>1530</v>
      </c>
    </row>
    <row r="713" spans="7:8">
      <c r="G713" s="7" t="s">
        <v>1531</v>
      </c>
      <c r="H713" s="2" t="s">
        <v>1532</v>
      </c>
    </row>
    <row r="714" spans="7:8">
      <c r="G714" s="7" t="s">
        <v>1533</v>
      </c>
      <c r="H714" s="2" t="s">
        <v>1534</v>
      </c>
    </row>
    <row r="715" spans="7:8">
      <c r="G715" s="7" t="s">
        <v>1535</v>
      </c>
      <c r="H715" s="2" t="s">
        <v>1536</v>
      </c>
    </row>
    <row r="716" spans="7:8">
      <c r="G716" s="7" t="s">
        <v>1537</v>
      </c>
      <c r="H716" s="2" t="s">
        <v>1538</v>
      </c>
    </row>
    <row r="717" spans="7:8">
      <c r="G717" s="7" t="s">
        <v>1539</v>
      </c>
      <c r="H717" s="2" t="s">
        <v>1540</v>
      </c>
    </row>
    <row r="718" spans="7:8">
      <c r="G718" s="7" t="s">
        <v>1541</v>
      </c>
      <c r="H718" s="2" t="s">
        <v>1542</v>
      </c>
    </row>
    <row r="719" spans="7:8">
      <c r="G719" s="7" t="s">
        <v>1543</v>
      </c>
      <c r="H719" s="2" t="s">
        <v>1544</v>
      </c>
    </row>
    <row r="720" spans="7:8">
      <c r="G720" s="7" t="s">
        <v>1545</v>
      </c>
      <c r="H720" s="2" t="s">
        <v>1546</v>
      </c>
    </row>
    <row r="721" spans="7:8">
      <c r="G721" s="7" t="s">
        <v>1547</v>
      </c>
      <c r="H721" s="2" t="s">
        <v>1548</v>
      </c>
    </row>
    <row r="722" spans="7:8">
      <c r="G722" s="7" t="s">
        <v>1549</v>
      </c>
      <c r="H722" s="2" t="s">
        <v>1550</v>
      </c>
    </row>
    <row r="723" spans="7:8">
      <c r="G723" s="7" t="s">
        <v>1551</v>
      </c>
      <c r="H723" s="2" t="s">
        <v>1552</v>
      </c>
    </row>
    <row r="724" spans="7:8">
      <c r="G724" s="7" t="s">
        <v>1553</v>
      </c>
      <c r="H724" s="2" t="s">
        <v>1554</v>
      </c>
    </row>
    <row r="725" spans="7:8">
      <c r="G725" s="7" t="s">
        <v>1555</v>
      </c>
      <c r="H725" s="2" t="s">
        <v>1556</v>
      </c>
    </row>
    <row r="726" spans="7:8">
      <c r="G726" s="7" t="s">
        <v>1557</v>
      </c>
      <c r="H726" s="2" t="s">
        <v>1558</v>
      </c>
    </row>
    <row r="727" spans="7:8">
      <c r="G727" s="7" t="s">
        <v>1559</v>
      </c>
      <c r="H727" s="2" t="s">
        <v>1560</v>
      </c>
    </row>
    <row r="728" spans="7:8">
      <c r="G728" s="7" t="s">
        <v>1561</v>
      </c>
      <c r="H728" s="2" t="s">
        <v>1562</v>
      </c>
    </row>
    <row r="729" spans="7:8">
      <c r="G729" s="7" t="s">
        <v>1563</v>
      </c>
      <c r="H729" s="2" t="s">
        <v>1564</v>
      </c>
    </row>
    <row r="730" spans="7:8">
      <c r="G730" s="7" t="s">
        <v>1565</v>
      </c>
      <c r="H730" s="2" t="s">
        <v>1566</v>
      </c>
    </row>
    <row r="731" spans="7:8">
      <c r="G731" s="7" t="s">
        <v>1567</v>
      </c>
      <c r="H731" s="2" t="s">
        <v>1568</v>
      </c>
    </row>
    <row r="732" spans="7:8">
      <c r="G732" s="7" t="s">
        <v>1569</v>
      </c>
      <c r="H732" s="2" t="s">
        <v>1570</v>
      </c>
    </row>
    <row r="733" spans="7:8">
      <c r="G733" s="7" t="s">
        <v>1571</v>
      </c>
      <c r="H733" s="2" t="s">
        <v>1572</v>
      </c>
    </row>
    <row r="734" spans="7:8">
      <c r="G734" s="7" t="s">
        <v>1573</v>
      </c>
      <c r="H734" s="2" t="s">
        <v>1574</v>
      </c>
    </row>
    <row r="735" spans="7:8">
      <c r="G735" s="7" t="s">
        <v>1575</v>
      </c>
      <c r="H735" s="2" t="s">
        <v>1576</v>
      </c>
    </row>
    <row r="736" spans="7:8">
      <c r="G736" s="7" t="s">
        <v>1577</v>
      </c>
      <c r="H736" s="2" t="s">
        <v>1578</v>
      </c>
    </row>
    <row r="737" spans="7:8">
      <c r="G737" s="7" t="s">
        <v>1579</v>
      </c>
      <c r="H737" s="2" t="s">
        <v>1580</v>
      </c>
    </row>
    <row r="738" spans="7:8">
      <c r="G738" s="7" t="s">
        <v>1581</v>
      </c>
      <c r="H738" s="2" t="s">
        <v>173</v>
      </c>
    </row>
    <row r="739" spans="7:8">
      <c r="G739" s="7" t="s">
        <v>1582</v>
      </c>
      <c r="H739" s="2" t="s">
        <v>175</v>
      </c>
    </row>
    <row r="740" spans="7:8">
      <c r="G740" s="7" t="s">
        <v>1583</v>
      </c>
      <c r="H740" s="2" t="s">
        <v>1584</v>
      </c>
    </row>
    <row r="741" spans="7:8">
      <c r="G741" s="7" t="s">
        <v>1585</v>
      </c>
      <c r="H741" s="2" t="s">
        <v>1586</v>
      </c>
    </row>
    <row r="742" spans="7:8">
      <c r="G742" s="7" t="s">
        <v>1587</v>
      </c>
      <c r="H742" s="2" t="s">
        <v>173</v>
      </c>
    </row>
    <row r="743" spans="7:8">
      <c r="G743" s="7" t="s">
        <v>1588</v>
      </c>
      <c r="H743" s="2" t="s">
        <v>175</v>
      </c>
    </row>
    <row r="744" spans="7:8">
      <c r="G744" s="7" t="s">
        <v>1589</v>
      </c>
      <c r="H744" s="2" t="s">
        <v>1590</v>
      </c>
    </row>
    <row r="745" spans="7:8">
      <c r="G745" s="7" t="s">
        <v>1591</v>
      </c>
      <c r="H745" s="2" t="s">
        <v>1592</v>
      </c>
    </row>
    <row r="746" spans="7:8">
      <c r="G746" s="7" t="s">
        <v>1593</v>
      </c>
      <c r="H746" s="2" t="s">
        <v>173</v>
      </c>
    </row>
    <row r="747" spans="7:8">
      <c r="G747" s="7" t="s">
        <v>1594</v>
      </c>
      <c r="H747" s="2" t="s">
        <v>175</v>
      </c>
    </row>
    <row r="748" spans="7:8">
      <c r="G748" s="7" t="s">
        <v>1595</v>
      </c>
      <c r="H748" s="2" t="s">
        <v>1596</v>
      </c>
    </row>
    <row r="749" spans="7:8">
      <c r="G749" s="7" t="s">
        <v>1597</v>
      </c>
      <c r="H749" s="2" t="s">
        <v>173</v>
      </c>
    </row>
    <row r="750" spans="7:8">
      <c r="G750" s="7" t="s">
        <v>1598</v>
      </c>
      <c r="H750" s="2" t="s">
        <v>175</v>
      </c>
    </row>
    <row r="751" spans="7:8">
      <c r="G751" s="7" t="s">
        <v>1599</v>
      </c>
      <c r="H751" s="2" t="s">
        <v>1600</v>
      </c>
    </row>
    <row r="752" spans="7:8">
      <c r="G752" s="7" t="s">
        <v>1601</v>
      </c>
      <c r="H752" s="2" t="s">
        <v>1602</v>
      </c>
    </row>
    <row r="753" spans="7:8">
      <c r="G753" s="7" t="s">
        <v>1603</v>
      </c>
      <c r="H753" s="2" t="s">
        <v>1604</v>
      </c>
    </row>
    <row r="754" spans="7:8">
      <c r="G754" s="7" t="s">
        <v>1605</v>
      </c>
      <c r="H754" s="2" t="s">
        <v>1606</v>
      </c>
    </row>
    <row r="755" spans="7:8">
      <c r="G755" s="7" t="s">
        <v>1607</v>
      </c>
      <c r="H755" s="2" t="s">
        <v>173</v>
      </c>
    </row>
    <row r="756" spans="7:8">
      <c r="G756" s="7" t="s">
        <v>1608</v>
      </c>
      <c r="H756" s="2" t="s">
        <v>175</v>
      </c>
    </row>
    <row r="757" spans="7:8">
      <c r="G757" s="7" t="s">
        <v>1609</v>
      </c>
      <c r="H757" s="2" t="s">
        <v>1610</v>
      </c>
    </row>
    <row r="758" spans="7:8">
      <c r="G758" s="7" t="s">
        <v>1611</v>
      </c>
      <c r="H758" s="2" t="s">
        <v>1612</v>
      </c>
    </row>
    <row r="759" spans="7:8">
      <c r="G759" s="7" t="s">
        <v>1613</v>
      </c>
      <c r="H759" s="2" t="s">
        <v>1614</v>
      </c>
    </row>
    <row r="760" spans="7:8">
      <c r="G760" s="7" t="s">
        <v>1615</v>
      </c>
      <c r="H760" s="2" t="s">
        <v>1616</v>
      </c>
    </row>
    <row r="761" spans="7:8">
      <c r="G761" s="7" t="s">
        <v>1617</v>
      </c>
      <c r="H761" s="2" t="s">
        <v>1618</v>
      </c>
    </row>
    <row r="762" spans="7:8">
      <c r="G762" s="7" t="s">
        <v>1619</v>
      </c>
      <c r="H762" s="2" t="s">
        <v>1620</v>
      </c>
    </row>
    <row r="763" spans="7:8">
      <c r="G763" s="7" t="s">
        <v>1621</v>
      </c>
      <c r="H763" s="2" t="s">
        <v>173</v>
      </c>
    </row>
    <row r="764" spans="7:8">
      <c r="G764" s="7" t="s">
        <v>1622</v>
      </c>
      <c r="H764" s="2" t="s">
        <v>175</v>
      </c>
    </row>
    <row r="765" spans="7:8">
      <c r="G765" s="7" t="s">
        <v>1623</v>
      </c>
      <c r="H765" s="2" t="s">
        <v>1624</v>
      </c>
    </row>
    <row r="766" spans="7:8">
      <c r="G766" s="7" t="s">
        <v>1625</v>
      </c>
      <c r="H766" s="2" t="s">
        <v>1626</v>
      </c>
    </row>
    <row r="767" spans="7:8">
      <c r="G767" s="7" t="s">
        <v>1627</v>
      </c>
      <c r="H767" s="2" t="s">
        <v>1628</v>
      </c>
    </row>
    <row r="768" spans="7:8">
      <c r="G768" s="7" t="s">
        <v>1629</v>
      </c>
      <c r="H768" s="2" t="s">
        <v>1630</v>
      </c>
    </row>
    <row r="769" spans="7:8">
      <c r="G769" s="7" t="s">
        <v>1631</v>
      </c>
      <c r="H769" s="2" t="s">
        <v>1632</v>
      </c>
    </row>
    <row r="770" spans="7:8">
      <c r="G770" s="7" t="s">
        <v>1633</v>
      </c>
      <c r="H770" s="2" t="s">
        <v>1634</v>
      </c>
    </row>
    <row r="771" spans="7:8">
      <c r="G771" s="7" t="s">
        <v>1635</v>
      </c>
      <c r="H771" s="2" t="s">
        <v>1636</v>
      </c>
    </row>
    <row r="772" spans="7:8">
      <c r="G772" s="7" t="s">
        <v>1637</v>
      </c>
      <c r="H772" s="2" t="s">
        <v>173</v>
      </c>
    </row>
    <row r="773" spans="7:8">
      <c r="G773" s="7" t="s">
        <v>1638</v>
      </c>
      <c r="H773" s="2" t="s">
        <v>175</v>
      </c>
    </row>
    <row r="774" spans="7:8">
      <c r="G774" s="7" t="s">
        <v>1639</v>
      </c>
      <c r="H774" s="2" t="s">
        <v>1640</v>
      </c>
    </row>
    <row r="775" spans="7:8">
      <c r="G775" s="7" t="s">
        <v>1641</v>
      </c>
      <c r="H775" s="2" t="s">
        <v>1642</v>
      </c>
    </row>
    <row r="776" spans="7:8">
      <c r="G776" s="7" t="s">
        <v>1643</v>
      </c>
      <c r="H776" s="2" t="s">
        <v>1644</v>
      </c>
    </row>
    <row r="777" spans="7:8">
      <c r="G777" s="7" t="s">
        <v>1645</v>
      </c>
      <c r="H777" s="2" t="s">
        <v>1646</v>
      </c>
    </row>
    <row r="778" spans="7:8">
      <c r="G778" s="7" t="s">
        <v>1647</v>
      </c>
      <c r="H778" s="2" t="s">
        <v>1648</v>
      </c>
    </row>
    <row r="779" spans="7:8">
      <c r="G779" s="7" t="s">
        <v>1649</v>
      </c>
      <c r="H779" s="2" t="s">
        <v>1650</v>
      </c>
    </row>
    <row r="780" spans="7:8">
      <c r="G780" s="7" t="s">
        <v>1651</v>
      </c>
      <c r="H780" s="2" t="s">
        <v>1652</v>
      </c>
    </row>
    <row r="781" spans="7:8">
      <c r="G781" s="7" t="s">
        <v>1653</v>
      </c>
      <c r="H781" s="2" t="s">
        <v>1654</v>
      </c>
    </row>
    <row r="782" spans="7:8">
      <c r="G782" s="7" t="s">
        <v>1655</v>
      </c>
      <c r="H782" s="2" t="s">
        <v>173</v>
      </c>
    </row>
    <row r="783" spans="7:8">
      <c r="G783" s="7" t="s">
        <v>1656</v>
      </c>
      <c r="H783" s="2" t="s">
        <v>175</v>
      </c>
    </row>
    <row r="784" spans="7:8">
      <c r="G784" s="7" t="s">
        <v>1657</v>
      </c>
      <c r="H784" s="2" t="s">
        <v>1658</v>
      </c>
    </row>
    <row r="785" spans="7:8">
      <c r="G785" s="7" t="s">
        <v>1659</v>
      </c>
      <c r="H785" s="2" t="s">
        <v>1660</v>
      </c>
    </row>
    <row r="786" spans="7:8">
      <c r="G786" s="7" t="s">
        <v>1661</v>
      </c>
      <c r="H786" s="2" t="s">
        <v>1662</v>
      </c>
    </row>
    <row r="787" spans="7:8">
      <c r="G787" s="7" t="s">
        <v>1663</v>
      </c>
      <c r="H787" s="2" t="s">
        <v>173</v>
      </c>
    </row>
    <row r="788" spans="7:8">
      <c r="G788" s="7" t="s">
        <v>1664</v>
      </c>
      <c r="H788" s="2" t="s">
        <v>175</v>
      </c>
    </row>
    <row r="789" spans="7:8">
      <c r="G789" s="7" t="s">
        <v>1665</v>
      </c>
      <c r="H789" s="2" t="s">
        <v>1666</v>
      </c>
    </row>
    <row r="790" spans="7:8">
      <c r="G790" s="7" t="s">
        <v>1667</v>
      </c>
      <c r="H790" s="2" t="s">
        <v>1668</v>
      </c>
    </row>
    <row r="791" spans="7:8">
      <c r="G791" s="7" t="s">
        <v>1669</v>
      </c>
      <c r="H791" s="2" t="s">
        <v>1670</v>
      </c>
    </row>
    <row r="792" spans="7:8">
      <c r="G792" s="7" t="s">
        <v>1671</v>
      </c>
      <c r="H792" s="2" t="s">
        <v>1672</v>
      </c>
    </row>
    <row r="793" spans="7:8">
      <c r="G793" s="7" t="s">
        <v>1673</v>
      </c>
      <c r="H793" s="2" t="s">
        <v>1674</v>
      </c>
    </row>
    <row r="794" spans="7:8">
      <c r="G794" s="7" t="s">
        <v>1675</v>
      </c>
      <c r="H794" s="2" t="s">
        <v>1676</v>
      </c>
    </row>
    <row r="795" spans="7:8">
      <c r="G795" s="7" t="s">
        <v>1677</v>
      </c>
      <c r="H795" s="2" t="s">
        <v>1678</v>
      </c>
    </row>
    <row r="796" spans="7:8">
      <c r="G796" s="7" t="s">
        <v>1679</v>
      </c>
      <c r="H796" s="2" t="s">
        <v>1680</v>
      </c>
    </row>
    <row r="797" spans="7:8">
      <c r="G797" s="7" t="s">
        <v>1681</v>
      </c>
      <c r="H797" s="2" t="s">
        <v>1682</v>
      </c>
    </row>
    <row r="798" spans="7:8">
      <c r="G798" s="7" t="s">
        <v>1683</v>
      </c>
      <c r="H798" s="2" t="s">
        <v>1684</v>
      </c>
    </row>
    <row r="799" spans="7:8">
      <c r="G799" s="7" t="s">
        <v>1685</v>
      </c>
      <c r="H799" s="2" t="s">
        <v>1686</v>
      </c>
    </row>
    <row r="800" spans="7:8">
      <c r="G800" s="7" t="s">
        <v>1687</v>
      </c>
      <c r="H800" s="2" t="s">
        <v>173</v>
      </c>
    </row>
    <row r="801" spans="7:8">
      <c r="G801" s="7" t="s">
        <v>1688</v>
      </c>
      <c r="H801" s="2" t="s">
        <v>175</v>
      </c>
    </row>
    <row r="802" spans="7:8">
      <c r="G802" s="7" t="s">
        <v>1689</v>
      </c>
      <c r="H802" s="2" t="s">
        <v>1690</v>
      </c>
    </row>
    <row r="803" spans="7:8">
      <c r="G803" s="7" t="s">
        <v>1691</v>
      </c>
      <c r="H803" s="2" t="s">
        <v>1692</v>
      </c>
    </row>
    <row r="804" spans="7:8">
      <c r="G804" s="7" t="s">
        <v>1693</v>
      </c>
      <c r="H804" s="2" t="s">
        <v>1694</v>
      </c>
    </row>
    <row r="805" spans="7:8">
      <c r="G805" s="7" t="s">
        <v>1695</v>
      </c>
      <c r="H805" s="2" t="s">
        <v>1696</v>
      </c>
    </row>
    <row r="806" spans="7:8">
      <c r="G806" s="7" t="s">
        <v>1697</v>
      </c>
      <c r="H806" s="2" t="s">
        <v>1698</v>
      </c>
    </row>
    <row r="807" spans="7:8">
      <c r="G807" s="7" t="s">
        <v>1699</v>
      </c>
      <c r="H807" s="2" t="s">
        <v>1700</v>
      </c>
    </row>
    <row r="808" spans="7:8">
      <c r="G808" s="7" t="s">
        <v>1701</v>
      </c>
      <c r="H808" s="2" t="s">
        <v>1702</v>
      </c>
    </row>
    <row r="809" spans="7:8">
      <c r="G809" s="7" t="s">
        <v>1703</v>
      </c>
      <c r="H809" s="2" t="s">
        <v>1704</v>
      </c>
    </row>
    <row r="810" spans="7:8">
      <c r="G810" s="7" t="s">
        <v>1705</v>
      </c>
      <c r="H810" s="2" t="s">
        <v>173</v>
      </c>
    </row>
    <row r="811" spans="7:8">
      <c r="G811" s="7" t="s">
        <v>1706</v>
      </c>
      <c r="H811" s="2" t="s">
        <v>175</v>
      </c>
    </row>
    <row r="812" spans="7:8">
      <c r="G812" s="7" t="s">
        <v>1707</v>
      </c>
      <c r="H812" s="2" t="s">
        <v>1708</v>
      </c>
    </row>
    <row r="813" spans="7:8">
      <c r="G813" s="7" t="s">
        <v>1709</v>
      </c>
      <c r="H813" s="2" t="s">
        <v>1710</v>
      </c>
    </row>
    <row r="814" spans="7:8">
      <c r="G814" s="7" t="s">
        <v>1711</v>
      </c>
      <c r="H814" s="2" t="s">
        <v>1712</v>
      </c>
    </row>
    <row r="815" spans="7:8">
      <c r="G815" s="7" t="s">
        <v>1713</v>
      </c>
      <c r="H815" s="2" t="s">
        <v>1714</v>
      </c>
    </row>
    <row r="816" spans="7:8">
      <c r="G816" s="7" t="s">
        <v>1715</v>
      </c>
      <c r="H816" s="2" t="s">
        <v>1716</v>
      </c>
    </row>
    <row r="817" spans="7:8">
      <c r="G817" s="7" t="s">
        <v>1717</v>
      </c>
      <c r="H817" s="2" t="s">
        <v>173</v>
      </c>
    </row>
    <row r="818" spans="7:8">
      <c r="G818" s="7" t="s">
        <v>1718</v>
      </c>
      <c r="H818" s="2" t="s">
        <v>175</v>
      </c>
    </row>
    <row r="819" spans="7:8">
      <c r="G819" s="7" t="s">
        <v>1719</v>
      </c>
      <c r="H819" s="2" t="s">
        <v>1720</v>
      </c>
    </row>
    <row r="820" spans="7:8">
      <c r="G820" s="7" t="s">
        <v>1721</v>
      </c>
      <c r="H820" s="2" t="s">
        <v>1722</v>
      </c>
    </row>
    <row r="821" spans="7:8">
      <c r="G821" s="7" t="s">
        <v>1723</v>
      </c>
      <c r="H821" s="2" t="s">
        <v>1724</v>
      </c>
    </row>
    <row r="822" spans="7:8">
      <c r="G822" s="7" t="s">
        <v>1725</v>
      </c>
      <c r="H822" s="2" t="s">
        <v>1726</v>
      </c>
    </row>
    <row r="823" spans="7:8">
      <c r="G823" s="7" t="s">
        <v>1727</v>
      </c>
      <c r="H823" s="2" t="s">
        <v>1728</v>
      </c>
    </row>
    <row r="824" spans="7:8">
      <c r="G824" s="7" t="s">
        <v>1729</v>
      </c>
      <c r="H824" s="2" t="s">
        <v>1730</v>
      </c>
    </row>
    <row r="825" spans="7:8">
      <c r="G825" s="7" t="s">
        <v>1731</v>
      </c>
      <c r="H825" s="2" t="s">
        <v>173</v>
      </c>
    </row>
    <row r="826" spans="7:8">
      <c r="G826" s="7" t="s">
        <v>1732</v>
      </c>
      <c r="H826" s="2" t="s">
        <v>175</v>
      </c>
    </row>
    <row r="827" spans="7:8">
      <c r="G827" s="7" t="s">
        <v>1733</v>
      </c>
      <c r="H827" s="2" t="s">
        <v>1734</v>
      </c>
    </row>
    <row r="828" spans="7:8">
      <c r="G828" s="7" t="s">
        <v>1735</v>
      </c>
      <c r="H828" s="2" t="s">
        <v>1736</v>
      </c>
    </row>
    <row r="829" spans="7:8">
      <c r="G829" s="7" t="s">
        <v>1737</v>
      </c>
      <c r="H829" s="2" t="s">
        <v>1738</v>
      </c>
    </row>
    <row r="830" spans="7:8">
      <c r="G830" s="7" t="s">
        <v>1739</v>
      </c>
      <c r="H830" s="2" t="s">
        <v>1740</v>
      </c>
    </row>
    <row r="831" spans="7:8">
      <c r="G831" s="7" t="s">
        <v>1741</v>
      </c>
      <c r="H831" s="2" t="s">
        <v>1742</v>
      </c>
    </row>
    <row r="832" spans="7:8">
      <c r="G832" s="7" t="s">
        <v>1743</v>
      </c>
      <c r="H832" s="2" t="s">
        <v>1744</v>
      </c>
    </row>
    <row r="833" spans="7:8">
      <c r="G833" s="7" t="s">
        <v>1745</v>
      </c>
      <c r="H833" s="2" t="s">
        <v>1746</v>
      </c>
    </row>
    <row r="834" spans="7:8">
      <c r="G834" s="7" t="s">
        <v>1747</v>
      </c>
      <c r="H834" s="2" t="s">
        <v>1748</v>
      </c>
    </row>
    <row r="835" spans="7:8">
      <c r="G835" s="7" t="s">
        <v>1749</v>
      </c>
      <c r="H835" s="2" t="s">
        <v>1750</v>
      </c>
    </row>
    <row r="836" spans="7:8">
      <c r="G836" s="7" t="s">
        <v>1751</v>
      </c>
      <c r="H836" s="2" t="s">
        <v>173</v>
      </c>
    </row>
    <row r="837" spans="7:8">
      <c r="G837" s="7" t="s">
        <v>1752</v>
      </c>
      <c r="H837" s="2" t="s">
        <v>175</v>
      </c>
    </row>
    <row r="838" spans="7:8">
      <c r="G838" s="7" t="s">
        <v>1753</v>
      </c>
      <c r="H838" s="2" t="s">
        <v>1754</v>
      </c>
    </row>
    <row r="839" spans="7:8">
      <c r="G839" s="7" t="s">
        <v>1755</v>
      </c>
      <c r="H839" s="2" t="s">
        <v>1756</v>
      </c>
    </row>
    <row r="840" spans="7:8">
      <c r="G840" s="7" t="s">
        <v>1757</v>
      </c>
      <c r="H840" s="2" t="s">
        <v>173</v>
      </c>
    </row>
    <row r="841" spans="7:8">
      <c r="G841" s="7" t="s">
        <v>1758</v>
      </c>
      <c r="H841" s="2" t="s">
        <v>175</v>
      </c>
    </row>
    <row r="842" spans="7:8">
      <c r="G842" s="7" t="s">
        <v>1759</v>
      </c>
      <c r="H842" s="2" t="s">
        <v>1760</v>
      </c>
    </row>
    <row r="843" spans="7:8">
      <c r="G843" s="7" t="s">
        <v>1761</v>
      </c>
      <c r="H843" s="2" t="s">
        <v>1762</v>
      </c>
    </row>
    <row r="844" spans="7:8">
      <c r="G844" s="7" t="s">
        <v>1763</v>
      </c>
      <c r="H844" s="2" t="s">
        <v>173</v>
      </c>
    </row>
    <row r="845" spans="7:8">
      <c r="G845" s="7" t="s">
        <v>1764</v>
      </c>
      <c r="H845" s="2" t="s">
        <v>175</v>
      </c>
    </row>
    <row r="846" spans="7:8">
      <c r="G846" s="7" t="s">
        <v>1765</v>
      </c>
      <c r="H846" s="2" t="s">
        <v>1766</v>
      </c>
    </row>
    <row r="847" spans="7:8">
      <c r="G847" s="7" t="s">
        <v>1767</v>
      </c>
      <c r="H847" s="2" t="s">
        <v>1768</v>
      </c>
    </row>
    <row r="848" spans="7:8">
      <c r="G848" s="7" t="s">
        <v>1769</v>
      </c>
      <c r="H848" s="2" t="s">
        <v>1770</v>
      </c>
    </row>
    <row r="849" spans="7:8">
      <c r="G849" s="7" t="s">
        <v>1771</v>
      </c>
      <c r="H849" s="2" t="s">
        <v>1772</v>
      </c>
    </row>
    <row r="850" spans="7:8">
      <c r="G850" s="7" t="s">
        <v>1773</v>
      </c>
      <c r="H850" s="2" t="s">
        <v>1774</v>
      </c>
    </row>
    <row r="851" spans="7:8">
      <c r="G851" s="7" t="s">
        <v>1775</v>
      </c>
      <c r="H851" s="2" t="s">
        <v>1776</v>
      </c>
    </row>
    <row r="852" spans="7:8">
      <c r="G852" s="7" t="s">
        <v>1777</v>
      </c>
      <c r="H852" s="2" t="s">
        <v>1778</v>
      </c>
    </row>
    <row r="853" spans="7:8">
      <c r="G853" s="7" t="s">
        <v>1779</v>
      </c>
      <c r="H853" s="2" t="s">
        <v>1780</v>
      </c>
    </row>
    <row r="854" spans="7:8">
      <c r="G854" s="7" t="s">
        <v>1781</v>
      </c>
      <c r="H854" s="2" t="s">
        <v>1782</v>
      </c>
    </row>
    <row r="855" spans="7:8">
      <c r="G855" s="7" t="s">
        <v>1783</v>
      </c>
      <c r="H855" s="2" t="s">
        <v>1784</v>
      </c>
    </row>
    <row r="856" spans="7:8">
      <c r="G856" s="7" t="s">
        <v>1785</v>
      </c>
      <c r="H856" s="2" t="s">
        <v>1786</v>
      </c>
    </row>
    <row r="857" spans="7:8">
      <c r="G857" s="7" t="s">
        <v>1787</v>
      </c>
      <c r="H857" s="2" t="s">
        <v>1788</v>
      </c>
    </row>
    <row r="858" spans="7:8">
      <c r="G858" s="7" t="s">
        <v>1789</v>
      </c>
      <c r="H858" s="2" t="s">
        <v>1790</v>
      </c>
    </row>
    <row r="859" spans="7:8">
      <c r="G859" s="7" t="s">
        <v>1791</v>
      </c>
      <c r="H859" s="2" t="s">
        <v>1792</v>
      </c>
    </row>
    <row r="860" spans="7:8">
      <c r="G860" s="7" t="s">
        <v>1793</v>
      </c>
      <c r="H860" s="2" t="s">
        <v>1794</v>
      </c>
    </row>
    <row r="861" spans="7:8">
      <c r="G861" s="7" t="s">
        <v>1795</v>
      </c>
      <c r="H861" s="2" t="s">
        <v>1796</v>
      </c>
    </row>
    <row r="862" spans="7:8">
      <c r="G862" s="7" t="s">
        <v>1797</v>
      </c>
      <c r="H862" s="2" t="s">
        <v>173</v>
      </c>
    </row>
    <row r="863" spans="7:8">
      <c r="G863" s="7" t="s">
        <v>1798</v>
      </c>
      <c r="H863" s="2" t="s">
        <v>1799</v>
      </c>
    </row>
    <row r="864" spans="7:8">
      <c r="G864" s="7" t="s">
        <v>1800</v>
      </c>
      <c r="H864" s="2" t="s">
        <v>175</v>
      </c>
    </row>
    <row r="865" spans="7:8">
      <c r="G865" s="7" t="s">
        <v>1801</v>
      </c>
      <c r="H865" s="2" t="s">
        <v>1802</v>
      </c>
    </row>
    <row r="866" spans="7:8">
      <c r="G866" s="7" t="s">
        <v>1803</v>
      </c>
      <c r="H866" s="2" t="s">
        <v>1804</v>
      </c>
    </row>
    <row r="867" spans="7:8">
      <c r="G867" s="7" t="s">
        <v>1805</v>
      </c>
      <c r="H867" s="2" t="s">
        <v>173</v>
      </c>
    </row>
    <row r="868" spans="7:8">
      <c r="G868" s="7" t="s">
        <v>1806</v>
      </c>
      <c r="H868" s="2" t="s">
        <v>1799</v>
      </c>
    </row>
    <row r="869" spans="7:8">
      <c r="G869" s="7" t="s">
        <v>1807</v>
      </c>
      <c r="H869" s="2" t="s">
        <v>175</v>
      </c>
    </row>
    <row r="870" spans="7:8">
      <c r="G870" s="7" t="s">
        <v>1808</v>
      </c>
      <c r="H870" s="2" t="s">
        <v>1809</v>
      </c>
    </row>
    <row r="871" spans="7:8">
      <c r="G871" s="7" t="s">
        <v>1810</v>
      </c>
      <c r="H871" s="2" t="s">
        <v>1811</v>
      </c>
    </row>
    <row r="872" spans="7:8">
      <c r="G872" s="7" t="s">
        <v>1812</v>
      </c>
      <c r="H872" s="2" t="s">
        <v>1813</v>
      </c>
    </row>
    <row r="873" spans="7:8">
      <c r="G873" s="7" t="s">
        <v>1814</v>
      </c>
      <c r="H873" s="2" t="s">
        <v>1815</v>
      </c>
    </row>
    <row r="874" spans="7:8">
      <c r="G874" s="7" t="s">
        <v>1816</v>
      </c>
      <c r="H874" s="2" t="s">
        <v>1817</v>
      </c>
    </row>
    <row r="875" spans="7:8">
      <c r="G875" s="7" t="s">
        <v>1818</v>
      </c>
      <c r="H875" s="2" t="s">
        <v>1819</v>
      </c>
    </row>
    <row r="876" spans="7:8">
      <c r="G876" s="7" t="s">
        <v>1820</v>
      </c>
      <c r="H876" s="2" t="s">
        <v>1821</v>
      </c>
    </row>
    <row r="877" spans="7:8">
      <c r="G877" s="7" t="s">
        <v>1822</v>
      </c>
      <c r="H877" s="2" t="s">
        <v>1823</v>
      </c>
    </row>
    <row r="878" spans="7:8">
      <c r="G878" s="7" t="s">
        <v>1824</v>
      </c>
      <c r="H878" s="2" t="s">
        <v>1825</v>
      </c>
    </row>
    <row r="879" spans="7:8">
      <c r="G879" s="7" t="s">
        <v>1826</v>
      </c>
      <c r="H879" s="2" t="s">
        <v>1827</v>
      </c>
    </row>
    <row r="880" spans="7:8">
      <c r="G880" s="7" t="s">
        <v>1828</v>
      </c>
      <c r="H880" s="2" t="s">
        <v>1829</v>
      </c>
    </row>
    <row r="881" spans="7:8">
      <c r="G881" s="7" t="s">
        <v>1830</v>
      </c>
      <c r="H881" s="2" t="s">
        <v>173</v>
      </c>
    </row>
    <row r="882" spans="7:8">
      <c r="G882" s="7" t="s">
        <v>1831</v>
      </c>
      <c r="H882" s="2" t="s">
        <v>1799</v>
      </c>
    </row>
    <row r="883" spans="7:8">
      <c r="G883" s="7" t="s">
        <v>1832</v>
      </c>
      <c r="H883" s="2" t="s">
        <v>175</v>
      </c>
    </row>
    <row r="884" spans="7:8">
      <c r="G884" s="7" t="s">
        <v>1833</v>
      </c>
      <c r="H884" s="2" t="s">
        <v>1834</v>
      </c>
    </row>
    <row r="885" spans="7:8">
      <c r="G885" s="7" t="s">
        <v>1835</v>
      </c>
      <c r="H885" s="2" t="s">
        <v>1836</v>
      </c>
    </row>
    <row r="886" spans="7:8">
      <c r="G886" s="7" t="s">
        <v>1837</v>
      </c>
      <c r="H886" s="2" t="s">
        <v>1838</v>
      </c>
    </row>
    <row r="887" spans="7:8">
      <c r="G887" s="7" t="s">
        <v>1839</v>
      </c>
      <c r="H887" s="2" t="s">
        <v>1840</v>
      </c>
    </row>
    <row r="888" spans="7:8">
      <c r="G888" s="7" t="s">
        <v>1841</v>
      </c>
      <c r="H888" s="2" t="s">
        <v>1842</v>
      </c>
    </row>
    <row r="889" spans="7:8">
      <c r="G889" s="7" t="s">
        <v>1843</v>
      </c>
      <c r="H889" s="2" t="s">
        <v>1844</v>
      </c>
    </row>
    <row r="890" spans="7:8">
      <c r="G890" s="7" t="s">
        <v>1845</v>
      </c>
      <c r="H890" s="2" t="s">
        <v>1846</v>
      </c>
    </row>
    <row r="891" spans="7:8">
      <c r="G891" s="7" t="s">
        <v>1847</v>
      </c>
      <c r="H891" s="2" t="s">
        <v>1848</v>
      </c>
    </row>
    <row r="892" spans="7:8">
      <c r="G892" s="7" t="s">
        <v>1849</v>
      </c>
      <c r="H892" s="2" t="s">
        <v>1850</v>
      </c>
    </row>
    <row r="893" spans="7:8">
      <c r="G893" s="7" t="s">
        <v>1851</v>
      </c>
      <c r="H893" s="2" t="s">
        <v>1852</v>
      </c>
    </row>
    <row r="894" spans="7:8">
      <c r="G894" s="7" t="s">
        <v>1853</v>
      </c>
      <c r="H894" s="2" t="s">
        <v>1854</v>
      </c>
    </row>
    <row r="895" spans="7:8">
      <c r="G895" s="7" t="s">
        <v>1855</v>
      </c>
      <c r="H895" s="2" t="s">
        <v>1856</v>
      </c>
    </row>
    <row r="896" spans="7:8">
      <c r="G896" s="7" t="s">
        <v>1857</v>
      </c>
      <c r="H896" s="2" t="s">
        <v>1858</v>
      </c>
    </row>
    <row r="897" spans="7:8">
      <c r="G897" s="7" t="s">
        <v>1859</v>
      </c>
      <c r="H897" s="2" t="s">
        <v>1860</v>
      </c>
    </row>
    <row r="898" spans="7:8">
      <c r="G898" s="7" t="s">
        <v>1861</v>
      </c>
      <c r="H898" s="2" t="s">
        <v>1862</v>
      </c>
    </row>
    <row r="899" spans="7:8">
      <c r="G899" s="7" t="s">
        <v>1863</v>
      </c>
      <c r="H899" s="2" t="s">
        <v>173</v>
      </c>
    </row>
    <row r="900" spans="7:8">
      <c r="G900" s="7" t="s">
        <v>1864</v>
      </c>
      <c r="H900" s="2" t="s">
        <v>1799</v>
      </c>
    </row>
    <row r="901" spans="7:8">
      <c r="G901" s="7" t="s">
        <v>1865</v>
      </c>
      <c r="H901" s="2" t="s">
        <v>175</v>
      </c>
    </row>
    <row r="902" spans="7:8">
      <c r="G902" s="7" t="s">
        <v>1866</v>
      </c>
      <c r="H902" s="2" t="s">
        <v>1867</v>
      </c>
    </row>
    <row r="903" spans="7:8">
      <c r="G903" s="7" t="s">
        <v>1868</v>
      </c>
      <c r="H903" s="2" t="s">
        <v>1869</v>
      </c>
    </row>
    <row r="904" spans="7:8">
      <c r="G904" s="7" t="s">
        <v>1870</v>
      </c>
      <c r="H904" s="2" t="s">
        <v>1871</v>
      </c>
    </row>
    <row r="905" spans="7:8">
      <c r="G905" s="7" t="s">
        <v>1872</v>
      </c>
      <c r="H905" s="2" t="s">
        <v>1873</v>
      </c>
    </row>
    <row r="906" spans="7:8">
      <c r="G906" s="7" t="s">
        <v>1874</v>
      </c>
      <c r="H906" s="2" t="s">
        <v>1875</v>
      </c>
    </row>
    <row r="907" spans="7:8">
      <c r="G907" s="7" t="s">
        <v>1876</v>
      </c>
      <c r="H907" s="2" t="s">
        <v>1877</v>
      </c>
    </row>
    <row r="908" spans="7:8">
      <c r="G908" s="7" t="s">
        <v>1878</v>
      </c>
      <c r="H908" s="2" t="s">
        <v>1879</v>
      </c>
    </row>
    <row r="909" spans="7:8">
      <c r="G909" s="7" t="s">
        <v>1880</v>
      </c>
      <c r="H909" s="2" t="s">
        <v>1881</v>
      </c>
    </row>
    <row r="910" spans="7:8">
      <c r="G910" s="7" t="s">
        <v>1882</v>
      </c>
      <c r="H910" s="2" t="s">
        <v>1883</v>
      </c>
    </row>
    <row r="911" spans="7:8">
      <c r="G911" s="7" t="s">
        <v>1884</v>
      </c>
      <c r="H911" s="2" t="s">
        <v>1885</v>
      </c>
    </row>
    <row r="912" spans="7:8">
      <c r="G912" s="7" t="s">
        <v>1886</v>
      </c>
      <c r="H912" s="2" t="s">
        <v>1887</v>
      </c>
    </row>
    <row r="913" spans="7:8">
      <c r="G913" s="7" t="s">
        <v>1888</v>
      </c>
      <c r="H913" s="2" t="s">
        <v>1889</v>
      </c>
    </row>
    <row r="914" spans="7:8">
      <c r="G914" s="7" t="s">
        <v>1890</v>
      </c>
      <c r="H914" s="2" t="s">
        <v>1891</v>
      </c>
    </row>
    <row r="915" spans="7:8">
      <c r="G915" s="7" t="s">
        <v>1892</v>
      </c>
      <c r="H915" s="2" t="s">
        <v>1893</v>
      </c>
    </row>
    <row r="916" spans="7:8">
      <c r="G916" s="7" t="s">
        <v>1894</v>
      </c>
      <c r="H916" s="2" t="s">
        <v>1895</v>
      </c>
    </row>
    <row r="917" spans="7:8">
      <c r="G917" s="7" t="s">
        <v>1896</v>
      </c>
      <c r="H917" s="2" t="s">
        <v>1897</v>
      </c>
    </row>
    <row r="918" spans="7:8">
      <c r="G918" s="7" t="s">
        <v>1898</v>
      </c>
      <c r="H918" s="2" t="s">
        <v>1899</v>
      </c>
    </row>
    <row r="919" spans="7:8">
      <c r="G919" s="7" t="s">
        <v>1900</v>
      </c>
      <c r="H919" s="2" t="s">
        <v>1901</v>
      </c>
    </row>
    <row r="920" spans="7:8">
      <c r="G920" s="7" t="s">
        <v>1902</v>
      </c>
      <c r="H920" s="2" t="s">
        <v>1903</v>
      </c>
    </row>
    <row r="921" spans="7:8">
      <c r="G921" s="7" t="s">
        <v>1904</v>
      </c>
      <c r="H921" s="2" t="s">
        <v>1905</v>
      </c>
    </row>
    <row r="922" spans="7:8">
      <c r="G922" s="7" t="s">
        <v>1906</v>
      </c>
      <c r="H922" s="2" t="s">
        <v>173</v>
      </c>
    </row>
    <row r="923" spans="7:8">
      <c r="G923" s="7" t="s">
        <v>1907</v>
      </c>
      <c r="H923" s="2" t="s">
        <v>1799</v>
      </c>
    </row>
    <row r="924" spans="7:8">
      <c r="G924" s="7" t="s">
        <v>1908</v>
      </c>
      <c r="H924" s="2" t="s">
        <v>175</v>
      </c>
    </row>
    <row r="925" spans="7:8">
      <c r="G925" s="7" t="s">
        <v>1909</v>
      </c>
      <c r="H925" s="2" t="s">
        <v>1910</v>
      </c>
    </row>
    <row r="926" spans="7:8">
      <c r="G926" s="7" t="s">
        <v>1911</v>
      </c>
      <c r="H926" s="2" t="s">
        <v>1912</v>
      </c>
    </row>
    <row r="927" spans="7:8">
      <c r="G927" s="7" t="s">
        <v>1913</v>
      </c>
      <c r="H927" s="2" t="s">
        <v>1914</v>
      </c>
    </row>
    <row r="928" spans="7:8">
      <c r="G928" s="7" t="s">
        <v>1915</v>
      </c>
      <c r="H928" s="2" t="s">
        <v>1916</v>
      </c>
    </row>
    <row r="929" spans="7:8">
      <c r="G929" s="7" t="s">
        <v>1917</v>
      </c>
      <c r="H929" s="2" t="s">
        <v>1918</v>
      </c>
    </row>
    <row r="930" spans="7:8">
      <c r="G930" s="7" t="s">
        <v>1919</v>
      </c>
      <c r="H930" s="2" t="s">
        <v>1920</v>
      </c>
    </row>
    <row r="931" spans="7:8">
      <c r="G931" s="7" t="s">
        <v>1921</v>
      </c>
      <c r="H931" s="2" t="s">
        <v>1922</v>
      </c>
    </row>
    <row r="932" spans="7:8">
      <c r="G932" s="7" t="s">
        <v>1923</v>
      </c>
      <c r="H932" s="2" t="s">
        <v>1924</v>
      </c>
    </row>
    <row r="933" spans="7:8">
      <c r="G933" s="7" t="s">
        <v>1925</v>
      </c>
      <c r="H933" s="2" t="s">
        <v>1926</v>
      </c>
    </row>
    <row r="934" spans="7:8">
      <c r="G934" s="7" t="s">
        <v>1927</v>
      </c>
      <c r="H934" s="2" t="s">
        <v>1928</v>
      </c>
    </row>
    <row r="935" spans="7:8">
      <c r="G935" s="7" t="s">
        <v>1929</v>
      </c>
      <c r="H935" s="2" t="s">
        <v>1930</v>
      </c>
    </row>
    <row r="936" spans="7:8">
      <c r="G936" s="7" t="s">
        <v>1931</v>
      </c>
      <c r="H936" s="2" t="s">
        <v>1932</v>
      </c>
    </row>
    <row r="937" spans="7:8">
      <c r="G937" s="7" t="s">
        <v>1933</v>
      </c>
      <c r="H937" s="2" t="s">
        <v>1934</v>
      </c>
    </row>
    <row r="938" spans="7:8">
      <c r="G938" s="7" t="s">
        <v>1935</v>
      </c>
      <c r="H938" s="2" t="s">
        <v>173</v>
      </c>
    </row>
    <row r="939" spans="7:8">
      <c r="G939" s="7" t="s">
        <v>1936</v>
      </c>
      <c r="H939" s="2" t="s">
        <v>1799</v>
      </c>
    </row>
    <row r="940" spans="7:8">
      <c r="G940" s="7" t="s">
        <v>1937</v>
      </c>
      <c r="H940" s="2" t="s">
        <v>175</v>
      </c>
    </row>
    <row r="941" spans="7:8">
      <c r="G941" s="7" t="s">
        <v>1938</v>
      </c>
      <c r="H941" s="2" t="s">
        <v>1939</v>
      </c>
    </row>
    <row r="942" spans="7:8">
      <c r="G942" s="7" t="s">
        <v>1940</v>
      </c>
      <c r="H942" s="2" t="s">
        <v>1941</v>
      </c>
    </row>
    <row r="943" spans="7:8">
      <c r="G943" s="7" t="s">
        <v>1942</v>
      </c>
      <c r="H943" s="2" t="s">
        <v>1943</v>
      </c>
    </row>
    <row r="944" spans="7:8">
      <c r="G944" s="7" t="s">
        <v>1944</v>
      </c>
      <c r="H944" s="2" t="s">
        <v>1945</v>
      </c>
    </row>
    <row r="945" spans="7:8">
      <c r="G945" s="7" t="s">
        <v>1946</v>
      </c>
      <c r="H945" s="2" t="s">
        <v>1947</v>
      </c>
    </row>
    <row r="946" spans="7:8">
      <c r="G946" s="7" t="s">
        <v>1948</v>
      </c>
      <c r="H946" s="2" t="s">
        <v>1949</v>
      </c>
    </row>
    <row r="947" spans="7:8">
      <c r="G947" s="7" t="s">
        <v>1950</v>
      </c>
      <c r="H947" s="2" t="s">
        <v>1951</v>
      </c>
    </row>
    <row r="948" spans="7:8">
      <c r="G948" s="7" t="s">
        <v>1952</v>
      </c>
      <c r="H948" s="2" t="s">
        <v>1953</v>
      </c>
    </row>
    <row r="949" spans="7:8">
      <c r="G949" s="7" t="s">
        <v>1954</v>
      </c>
      <c r="H949" s="2" t="s">
        <v>1955</v>
      </c>
    </row>
    <row r="950" spans="7:8">
      <c r="G950" s="7" t="s">
        <v>1956</v>
      </c>
      <c r="H950" s="2" t="s">
        <v>1957</v>
      </c>
    </row>
    <row r="951" spans="7:8">
      <c r="G951" s="7" t="s">
        <v>1958</v>
      </c>
      <c r="H951" s="2" t="s">
        <v>1959</v>
      </c>
    </row>
    <row r="952" spans="7:8">
      <c r="G952" s="7" t="s">
        <v>1960</v>
      </c>
      <c r="H952" s="2" t="s">
        <v>1961</v>
      </c>
    </row>
    <row r="953" spans="7:8">
      <c r="G953" s="7" t="s">
        <v>1962</v>
      </c>
      <c r="H953" s="2" t="s">
        <v>1963</v>
      </c>
    </row>
    <row r="954" spans="7:8">
      <c r="G954" s="7" t="s">
        <v>1964</v>
      </c>
      <c r="H954" s="2" t="s">
        <v>1965</v>
      </c>
    </row>
    <row r="955" spans="7:8">
      <c r="G955" s="7" t="s">
        <v>1966</v>
      </c>
      <c r="H955" s="2" t="s">
        <v>1967</v>
      </c>
    </row>
    <row r="956" spans="7:8">
      <c r="G956" s="7" t="s">
        <v>1968</v>
      </c>
      <c r="H956" s="2" t="s">
        <v>1969</v>
      </c>
    </row>
    <row r="957" spans="7:8">
      <c r="G957" s="7" t="s">
        <v>1970</v>
      </c>
      <c r="H957" s="2" t="s">
        <v>1971</v>
      </c>
    </row>
    <row r="958" spans="7:8">
      <c r="G958" s="7" t="s">
        <v>1972</v>
      </c>
      <c r="H958" s="2" t="s">
        <v>1973</v>
      </c>
    </row>
    <row r="959" spans="7:8">
      <c r="G959" s="7" t="s">
        <v>1974</v>
      </c>
      <c r="H959" s="2" t="s">
        <v>1975</v>
      </c>
    </row>
    <row r="960" spans="7:8">
      <c r="G960" s="7" t="s">
        <v>1976</v>
      </c>
      <c r="H960" s="2" t="s">
        <v>1977</v>
      </c>
    </row>
    <row r="961" spans="7:8">
      <c r="G961" s="7" t="s">
        <v>1978</v>
      </c>
      <c r="H961" s="2" t="s">
        <v>1979</v>
      </c>
    </row>
    <row r="962" spans="7:8">
      <c r="G962" s="7" t="s">
        <v>1980</v>
      </c>
      <c r="H962" s="2" t="s">
        <v>173</v>
      </c>
    </row>
    <row r="963" spans="7:8">
      <c r="G963" s="7" t="s">
        <v>1981</v>
      </c>
      <c r="H963" s="2" t="s">
        <v>1799</v>
      </c>
    </row>
    <row r="964" spans="7:8">
      <c r="G964" s="7" t="s">
        <v>1982</v>
      </c>
      <c r="H964" s="2" t="s">
        <v>175</v>
      </c>
    </row>
    <row r="965" spans="7:8">
      <c r="G965" s="7" t="s">
        <v>1983</v>
      </c>
      <c r="H965" s="2" t="s">
        <v>1984</v>
      </c>
    </row>
    <row r="966" spans="7:8">
      <c r="G966" s="7" t="s">
        <v>1985</v>
      </c>
      <c r="H966" s="2" t="s">
        <v>1986</v>
      </c>
    </row>
    <row r="967" spans="7:8">
      <c r="G967" s="7" t="s">
        <v>1987</v>
      </c>
      <c r="H967" s="2" t="s">
        <v>173</v>
      </c>
    </row>
    <row r="968" spans="7:8">
      <c r="G968" s="7" t="s">
        <v>1988</v>
      </c>
      <c r="H968" s="2" t="s">
        <v>1799</v>
      </c>
    </row>
    <row r="969" spans="7:8">
      <c r="G969" s="7" t="s">
        <v>1989</v>
      </c>
      <c r="H969" s="2" t="s">
        <v>175</v>
      </c>
    </row>
    <row r="970" spans="7:8">
      <c r="G970" s="7" t="s">
        <v>1990</v>
      </c>
      <c r="H970" s="2" t="s">
        <v>1991</v>
      </c>
    </row>
    <row r="971" spans="7:8">
      <c r="G971" s="7" t="s">
        <v>1992</v>
      </c>
      <c r="H971" s="2" t="s">
        <v>1993</v>
      </c>
    </row>
    <row r="972" spans="7:8">
      <c r="G972" s="7" t="s">
        <v>1994</v>
      </c>
      <c r="H972" s="2" t="s">
        <v>1995</v>
      </c>
    </row>
    <row r="973" spans="7:8">
      <c r="G973" s="7" t="s">
        <v>1996</v>
      </c>
      <c r="H973" s="2" t="s">
        <v>1997</v>
      </c>
    </row>
    <row r="974" spans="7:8">
      <c r="G974" s="7" t="s">
        <v>1998</v>
      </c>
      <c r="H974" s="2" t="s">
        <v>1999</v>
      </c>
    </row>
    <row r="975" spans="7:8">
      <c r="G975" s="7" t="s">
        <v>2000</v>
      </c>
      <c r="H975" s="2" t="s">
        <v>2001</v>
      </c>
    </row>
    <row r="976" spans="7:8">
      <c r="G976" s="7" t="s">
        <v>2002</v>
      </c>
      <c r="H976" s="2" t="s">
        <v>2003</v>
      </c>
    </row>
    <row r="977" spans="7:8">
      <c r="G977" s="7" t="s">
        <v>2004</v>
      </c>
      <c r="H977" s="2" t="s">
        <v>2005</v>
      </c>
    </row>
    <row r="978" spans="7:8">
      <c r="G978" s="7" t="s">
        <v>2006</v>
      </c>
      <c r="H978" s="2" t="s">
        <v>2007</v>
      </c>
    </row>
    <row r="979" spans="7:8">
      <c r="G979" s="7" t="s">
        <v>2008</v>
      </c>
      <c r="H979" s="2" t="s">
        <v>2009</v>
      </c>
    </row>
    <row r="980" spans="7:8">
      <c r="G980" s="7" t="s">
        <v>2010</v>
      </c>
      <c r="H980" s="2" t="s">
        <v>2011</v>
      </c>
    </row>
    <row r="981" spans="7:8">
      <c r="G981" s="7" t="s">
        <v>2012</v>
      </c>
      <c r="H981" s="2" t="s">
        <v>173</v>
      </c>
    </row>
    <row r="982" spans="7:8">
      <c r="G982" s="7" t="s">
        <v>2013</v>
      </c>
      <c r="H982" s="2" t="s">
        <v>1799</v>
      </c>
    </row>
    <row r="983" spans="7:8">
      <c r="G983" s="7" t="s">
        <v>2014</v>
      </c>
      <c r="H983" s="2" t="s">
        <v>175</v>
      </c>
    </row>
    <row r="984" spans="7:8">
      <c r="G984" s="7" t="s">
        <v>2015</v>
      </c>
      <c r="H984" s="2" t="s">
        <v>2016</v>
      </c>
    </row>
    <row r="985" spans="7:8">
      <c r="G985" s="7" t="s">
        <v>2017</v>
      </c>
      <c r="H985" s="2" t="s">
        <v>2018</v>
      </c>
    </row>
    <row r="986" spans="7:8">
      <c r="G986" s="7" t="s">
        <v>2019</v>
      </c>
      <c r="H986" s="2" t="s">
        <v>2020</v>
      </c>
    </row>
    <row r="987" spans="7:8">
      <c r="G987" s="7" t="s">
        <v>2021</v>
      </c>
      <c r="H987" s="2" t="s">
        <v>2022</v>
      </c>
    </row>
    <row r="988" spans="7:8">
      <c r="G988" s="7" t="s">
        <v>2023</v>
      </c>
      <c r="H988" s="2" t="s">
        <v>2024</v>
      </c>
    </row>
    <row r="989" spans="7:8">
      <c r="G989" s="7" t="s">
        <v>2025</v>
      </c>
      <c r="H989" s="2" t="s">
        <v>2026</v>
      </c>
    </row>
    <row r="990" spans="7:8">
      <c r="G990" s="7" t="s">
        <v>2027</v>
      </c>
      <c r="H990" s="2" t="s">
        <v>2028</v>
      </c>
    </row>
    <row r="991" spans="7:8">
      <c r="G991" s="7" t="s">
        <v>2029</v>
      </c>
      <c r="H991" s="2" t="s">
        <v>2030</v>
      </c>
    </row>
    <row r="992" spans="7:8">
      <c r="G992" s="7" t="s">
        <v>2031</v>
      </c>
      <c r="H992" s="2" t="s">
        <v>2032</v>
      </c>
    </row>
    <row r="993" spans="7:8">
      <c r="G993" s="7" t="s">
        <v>2033</v>
      </c>
      <c r="H993" s="2" t="s">
        <v>2034</v>
      </c>
    </row>
    <row r="994" spans="7:8">
      <c r="G994" s="7" t="s">
        <v>2035</v>
      </c>
      <c r="H994" s="2" t="s">
        <v>2036</v>
      </c>
    </row>
    <row r="995" spans="7:8">
      <c r="G995" s="7" t="s">
        <v>2037</v>
      </c>
      <c r="H995" s="2" t="s">
        <v>2038</v>
      </c>
    </row>
    <row r="996" spans="7:8">
      <c r="G996" s="7" t="s">
        <v>2039</v>
      </c>
      <c r="H996" s="2" t="s">
        <v>2040</v>
      </c>
    </row>
    <row r="997" spans="7:8">
      <c r="G997" s="7" t="s">
        <v>2041</v>
      </c>
      <c r="H997" s="2" t="s">
        <v>2042</v>
      </c>
    </row>
    <row r="998" spans="7:8">
      <c r="G998" s="7" t="s">
        <v>2043</v>
      </c>
      <c r="H998" s="2" t="s">
        <v>2044</v>
      </c>
    </row>
    <row r="999" spans="7:8">
      <c r="G999" s="7" t="s">
        <v>2045</v>
      </c>
      <c r="H999" s="2" t="s">
        <v>2046</v>
      </c>
    </row>
    <row r="1000" spans="7:8">
      <c r="G1000" s="7" t="s">
        <v>2047</v>
      </c>
      <c r="H1000" s="2" t="s">
        <v>2048</v>
      </c>
    </row>
    <row r="1001" spans="7:8">
      <c r="G1001" s="7" t="s">
        <v>2049</v>
      </c>
      <c r="H1001" s="2" t="s">
        <v>2050</v>
      </c>
    </row>
    <row r="1002" spans="7:8">
      <c r="G1002" s="7" t="s">
        <v>2051</v>
      </c>
      <c r="H1002" s="2" t="s">
        <v>2052</v>
      </c>
    </row>
    <row r="1003" spans="7:8">
      <c r="G1003" s="7" t="s">
        <v>2053</v>
      </c>
      <c r="H1003" s="2" t="s">
        <v>2054</v>
      </c>
    </row>
    <row r="1004" spans="7:8">
      <c r="G1004" s="7" t="s">
        <v>2055</v>
      </c>
      <c r="H1004" s="2" t="s">
        <v>173</v>
      </c>
    </row>
    <row r="1005" spans="7:8">
      <c r="G1005" s="7" t="s">
        <v>2056</v>
      </c>
      <c r="H1005" s="2" t="s">
        <v>1799</v>
      </c>
    </row>
    <row r="1006" spans="7:8">
      <c r="G1006" s="7" t="s">
        <v>2057</v>
      </c>
      <c r="H1006" s="2" t="s">
        <v>175</v>
      </c>
    </row>
    <row r="1007" spans="7:8">
      <c r="G1007" s="7" t="s">
        <v>2058</v>
      </c>
      <c r="H1007" s="2" t="s">
        <v>2059</v>
      </c>
    </row>
    <row r="1008" spans="7:8">
      <c r="G1008" s="7" t="s">
        <v>2060</v>
      </c>
      <c r="H1008" s="2" t="s">
        <v>2061</v>
      </c>
    </row>
    <row r="1009" spans="7:8">
      <c r="G1009" s="7" t="s">
        <v>2062</v>
      </c>
      <c r="H1009" s="2" t="s">
        <v>2063</v>
      </c>
    </row>
    <row r="1010" spans="7:8">
      <c r="G1010" s="7" t="s">
        <v>2064</v>
      </c>
      <c r="H1010" s="2" t="s">
        <v>2065</v>
      </c>
    </row>
    <row r="1011" spans="7:8">
      <c r="G1011" s="7" t="s">
        <v>2066</v>
      </c>
      <c r="H1011" s="2" t="s">
        <v>2067</v>
      </c>
    </row>
    <row r="1012" spans="7:8">
      <c r="G1012" s="7" t="s">
        <v>2068</v>
      </c>
      <c r="H1012" s="2" t="s">
        <v>2069</v>
      </c>
    </row>
    <row r="1013" spans="7:8">
      <c r="G1013" s="7" t="s">
        <v>2070</v>
      </c>
      <c r="H1013" s="2" t="s">
        <v>2071</v>
      </c>
    </row>
    <row r="1014" spans="7:8">
      <c r="G1014" s="7" t="s">
        <v>2072</v>
      </c>
      <c r="H1014" s="2" t="s">
        <v>2073</v>
      </c>
    </row>
    <row r="1015" spans="7:8">
      <c r="G1015" s="7" t="s">
        <v>2074</v>
      </c>
      <c r="H1015" s="2" t="s">
        <v>2075</v>
      </c>
    </row>
    <row r="1016" spans="7:8">
      <c r="G1016" s="7" t="s">
        <v>2076</v>
      </c>
      <c r="H1016" s="2" t="s">
        <v>173</v>
      </c>
    </row>
    <row r="1017" spans="7:8">
      <c r="G1017" s="7" t="s">
        <v>2077</v>
      </c>
      <c r="H1017" s="2" t="s">
        <v>1799</v>
      </c>
    </row>
    <row r="1018" spans="7:8">
      <c r="G1018" s="7" t="s">
        <v>2078</v>
      </c>
      <c r="H1018" s="2" t="s">
        <v>175</v>
      </c>
    </row>
    <row r="1019" spans="7:8">
      <c r="G1019" s="7" t="s">
        <v>2079</v>
      </c>
      <c r="H1019" s="2" t="s">
        <v>2080</v>
      </c>
    </row>
    <row r="1020" spans="7:8">
      <c r="G1020" s="7" t="s">
        <v>2081</v>
      </c>
      <c r="H1020" s="2" t="s">
        <v>2082</v>
      </c>
    </row>
    <row r="1021" spans="7:8">
      <c r="G1021" s="7" t="s">
        <v>2083</v>
      </c>
      <c r="H1021" s="2" t="s">
        <v>2084</v>
      </c>
    </row>
    <row r="1022" spans="7:8">
      <c r="G1022" s="7" t="s">
        <v>2085</v>
      </c>
      <c r="H1022" s="2" t="s">
        <v>2086</v>
      </c>
    </row>
    <row r="1023" spans="7:8">
      <c r="G1023" s="7" t="s">
        <v>2087</v>
      </c>
      <c r="H1023" s="2" t="s">
        <v>2088</v>
      </c>
    </row>
    <row r="1024" spans="7:8">
      <c r="G1024" s="7" t="s">
        <v>2089</v>
      </c>
      <c r="H1024" s="2" t="s">
        <v>2090</v>
      </c>
    </row>
    <row r="1025" spans="7:8">
      <c r="G1025" s="7" t="s">
        <v>2091</v>
      </c>
      <c r="H1025" s="2" t="s">
        <v>2092</v>
      </c>
    </row>
    <row r="1026" spans="7:8">
      <c r="G1026" s="7" t="s">
        <v>2093</v>
      </c>
      <c r="H1026" s="2" t="s">
        <v>2094</v>
      </c>
    </row>
    <row r="1027" spans="7:8">
      <c r="G1027" s="7" t="s">
        <v>2095</v>
      </c>
      <c r="H1027" s="2" t="s">
        <v>2096</v>
      </c>
    </row>
    <row r="1028" spans="7:8">
      <c r="G1028" s="7" t="s">
        <v>2097</v>
      </c>
      <c r="H1028" s="2" t="s">
        <v>2098</v>
      </c>
    </row>
    <row r="1029" spans="7:8">
      <c r="G1029" s="7" t="s">
        <v>2099</v>
      </c>
      <c r="H1029" s="2" t="s">
        <v>2100</v>
      </c>
    </row>
    <row r="1030" spans="7:8">
      <c r="G1030" s="7" t="s">
        <v>2101</v>
      </c>
      <c r="H1030" s="2" t="s">
        <v>2102</v>
      </c>
    </row>
    <row r="1031" spans="7:8">
      <c r="G1031" s="7" t="s">
        <v>2103</v>
      </c>
      <c r="H1031" s="2" t="s">
        <v>2104</v>
      </c>
    </row>
    <row r="1032" spans="7:8">
      <c r="G1032" s="7" t="s">
        <v>2105</v>
      </c>
      <c r="H1032" s="2" t="s">
        <v>2106</v>
      </c>
    </row>
    <row r="1033" spans="7:8">
      <c r="G1033" s="7" t="s">
        <v>2107</v>
      </c>
      <c r="H1033" s="2" t="s">
        <v>2108</v>
      </c>
    </row>
    <row r="1034" spans="7:8">
      <c r="G1034" s="7" t="s">
        <v>2109</v>
      </c>
      <c r="H1034" s="2" t="s">
        <v>2110</v>
      </c>
    </row>
    <row r="1035" spans="7:8">
      <c r="G1035" s="7" t="s">
        <v>2111</v>
      </c>
      <c r="H1035" s="2" t="s">
        <v>2112</v>
      </c>
    </row>
    <row r="1036" spans="7:8">
      <c r="G1036" s="7" t="s">
        <v>2113</v>
      </c>
      <c r="H1036" s="2" t="s">
        <v>2114</v>
      </c>
    </row>
    <row r="1037" spans="7:8">
      <c r="G1037" s="7" t="s">
        <v>2115</v>
      </c>
      <c r="H1037" s="2" t="s">
        <v>2116</v>
      </c>
    </row>
    <row r="1038" spans="7:8">
      <c r="G1038" s="7" t="s">
        <v>2117</v>
      </c>
      <c r="H1038" s="2" t="s">
        <v>2118</v>
      </c>
    </row>
    <row r="1039" spans="7:8">
      <c r="G1039" s="7" t="s">
        <v>2119</v>
      </c>
      <c r="H1039" s="2" t="s">
        <v>2120</v>
      </c>
    </row>
    <row r="1040" spans="7:8">
      <c r="G1040" s="7" t="s">
        <v>2121</v>
      </c>
      <c r="H1040" s="2" t="s">
        <v>2122</v>
      </c>
    </row>
    <row r="1041" spans="7:8">
      <c r="G1041" s="7" t="s">
        <v>2123</v>
      </c>
      <c r="H1041" s="2" t="s">
        <v>2124</v>
      </c>
    </row>
    <row r="1042" spans="7:8">
      <c r="G1042" s="7" t="s">
        <v>2125</v>
      </c>
      <c r="H1042" s="2" t="s">
        <v>2126</v>
      </c>
    </row>
    <row r="1043" spans="7:8">
      <c r="G1043" s="7" t="s">
        <v>2127</v>
      </c>
      <c r="H1043" s="2" t="s">
        <v>2128</v>
      </c>
    </row>
    <row r="1044" spans="7:8">
      <c r="G1044" s="7" t="s">
        <v>2129</v>
      </c>
      <c r="H1044" s="2" t="s">
        <v>2130</v>
      </c>
    </row>
    <row r="1045" spans="7:8">
      <c r="G1045" s="7" t="s">
        <v>2131</v>
      </c>
      <c r="H1045" s="2" t="s">
        <v>2132</v>
      </c>
    </row>
    <row r="1046" spans="7:8">
      <c r="G1046" s="7" t="s">
        <v>2133</v>
      </c>
      <c r="H1046" s="2" t="s">
        <v>2134</v>
      </c>
    </row>
    <row r="1047" spans="7:8">
      <c r="G1047" s="7" t="s">
        <v>2135</v>
      </c>
      <c r="H1047" s="2" t="s">
        <v>2136</v>
      </c>
    </row>
    <row r="1048" spans="7:8">
      <c r="G1048" s="7" t="s">
        <v>2137</v>
      </c>
      <c r="H1048" s="2" t="s">
        <v>2138</v>
      </c>
    </row>
    <row r="1049" spans="7:8">
      <c r="G1049" s="7" t="s">
        <v>2139</v>
      </c>
      <c r="H1049" s="2" t="s">
        <v>2140</v>
      </c>
    </row>
    <row r="1050" spans="7:8">
      <c r="G1050" s="7" t="s">
        <v>2141</v>
      </c>
      <c r="H1050" s="2" t="s">
        <v>2142</v>
      </c>
    </row>
    <row r="1051" spans="7:8">
      <c r="G1051" s="7" t="s">
        <v>2143</v>
      </c>
      <c r="H1051" s="2" t="s">
        <v>2144</v>
      </c>
    </row>
    <row r="1052" spans="7:8">
      <c r="G1052" s="7" t="s">
        <v>2145</v>
      </c>
      <c r="H1052" s="2" t="s">
        <v>2146</v>
      </c>
    </row>
    <row r="1053" spans="7:8">
      <c r="G1053" s="7" t="s">
        <v>2147</v>
      </c>
      <c r="H1053" s="2" t="s">
        <v>2148</v>
      </c>
    </row>
    <row r="1054" spans="7:8">
      <c r="G1054" s="7" t="s">
        <v>2149</v>
      </c>
      <c r="H1054" s="2" t="s">
        <v>173</v>
      </c>
    </row>
    <row r="1055" spans="7:8">
      <c r="G1055" s="7" t="s">
        <v>2150</v>
      </c>
      <c r="H1055" s="2" t="s">
        <v>1799</v>
      </c>
    </row>
    <row r="1056" spans="7:8">
      <c r="G1056" s="7" t="s">
        <v>2151</v>
      </c>
      <c r="H1056" s="2" t="s">
        <v>175</v>
      </c>
    </row>
    <row r="1057" spans="7:8">
      <c r="G1057" s="7" t="s">
        <v>2152</v>
      </c>
      <c r="H1057" s="2" t="s">
        <v>2153</v>
      </c>
    </row>
    <row r="1058" spans="7:8">
      <c r="G1058" s="7" t="s">
        <v>2154</v>
      </c>
      <c r="H1058" s="2" t="s">
        <v>2155</v>
      </c>
    </row>
    <row r="1059" spans="7:8">
      <c r="G1059" s="7" t="s">
        <v>2156</v>
      </c>
      <c r="H1059" s="2" t="s">
        <v>2157</v>
      </c>
    </row>
    <row r="1060" spans="7:8">
      <c r="G1060" s="7" t="s">
        <v>2158</v>
      </c>
      <c r="H1060" s="2" t="s">
        <v>2159</v>
      </c>
    </row>
    <row r="1061" spans="7:8">
      <c r="G1061" s="7" t="s">
        <v>2160</v>
      </c>
      <c r="H1061" s="2" t="s">
        <v>2161</v>
      </c>
    </row>
    <row r="1062" spans="7:8">
      <c r="G1062" s="7" t="s">
        <v>2162</v>
      </c>
      <c r="H1062" s="2" t="s">
        <v>2163</v>
      </c>
    </row>
    <row r="1063" spans="7:8">
      <c r="G1063" s="7" t="s">
        <v>2164</v>
      </c>
      <c r="H1063" s="2" t="s">
        <v>2165</v>
      </c>
    </row>
    <row r="1064" spans="7:8">
      <c r="G1064" s="7" t="s">
        <v>2166</v>
      </c>
      <c r="H1064" s="2" t="s">
        <v>173</v>
      </c>
    </row>
    <row r="1065" spans="7:8">
      <c r="G1065" s="7" t="s">
        <v>2167</v>
      </c>
      <c r="H1065" s="2" t="s">
        <v>175</v>
      </c>
    </row>
    <row r="1066" spans="7:8">
      <c r="G1066" s="7" t="s">
        <v>2168</v>
      </c>
      <c r="H1066" s="2" t="s">
        <v>2169</v>
      </c>
    </row>
    <row r="1067" spans="7:8">
      <c r="G1067" s="7" t="s">
        <v>2170</v>
      </c>
      <c r="H1067" s="2" t="s">
        <v>2171</v>
      </c>
    </row>
    <row r="1068" spans="7:8">
      <c r="G1068" s="7" t="s">
        <v>2172</v>
      </c>
      <c r="H1068" s="2" t="s">
        <v>2173</v>
      </c>
    </row>
    <row r="1069" spans="7:8">
      <c r="G1069" s="7" t="s">
        <v>2174</v>
      </c>
      <c r="H1069" s="2" t="s">
        <v>2175</v>
      </c>
    </row>
    <row r="1070" spans="7:8">
      <c r="G1070" s="7" t="s">
        <v>2176</v>
      </c>
      <c r="H1070" s="2" t="s">
        <v>2177</v>
      </c>
    </row>
    <row r="1071" spans="7:8">
      <c r="G1071" s="7" t="s">
        <v>2178</v>
      </c>
      <c r="H1071" s="2" t="s">
        <v>173</v>
      </c>
    </row>
    <row r="1072" spans="7:8">
      <c r="G1072" s="7" t="s">
        <v>2179</v>
      </c>
      <c r="H1072" s="2" t="s">
        <v>175</v>
      </c>
    </row>
    <row r="1073" spans="7:8">
      <c r="G1073" s="7" t="s">
        <v>2180</v>
      </c>
      <c r="H1073" s="2" t="s">
        <v>2181</v>
      </c>
    </row>
    <row r="1074" spans="7:8">
      <c r="G1074" s="7" t="s">
        <v>2182</v>
      </c>
      <c r="H1074" s="2" t="s">
        <v>2183</v>
      </c>
    </row>
    <row r="1075" spans="7:8">
      <c r="G1075" s="7" t="s">
        <v>2184</v>
      </c>
      <c r="H1075" s="2" t="s">
        <v>2185</v>
      </c>
    </row>
    <row r="1076" spans="7:8">
      <c r="G1076" s="7" t="s">
        <v>2186</v>
      </c>
      <c r="H1076" s="2" t="s">
        <v>2187</v>
      </c>
    </row>
    <row r="1077" spans="7:8">
      <c r="G1077" s="7" t="s">
        <v>2188</v>
      </c>
      <c r="H1077" s="2" t="s">
        <v>2189</v>
      </c>
    </row>
    <row r="1078" spans="7:8">
      <c r="G1078" s="7" t="s">
        <v>2190</v>
      </c>
      <c r="H1078" s="2" t="s">
        <v>2191</v>
      </c>
    </row>
    <row r="1079" spans="7:8">
      <c r="G1079" s="7" t="s">
        <v>2192</v>
      </c>
      <c r="H1079" s="2" t="s">
        <v>2193</v>
      </c>
    </row>
    <row r="1080" spans="7:8">
      <c r="G1080" s="7" t="s">
        <v>2194</v>
      </c>
      <c r="H1080" s="2" t="s">
        <v>2195</v>
      </c>
    </row>
    <row r="1081" spans="7:8">
      <c r="G1081" s="7" t="s">
        <v>2196</v>
      </c>
      <c r="H1081" s="2" t="s">
        <v>2197</v>
      </c>
    </row>
    <row r="1082" spans="7:8">
      <c r="G1082" s="7" t="s">
        <v>2198</v>
      </c>
      <c r="H1082" s="2" t="s">
        <v>173</v>
      </c>
    </row>
    <row r="1083" spans="7:8">
      <c r="G1083" s="7" t="s">
        <v>2199</v>
      </c>
      <c r="H1083" s="2" t="s">
        <v>175</v>
      </c>
    </row>
    <row r="1084" spans="7:8">
      <c r="G1084" s="7" t="s">
        <v>2200</v>
      </c>
      <c r="H1084" s="2" t="s">
        <v>2201</v>
      </c>
    </row>
    <row r="1085" spans="7:8">
      <c r="G1085" s="7" t="s">
        <v>2202</v>
      </c>
      <c r="H1085" s="2" t="s">
        <v>2203</v>
      </c>
    </row>
    <row r="1086" spans="7:8">
      <c r="G1086" s="7" t="s">
        <v>2204</v>
      </c>
      <c r="H1086" s="2" t="s">
        <v>2205</v>
      </c>
    </row>
    <row r="1087" spans="7:8">
      <c r="G1087" s="7" t="s">
        <v>2206</v>
      </c>
      <c r="H1087" s="2" t="s">
        <v>2207</v>
      </c>
    </row>
    <row r="1088" spans="7:8">
      <c r="G1088" s="7" t="s">
        <v>2208</v>
      </c>
      <c r="H1088" s="2" t="s">
        <v>2209</v>
      </c>
    </row>
    <row r="1089" spans="7:8">
      <c r="G1089" s="7" t="s">
        <v>2210</v>
      </c>
      <c r="H1089" s="2" t="s">
        <v>2211</v>
      </c>
    </row>
    <row r="1090" spans="7:8">
      <c r="G1090" s="7" t="s">
        <v>2212</v>
      </c>
      <c r="H1090" s="2" t="s">
        <v>2213</v>
      </c>
    </row>
    <row r="1091" spans="7:8">
      <c r="G1091" s="7" t="s">
        <v>2214</v>
      </c>
      <c r="H1091" s="2" t="s">
        <v>2215</v>
      </c>
    </row>
    <row r="1092" spans="7:8">
      <c r="G1092" s="7" t="s">
        <v>2216</v>
      </c>
      <c r="H1092" s="2" t="s">
        <v>2217</v>
      </c>
    </row>
    <row r="1093" spans="7:8">
      <c r="G1093" s="7" t="s">
        <v>2218</v>
      </c>
      <c r="H1093" s="2" t="s">
        <v>173</v>
      </c>
    </row>
    <row r="1094" spans="7:8">
      <c r="G1094" s="7" t="s">
        <v>2219</v>
      </c>
      <c r="H1094" s="2" t="s">
        <v>175</v>
      </c>
    </row>
    <row r="1095" spans="7:8">
      <c r="G1095" s="7" t="s">
        <v>2220</v>
      </c>
      <c r="H1095" s="2" t="s">
        <v>2221</v>
      </c>
    </row>
    <row r="1096" spans="7:8">
      <c r="G1096" s="7" t="s">
        <v>2222</v>
      </c>
      <c r="H1096" s="2" t="s">
        <v>2223</v>
      </c>
    </row>
    <row r="1097" spans="7:8">
      <c r="G1097" s="7" t="s">
        <v>2224</v>
      </c>
      <c r="H1097" s="2" t="s">
        <v>2225</v>
      </c>
    </row>
    <row r="1098" spans="7:8">
      <c r="G1098" s="7" t="s">
        <v>2226</v>
      </c>
      <c r="H1098" s="2" t="s">
        <v>2227</v>
      </c>
    </row>
    <row r="1099" spans="7:8">
      <c r="G1099" s="7" t="s">
        <v>2228</v>
      </c>
      <c r="H1099" s="2" t="s">
        <v>2229</v>
      </c>
    </row>
    <row r="1100" spans="7:8">
      <c r="G1100" s="7" t="s">
        <v>2230</v>
      </c>
      <c r="H1100" s="2" t="s">
        <v>2231</v>
      </c>
    </row>
    <row r="1101" spans="7:8">
      <c r="G1101" s="7" t="s">
        <v>2232</v>
      </c>
      <c r="H1101" s="2" t="s">
        <v>2233</v>
      </c>
    </row>
    <row r="1102" spans="7:8">
      <c r="G1102" s="7" t="s">
        <v>2234</v>
      </c>
      <c r="H1102" s="2" t="s">
        <v>173</v>
      </c>
    </row>
    <row r="1103" spans="7:8">
      <c r="G1103" s="7" t="s">
        <v>2235</v>
      </c>
      <c r="H1103" s="2" t="s">
        <v>175</v>
      </c>
    </row>
    <row r="1104" spans="7:8">
      <c r="G1104" s="7" t="s">
        <v>2236</v>
      </c>
      <c r="H1104" s="2" t="s">
        <v>2237</v>
      </c>
    </row>
    <row r="1105" spans="7:8">
      <c r="G1105" s="7" t="s">
        <v>2238</v>
      </c>
      <c r="H1105" s="2" t="s">
        <v>2239</v>
      </c>
    </row>
    <row r="1106" spans="7:8">
      <c r="G1106" s="7" t="s">
        <v>2240</v>
      </c>
      <c r="H1106" s="2" t="s">
        <v>2241</v>
      </c>
    </row>
    <row r="1107" spans="7:8">
      <c r="G1107" s="7" t="s">
        <v>2242</v>
      </c>
      <c r="H1107" s="2" t="s">
        <v>2243</v>
      </c>
    </row>
    <row r="1108" spans="7:8">
      <c r="G1108" s="7" t="s">
        <v>2244</v>
      </c>
      <c r="H1108" s="2" t="s">
        <v>2245</v>
      </c>
    </row>
    <row r="1109" spans="7:8">
      <c r="G1109" s="7" t="s">
        <v>2246</v>
      </c>
      <c r="H1109" s="2" t="s">
        <v>2247</v>
      </c>
    </row>
    <row r="1110" spans="7:8">
      <c r="G1110" s="7" t="s">
        <v>2248</v>
      </c>
      <c r="H1110" s="2" t="s">
        <v>2249</v>
      </c>
    </row>
    <row r="1111" spans="7:8">
      <c r="G1111" s="7" t="s">
        <v>2250</v>
      </c>
      <c r="H1111" s="2" t="s">
        <v>2251</v>
      </c>
    </row>
    <row r="1112" spans="7:8">
      <c r="G1112" s="7" t="s">
        <v>2252</v>
      </c>
      <c r="H1112" s="2" t="s">
        <v>2253</v>
      </c>
    </row>
    <row r="1113" spans="7:8">
      <c r="G1113" s="7" t="s">
        <v>2254</v>
      </c>
      <c r="H1113" s="2" t="s">
        <v>2255</v>
      </c>
    </row>
    <row r="1114" spans="7:8">
      <c r="G1114" s="7" t="s">
        <v>2256</v>
      </c>
      <c r="H1114" s="2" t="s">
        <v>2257</v>
      </c>
    </row>
    <row r="1115" spans="7:8">
      <c r="G1115" s="7" t="s">
        <v>2258</v>
      </c>
      <c r="H1115" s="2" t="s">
        <v>2259</v>
      </c>
    </row>
    <row r="1116" spans="7:8">
      <c r="G1116" s="7" t="s">
        <v>2260</v>
      </c>
      <c r="H1116" s="2" t="s">
        <v>2261</v>
      </c>
    </row>
    <row r="1117" spans="7:8">
      <c r="G1117" s="7" t="s">
        <v>2262</v>
      </c>
      <c r="H1117" s="2" t="s">
        <v>2263</v>
      </c>
    </row>
    <row r="1118" spans="7:8">
      <c r="G1118" s="7" t="s">
        <v>2264</v>
      </c>
      <c r="H1118" s="2" t="s">
        <v>173</v>
      </c>
    </row>
    <row r="1119" spans="7:8">
      <c r="G1119" s="7" t="s">
        <v>2265</v>
      </c>
      <c r="H1119" s="2" t="s">
        <v>175</v>
      </c>
    </row>
    <row r="1120" spans="7:8">
      <c r="G1120" s="7" t="s">
        <v>2266</v>
      </c>
      <c r="H1120" s="2" t="s">
        <v>2267</v>
      </c>
    </row>
    <row r="1121" spans="7:8">
      <c r="G1121" s="7" t="s">
        <v>2268</v>
      </c>
      <c r="H1121" s="2" t="s">
        <v>2269</v>
      </c>
    </row>
    <row r="1122" spans="7:8">
      <c r="G1122" s="7" t="s">
        <v>2270</v>
      </c>
      <c r="H1122" s="2" t="s">
        <v>2271</v>
      </c>
    </row>
    <row r="1123" spans="7:8">
      <c r="G1123" s="7" t="s">
        <v>2272</v>
      </c>
      <c r="H1123" s="2" t="s">
        <v>2273</v>
      </c>
    </row>
    <row r="1124" spans="7:8">
      <c r="G1124" s="7" t="s">
        <v>2274</v>
      </c>
      <c r="H1124" s="2" t="s">
        <v>2275</v>
      </c>
    </row>
    <row r="1125" spans="7:8">
      <c r="G1125" s="7" t="s">
        <v>2276</v>
      </c>
      <c r="H1125" s="2" t="s">
        <v>2277</v>
      </c>
    </row>
    <row r="1126" spans="7:8">
      <c r="G1126" s="7" t="s">
        <v>2278</v>
      </c>
      <c r="H1126" s="2" t="s">
        <v>2279</v>
      </c>
    </row>
    <row r="1127" spans="7:8">
      <c r="G1127" s="7" t="s">
        <v>2280</v>
      </c>
      <c r="H1127" s="2" t="s">
        <v>2281</v>
      </c>
    </row>
    <row r="1128" spans="7:8">
      <c r="G1128" s="7" t="s">
        <v>2282</v>
      </c>
      <c r="H1128" s="2" t="s">
        <v>2283</v>
      </c>
    </row>
    <row r="1129" spans="7:8">
      <c r="G1129" s="7" t="s">
        <v>2284</v>
      </c>
      <c r="H1129" s="2" t="s">
        <v>2285</v>
      </c>
    </row>
    <row r="1130" spans="7:8">
      <c r="G1130" s="7" t="s">
        <v>2286</v>
      </c>
      <c r="H1130" s="2" t="s">
        <v>2287</v>
      </c>
    </row>
    <row r="1131" spans="7:8">
      <c r="G1131" s="7" t="s">
        <v>2288</v>
      </c>
      <c r="H1131" s="2" t="s">
        <v>2289</v>
      </c>
    </row>
    <row r="1132" spans="7:8">
      <c r="G1132" s="7" t="s">
        <v>2290</v>
      </c>
      <c r="H1132" s="2" t="s">
        <v>2291</v>
      </c>
    </row>
    <row r="1133" spans="7:8">
      <c r="G1133" s="7" t="s">
        <v>2292</v>
      </c>
      <c r="H1133" s="2" t="s">
        <v>2293</v>
      </c>
    </row>
    <row r="1134" spans="7:8">
      <c r="G1134" s="7" t="s">
        <v>2294</v>
      </c>
      <c r="H1134" s="2" t="s">
        <v>2295</v>
      </c>
    </row>
    <row r="1135" spans="7:8">
      <c r="G1135" s="7" t="s">
        <v>2296</v>
      </c>
      <c r="H1135" s="2" t="s">
        <v>2297</v>
      </c>
    </row>
    <row r="1136" spans="7:8">
      <c r="G1136" s="7" t="s">
        <v>2298</v>
      </c>
      <c r="H1136" s="2" t="s">
        <v>173</v>
      </c>
    </row>
    <row r="1137" spans="7:8">
      <c r="G1137" s="7" t="s">
        <v>2299</v>
      </c>
      <c r="H1137" s="2" t="s">
        <v>175</v>
      </c>
    </row>
    <row r="1138" spans="7:8">
      <c r="G1138" s="7" t="s">
        <v>2300</v>
      </c>
      <c r="H1138" s="2" t="s">
        <v>2301</v>
      </c>
    </row>
    <row r="1139" spans="7:8">
      <c r="G1139" s="7" t="s">
        <v>2302</v>
      </c>
      <c r="H1139" s="2" t="s">
        <v>2303</v>
      </c>
    </row>
    <row r="1140" spans="7:8">
      <c r="G1140" s="7" t="s">
        <v>2304</v>
      </c>
      <c r="H1140" s="2" t="s">
        <v>2305</v>
      </c>
    </row>
    <row r="1141" spans="7:8">
      <c r="G1141" s="7" t="s">
        <v>2306</v>
      </c>
      <c r="H1141" s="2" t="s">
        <v>173</v>
      </c>
    </row>
    <row r="1142" spans="7:8">
      <c r="G1142" s="7" t="s">
        <v>2307</v>
      </c>
      <c r="H1142" s="2" t="s">
        <v>175</v>
      </c>
    </row>
    <row r="1143" spans="7:8">
      <c r="G1143" s="7" t="s">
        <v>2308</v>
      </c>
      <c r="H1143" s="2" t="s">
        <v>2309</v>
      </c>
    </row>
    <row r="1144" spans="7:8">
      <c r="G1144" s="7" t="s">
        <v>2310</v>
      </c>
      <c r="H1144" s="2" t="s">
        <v>2311</v>
      </c>
    </row>
    <row r="1145" spans="7:8">
      <c r="G1145" s="7" t="s">
        <v>2312</v>
      </c>
      <c r="H1145" s="2" t="s">
        <v>2313</v>
      </c>
    </row>
    <row r="1146" spans="7:8">
      <c r="G1146" s="7" t="s">
        <v>2314</v>
      </c>
      <c r="H1146" s="2" t="s">
        <v>2315</v>
      </c>
    </row>
    <row r="1147" spans="7:8">
      <c r="G1147" s="7" t="s">
        <v>2316</v>
      </c>
      <c r="H1147" s="2" t="s">
        <v>2317</v>
      </c>
    </row>
    <row r="1148" spans="7:8">
      <c r="G1148" s="7" t="s">
        <v>2318</v>
      </c>
      <c r="H1148" s="2" t="s">
        <v>2319</v>
      </c>
    </row>
    <row r="1149" spans="7:8">
      <c r="G1149" s="7" t="s">
        <v>2320</v>
      </c>
      <c r="H1149" s="2" t="s">
        <v>2321</v>
      </c>
    </row>
    <row r="1150" spans="7:8">
      <c r="G1150" s="7" t="s">
        <v>2322</v>
      </c>
      <c r="H1150" s="2" t="s">
        <v>173</v>
      </c>
    </row>
    <row r="1151" spans="7:8">
      <c r="G1151" s="7" t="s">
        <v>2323</v>
      </c>
      <c r="H1151" s="2" t="s">
        <v>175</v>
      </c>
    </row>
    <row r="1152" spans="7:8">
      <c r="G1152" s="7" t="s">
        <v>2324</v>
      </c>
      <c r="H1152" s="2" t="s">
        <v>2325</v>
      </c>
    </row>
    <row r="1153" spans="7:8">
      <c r="G1153" s="7" t="s">
        <v>2326</v>
      </c>
      <c r="H1153" s="2" t="s">
        <v>2327</v>
      </c>
    </row>
    <row r="1154" spans="7:8">
      <c r="G1154" s="7" t="s">
        <v>2328</v>
      </c>
      <c r="H1154" s="2" t="s">
        <v>2329</v>
      </c>
    </row>
    <row r="1155" spans="7:8">
      <c r="G1155" s="7" t="s">
        <v>2330</v>
      </c>
      <c r="H1155" s="2" t="s">
        <v>2331</v>
      </c>
    </row>
    <row r="1156" spans="7:8">
      <c r="G1156" s="7" t="s">
        <v>2332</v>
      </c>
      <c r="H1156" s="2" t="s">
        <v>2333</v>
      </c>
    </row>
    <row r="1157" spans="7:8">
      <c r="G1157" s="7" t="s">
        <v>2334</v>
      </c>
      <c r="H1157" s="2" t="s">
        <v>2335</v>
      </c>
    </row>
    <row r="1158" spans="7:8">
      <c r="G1158" s="7" t="s">
        <v>2336</v>
      </c>
      <c r="H1158" s="2" t="s">
        <v>2337</v>
      </c>
    </row>
    <row r="1159" spans="7:8">
      <c r="G1159" s="7" t="s">
        <v>2338</v>
      </c>
      <c r="H1159" s="2" t="s">
        <v>2339</v>
      </c>
    </row>
    <row r="1160" spans="7:8">
      <c r="G1160" s="7" t="s">
        <v>2340</v>
      </c>
      <c r="H1160" s="2" t="s">
        <v>2341</v>
      </c>
    </row>
    <row r="1161" spans="7:8">
      <c r="G1161" s="7" t="s">
        <v>2342</v>
      </c>
      <c r="H1161" s="2" t="s">
        <v>2343</v>
      </c>
    </row>
    <row r="1162" spans="7:8">
      <c r="G1162" s="7" t="s">
        <v>2344</v>
      </c>
      <c r="H1162" s="2" t="s">
        <v>2345</v>
      </c>
    </row>
    <row r="1163" spans="7:8">
      <c r="G1163" s="7" t="s">
        <v>2346</v>
      </c>
      <c r="H1163" s="2" t="s">
        <v>2347</v>
      </c>
    </row>
    <row r="1164" spans="7:8">
      <c r="G1164" s="7" t="s">
        <v>2348</v>
      </c>
      <c r="H1164" s="2" t="s">
        <v>1794</v>
      </c>
    </row>
    <row r="1165" spans="7:8">
      <c r="G1165" s="7" t="s">
        <v>2349</v>
      </c>
      <c r="H1165" s="2" t="s">
        <v>2350</v>
      </c>
    </row>
    <row r="1166" spans="7:8">
      <c r="G1166" s="7" t="s">
        <v>2351</v>
      </c>
      <c r="H1166" s="2" t="s">
        <v>2352</v>
      </c>
    </row>
    <row r="1167" spans="7:8">
      <c r="G1167" s="7" t="s">
        <v>2353</v>
      </c>
      <c r="H1167" s="2" t="s">
        <v>2354</v>
      </c>
    </row>
    <row r="1168" spans="7:8">
      <c r="G1168" s="7" t="s">
        <v>2355</v>
      </c>
      <c r="H1168" s="2" t="s">
        <v>2356</v>
      </c>
    </row>
    <row r="1169" spans="7:8">
      <c r="G1169" s="7" t="s">
        <v>2357</v>
      </c>
      <c r="H1169" s="2" t="s">
        <v>2358</v>
      </c>
    </row>
    <row r="1170" spans="7:8">
      <c r="G1170" s="7" t="s">
        <v>2359</v>
      </c>
      <c r="H1170" s="2" t="s">
        <v>1794</v>
      </c>
    </row>
    <row r="1171" spans="7:8">
      <c r="G1171" s="7" t="s">
        <v>2360</v>
      </c>
      <c r="H1171" s="2" t="s">
        <v>2361</v>
      </c>
    </row>
    <row r="1172" spans="7:8">
      <c r="G1172" s="7" t="s">
        <v>2362</v>
      </c>
      <c r="H1172" s="2" t="s">
        <v>2363</v>
      </c>
    </row>
    <row r="1173" spans="7:8">
      <c r="G1173" s="7" t="s">
        <v>2364</v>
      </c>
      <c r="H1173" s="2" t="s">
        <v>2365</v>
      </c>
    </row>
    <row r="1174" spans="7:8">
      <c r="G1174" s="7" t="s">
        <v>2366</v>
      </c>
      <c r="H1174" s="2" t="s">
        <v>2367</v>
      </c>
    </row>
    <row r="1175" spans="7:8">
      <c r="G1175" s="7" t="s">
        <v>2368</v>
      </c>
      <c r="H1175" s="2" t="s">
        <v>2369</v>
      </c>
    </row>
    <row r="1176" spans="7:8">
      <c r="G1176" s="7" t="s">
        <v>2370</v>
      </c>
      <c r="H1176" s="2" t="s">
        <v>2371</v>
      </c>
    </row>
    <row r="1177" spans="7:8">
      <c r="G1177" s="7" t="s">
        <v>2372</v>
      </c>
      <c r="H1177" s="2" t="s">
        <v>2373</v>
      </c>
    </row>
    <row r="1178" spans="7:8">
      <c r="G1178" s="7" t="s">
        <v>2374</v>
      </c>
      <c r="H1178" s="2" t="s">
        <v>2375</v>
      </c>
    </row>
    <row r="1179" spans="7:8">
      <c r="G1179" s="7" t="s">
        <v>2376</v>
      </c>
      <c r="H1179" s="2" t="s">
        <v>2377</v>
      </c>
    </row>
    <row r="1180" spans="7:8">
      <c r="G1180" s="7" t="s">
        <v>2378</v>
      </c>
      <c r="H1180" s="2" t="s">
        <v>2379</v>
      </c>
    </row>
    <row r="1181" spans="7:8">
      <c r="G1181" s="7" t="s">
        <v>2380</v>
      </c>
      <c r="H1181" s="2" t="s">
        <v>2381</v>
      </c>
    </row>
    <row r="1182" spans="7:8">
      <c r="G1182" s="7" t="s">
        <v>2382</v>
      </c>
      <c r="H1182" s="2" t="s">
        <v>2383</v>
      </c>
    </row>
    <row r="1183" spans="7:8">
      <c r="G1183" s="7" t="s">
        <v>2384</v>
      </c>
      <c r="H1183" s="2" t="s">
        <v>2385</v>
      </c>
    </row>
    <row r="1184" spans="7:8">
      <c r="G1184" s="7" t="s">
        <v>2386</v>
      </c>
      <c r="H1184" s="2" t="s">
        <v>2387</v>
      </c>
    </row>
    <row r="1185" spans="7:8">
      <c r="G1185" s="7" t="s">
        <v>2388</v>
      </c>
      <c r="H1185" s="2" t="s">
        <v>2389</v>
      </c>
    </row>
    <row r="1186" spans="7:8">
      <c r="G1186" s="7" t="s">
        <v>2390</v>
      </c>
      <c r="H1186" s="2" t="s">
        <v>2391</v>
      </c>
    </row>
    <row r="1187" spans="7:8">
      <c r="G1187" s="7" t="s">
        <v>2392</v>
      </c>
      <c r="H1187" s="2" t="s">
        <v>2393</v>
      </c>
    </row>
    <row r="1188" spans="7:8">
      <c r="G1188" s="7" t="s">
        <v>2394</v>
      </c>
      <c r="H1188" s="2" t="s">
        <v>2395</v>
      </c>
    </row>
    <row r="1189" spans="7:8">
      <c r="G1189" s="7" t="s">
        <v>2396</v>
      </c>
      <c r="H1189" s="2" t="s">
        <v>173</v>
      </c>
    </row>
    <row r="1190" spans="7:8">
      <c r="G1190" s="7" t="s">
        <v>2397</v>
      </c>
      <c r="H1190" s="2" t="s">
        <v>175</v>
      </c>
    </row>
    <row r="1191" spans="7:8">
      <c r="G1191" s="7" t="s">
        <v>2398</v>
      </c>
      <c r="H1191" s="2" t="s">
        <v>2399</v>
      </c>
    </row>
    <row r="1192" spans="7:8">
      <c r="G1192" s="7" t="s">
        <v>2400</v>
      </c>
      <c r="H1192" s="2" t="s">
        <v>1794</v>
      </c>
    </row>
    <row r="1193" spans="7:8">
      <c r="G1193" s="7" t="s">
        <v>2401</v>
      </c>
      <c r="H1193" s="2" t="s">
        <v>2402</v>
      </c>
    </row>
    <row r="1194" spans="7:8">
      <c r="G1194" s="7" t="s">
        <v>2403</v>
      </c>
      <c r="H1194" s="2" t="s">
        <v>2404</v>
      </c>
    </row>
    <row r="1195" spans="7:8">
      <c r="G1195" s="7" t="s">
        <v>2405</v>
      </c>
      <c r="H1195" s="2" t="s">
        <v>2406</v>
      </c>
    </row>
    <row r="1196" spans="7:8">
      <c r="G1196" s="7" t="s">
        <v>2407</v>
      </c>
      <c r="H1196" s="2" t="s">
        <v>2408</v>
      </c>
    </row>
    <row r="1197" spans="7:8">
      <c r="G1197" s="7" t="s">
        <v>2409</v>
      </c>
      <c r="H1197" s="2" t="s">
        <v>2410</v>
      </c>
    </row>
    <row r="1198" spans="7:8">
      <c r="G1198" s="7" t="s">
        <v>2411</v>
      </c>
      <c r="H1198" s="2" t="s">
        <v>2412</v>
      </c>
    </row>
    <row r="1199" spans="7:8">
      <c r="G1199" s="7" t="s">
        <v>2413</v>
      </c>
      <c r="H1199" s="2" t="s">
        <v>2414</v>
      </c>
    </row>
    <row r="1200" spans="7:8">
      <c r="G1200" s="7" t="s">
        <v>2415</v>
      </c>
      <c r="H1200" s="2" t="s">
        <v>2416</v>
      </c>
    </row>
    <row r="1201" spans="7:8">
      <c r="G1201" s="7" t="s">
        <v>2417</v>
      </c>
      <c r="H1201" s="2" t="s">
        <v>2418</v>
      </c>
    </row>
    <row r="1202" spans="7:8">
      <c r="G1202" s="7" t="s">
        <v>2419</v>
      </c>
      <c r="H1202" s="2" t="s">
        <v>2420</v>
      </c>
    </row>
    <row r="1203" spans="7:8">
      <c r="G1203" s="7" t="s">
        <v>2421</v>
      </c>
      <c r="H1203" s="2" t="s">
        <v>2422</v>
      </c>
    </row>
    <row r="1204" spans="7:8">
      <c r="G1204" s="7" t="s">
        <v>2423</v>
      </c>
      <c r="H1204" s="2" t="s">
        <v>2424</v>
      </c>
    </row>
    <row r="1205" spans="7:8">
      <c r="G1205" s="7" t="s">
        <v>2425</v>
      </c>
      <c r="H1205" s="2" t="s">
        <v>2426</v>
      </c>
    </row>
    <row r="1206" spans="7:8">
      <c r="G1206" s="7" t="s">
        <v>2427</v>
      </c>
      <c r="H1206" s="2" t="s">
        <v>173</v>
      </c>
    </row>
    <row r="1207" spans="7:8">
      <c r="G1207" s="7" t="s">
        <v>2428</v>
      </c>
      <c r="H1207" s="2" t="s">
        <v>175</v>
      </c>
    </row>
    <row r="1208" spans="7:8">
      <c r="G1208" s="7" t="s">
        <v>2429</v>
      </c>
      <c r="H1208" s="2" t="s">
        <v>2430</v>
      </c>
    </row>
    <row r="1209" spans="7:8">
      <c r="G1209" s="7" t="s">
        <v>2431</v>
      </c>
      <c r="H1209" s="2" t="s">
        <v>2432</v>
      </c>
    </row>
    <row r="1210" spans="7:8">
      <c r="G1210" s="7" t="s">
        <v>2433</v>
      </c>
      <c r="H1210" s="2" t="s">
        <v>2434</v>
      </c>
    </row>
    <row r="1211" spans="7:8">
      <c r="G1211" s="7" t="s">
        <v>2435</v>
      </c>
      <c r="H1211" s="2" t="s">
        <v>2436</v>
      </c>
    </row>
    <row r="1212" spans="7:8">
      <c r="G1212" s="7" t="s">
        <v>2437</v>
      </c>
      <c r="H1212" s="2" t="s">
        <v>2438</v>
      </c>
    </row>
    <row r="1213" spans="7:8">
      <c r="G1213" s="7" t="s">
        <v>2439</v>
      </c>
      <c r="H1213" s="2" t="s">
        <v>2440</v>
      </c>
    </row>
    <row r="1214" spans="7:8">
      <c r="G1214" s="7" t="s">
        <v>2441</v>
      </c>
      <c r="H1214" s="2" t="s">
        <v>173</v>
      </c>
    </row>
    <row r="1215" spans="7:8">
      <c r="G1215" s="7" t="s">
        <v>2442</v>
      </c>
      <c r="H1215" s="2" t="s">
        <v>175</v>
      </c>
    </row>
    <row r="1216" spans="7:8">
      <c r="G1216" s="7" t="s">
        <v>2443</v>
      </c>
      <c r="H1216" s="2" t="s">
        <v>2444</v>
      </c>
    </row>
    <row r="1217" spans="7:8">
      <c r="G1217" s="7" t="s">
        <v>2445</v>
      </c>
      <c r="H1217" s="2" t="s">
        <v>2446</v>
      </c>
    </row>
    <row r="1218" spans="7:8">
      <c r="G1218" s="7" t="s">
        <v>2447</v>
      </c>
      <c r="H1218" s="2" t="s">
        <v>2448</v>
      </c>
    </row>
    <row r="1219" spans="7:8">
      <c r="G1219" s="7" t="s">
        <v>2449</v>
      </c>
      <c r="H1219" s="2" t="s">
        <v>2450</v>
      </c>
    </row>
    <row r="1220" spans="7:8">
      <c r="G1220" s="7" t="s">
        <v>2451</v>
      </c>
      <c r="H1220" s="2" t="s">
        <v>2452</v>
      </c>
    </row>
    <row r="1221" spans="7:8">
      <c r="G1221" s="7" t="s">
        <v>2453</v>
      </c>
      <c r="H1221" s="2" t="s">
        <v>2454</v>
      </c>
    </row>
    <row r="1222" spans="7:8">
      <c r="G1222" s="7" t="s">
        <v>2455</v>
      </c>
      <c r="H1222" s="2" t="s">
        <v>2456</v>
      </c>
    </row>
    <row r="1223" spans="7:8">
      <c r="G1223" s="7" t="s">
        <v>2457</v>
      </c>
      <c r="H1223" s="2" t="s">
        <v>2458</v>
      </c>
    </row>
    <row r="1224" spans="7:8">
      <c r="G1224" s="7" t="s">
        <v>2459</v>
      </c>
      <c r="H1224" s="2" t="s">
        <v>2460</v>
      </c>
    </row>
    <row r="1225" spans="7:8">
      <c r="G1225" s="7" t="s">
        <v>2461</v>
      </c>
      <c r="H1225" s="2" t="s">
        <v>2462</v>
      </c>
    </row>
    <row r="1226" spans="7:8">
      <c r="G1226" s="7" t="s">
        <v>2463</v>
      </c>
      <c r="H1226" s="2" t="s">
        <v>2464</v>
      </c>
    </row>
    <row r="1227" spans="7:8">
      <c r="G1227" s="7" t="s">
        <v>2465</v>
      </c>
      <c r="H1227" s="2" t="s">
        <v>2466</v>
      </c>
    </row>
    <row r="1228" spans="7:8">
      <c r="G1228" s="7" t="s">
        <v>2467</v>
      </c>
      <c r="H1228" s="2" t="s">
        <v>2468</v>
      </c>
    </row>
    <row r="1229" spans="7:8">
      <c r="G1229" s="7" t="s">
        <v>2469</v>
      </c>
      <c r="H1229" s="2" t="s">
        <v>2470</v>
      </c>
    </row>
    <row r="1230" spans="7:8">
      <c r="G1230" s="7" t="s">
        <v>2471</v>
      </c>
      <c r="H1230" s="2" t="s">
        <v>2901</v>
      </c>
    </row>
    <row r="1231" spans="7:8">
      <c r="G1231" s="7" t="s">
        <v>2472</v>
      </c>
      <c r="H1231" s="2" t="s">
        <v>173</v>
      </c>
    </row>
    <row r="1232" spans="7:8">
      <c r="G1232" s="7" t="s">
        <v>2473</v>
      </c>
      <c r="H1232" s="2" t="s">
        <v>175</v>
      </c>
    </row>
    <row r="1233" spans="7:8">
      <c r="G1233" s="7" t="s">
        <v>2474</v>
      </c>
      <c r="H1233" s="2" t="s">
        <v>2475</v>
      </c>
    </row>
    <row r="1234" spans="7:8">
      <c r="G1234" s="7" t="s">
        <v>2476</v>
      </c>
      <c r="H1234" s="2" t="s">
        <v>2477</v>
      </c>
    </row>
    <row r="1235" spans="7:8">
      <c r="G1235" s="7" t="s">
        <v>2478</v>
      </c>
      <c r="H1235" s="2" t="s">
        <v>173</v>
      </c>
    </row>
    <row r="1236" spans="7:8">
      <c r="G1236" s="7" t="s">
        <v>2479</v>
      </c>
      <c r="H1236" s="2" t="s">
        <v>175</v>
      </c>
    </row>
    <row r="1237" spans="7:8">
      <c r="G1237" s="7" t="s">
        <v>2480</v>
      </c>
      <c r="H1237" s="2" t="s">
        <v>2481</v>
      </c>
    </row>
    <row r="1238" spans="7:8">
      <c r="G1238" s="7" t="s">
        <v>2482</v>
      </c>
      <c r="H1238" s="2" t="s">
        <v>2483</v>
      </c>
    </row>
    <row r="1239" spans="7:8">
      <c r="G1239" s="7" t="s">
        <v>2484</v>
      </c>
      <c r="H1239" s="2" t="s">
        <v>2485</v>
      </c>
    </row>
    <row r="1240" spans="7:8">
      <c r="G1240" s="7" t="s">
        <v>2486</v>
      </c>
      <c r="H1240" s="2" t="s">
        <v>2487</v>
      </c>
    </row>
    <row r="1241" spans="7:8">
      <c r="G1241" s="7" t="s">
        <v>2488</v>
      </c>
      <c r="H1241" s="2" t="s">
        <v>2489</v>
      </c>
    </row>
    <row r="1242" spans="7:8">
      <c r="G1242" s="7" t="s">
        <v>2490</v>
      </c>
      <c r="H1242" s="2" t="s">
        <v>2491</v>
      </c>
    </row>
    <row r="1243" spans="7:8">
      <c r="G1243" s="7" t="s">
        <v>2492</v>
      </c>
      <c r="H1243" s="2" t="s">
        <v>2493</v>
      </c>
    </row>
    <row r="1244" spans="7:8">
      <c r="G1244" s="7" t="s">
        <v>2494</v>
      </c>
      <c r="H1244" s="2" t="s">
        <v>2495</v>
      </c>
    </row>
    <row r="1245" spans="7:8">
      <c r="G1245" s="7" t="s">
        <v>2496</v>
      </c>
      <c r="H1245" s="2" t="s">
        <v>2497</v>
      </c>
    </row>
    <row r="1246" spans="7:8">
      <c r="G1246" s="7" t="s">
        <v>2498</v>
      </c>
      <c r="H1246" s="2" t="s">
        <v>2499</v>
      </c>
    </row>
    <row r="1247" spans="7:8">
      <c r="G1247" s="7" t="s">
        <v>2500</v>
      </c>
      <c r="H1247" s="2" t="s">
        <v>2902</v>
      </c>
    </row>
    <row r="1248" spans="7:8">
      <c r="G1248" s="7" t="s">
        <v>2501</v>
      </c>
      <c r="H1248" s="2" t="s">
        <v>2502</v>
      </c>
    </row>
    <row r="1249" spans="7:8">
      <c r="G1249" s="7" t="s">
        <v>2503</v>
      </c>
      <c r="H1249" s="2" t="s">
        <v>173</v>
      </c>
    </row>
    <row r="1250" spans="7:8">
      <c r="G1250" s="7" t="s">
        <v>2504</v>
      </c>
      <c r="H1250" s="2" t="s">
        <v>175</v>
      </c>
    </row>
    <row r="1251" spans="7:8">
      <c r="G1251" s="7" t="s">
        <v>2505</v>
      </c>
      <c r="H1251" s="2" t="s">
        <v>2506</v>
      </c>
    </row>
    <row r="1252" spans="7:8">
      <c r="G1252" s="7" t="s">
        <v>2507</v>
      </c>
      <c r="H1252" s="2" t="s">
        <v>2508</v>
      </c>
    </row>
    <row r="1253" spans="7:8">
      <c r="G1253" s="7" t="s">
        <v>2509</v>
      </c>
      <c r="H1253" s="2" t="s">
        <v>2510</v>
      </c>
    </row>
    <row r="1254" spans="7:8">
      <c r="G1254" s="7" t="s">
        <v>2511</v>
      </c>
      <c r="H1254" s="2" t="s">
        <v>2512</v>
      </c>
    </row>
    <row r="1255" spans="7:8">
      <c r="G1255" s="7" t="s">
        <v>2513</v>
      </c>
      <c r="H1255" s="2" t="s">
        <v>2514</v>
      </c>
    </row>
    <row r="1256" spans="7:8">
      <c r="G1256" s="7" t="s">
        <v>2515</v>
      </c>
      <c r="H1256" s="2" t="s">
        <v>2516</v>
      </c>
    </row>
    <row r="1257" spans="7:8">
      <c r="G1257" s="7" t="s">
        <v>2517</v>
      </c>
      <c r="H1257" s="2" t="s">
        <v>2518</v>
      </c>
    </row>
    <row r="1258" spans="7:8">
      <c r="G1258" s="7" t="s">
        <v>2519</v>
      </c>
      <c r="H1258" s="2" t="s">
        <v>2520</v>
      </c>
    </row>
    <row r="1259" spans="7:8">
      <c r="G1259" s="7" t="s">
        <v>2521</v>
      </c>
      <c r="H1259" s="2" t="s">
        <v>2522</v>
      </c>
    </row>
    <row r="1260" spans="7:8">
      <c r="G1260" s="7" t="s">
        <v>2523</v>
      </c>
      <c r="H1260" s="2" t="s">
        <v>2524</v>
      </c>
    </row>
    <row r="1261" spans="7:8">
      <c r="G1261" s="7" t="s">
        <v>2525</v>
      </c>
      <c r="H1261" s="2" t="s">
        <v>2526</v>
      </c>
    </row>
    <row r="1262" spans="7:8">
      <c r="G1262" s="7" t="s">
        <v>2527</v>
      </c>
      <c r="H1262" s="2" t="s">
        <v>2528</v>
      </c>
    </row>
    <row r="1263" spans="7:8">
      <c r="G1263" s="7" t="s">
        <v>2529</v>
      </c>
      <c r="H1263" s="2" t="s">
        <v>2530</v>
      </c>
    </row>
    <row r="1264" spans="7:8">
      <c r="G1264" s="7" t="s">
        <v>2531</v>
      </c>
      <c r="H1264" s="2" t="s">
        <v>2903</v>
      </c>
    </row>
    <row r="1265" spans="7:8">
      <c r="G1265" s="7" t="s">
        <v>2532</v>
      </c>
      <c r="H1265" s="2" t="s">
        <v>2533</v>
      </c>
    </row>
    <row r="1266" spans="7:8">
      <c r="G1266" s="7" t="s">
        <v>2534</v>
      </c>
      <c r="H1266" s="2" t="s">
        <v>173</v>
      </c>
    </row>
    <row r="1267" spans="7:8">
      <c r="G1267" s="7" t="s">
        <v>2535</v>
      </c>
      <c r="H1267" s="2" t="s">
        <v>175</v>
      </c>
    </row>
    <row r="1268" spans="7:8">
      <c r="G1268" s="7" t="s">
        <v>2536</v>
      </c>
      <c r="H1268" s="2" t="s">
        <v>2537</v>
      </c>
    </row>
    <row r="1269" spans="7:8">
      <c r="G1269" s="7" t="s">
        <v>2538</v>
      </c>
      <c r="H1269" s="2" t="s">
        <v>2539</v>
      </c>
    </row>
    <row r="1270" spans="7:8">
      <c r="G1270" s="7" t="s">
        <v>2540</v>
      </c>
      <c r="H1270" s="2" t="s">
        <v>2541</v>
      </c>
    </row>
    <row r="1271" spans="7:8">
      <c r="G1271" s="7" t="s">
        <v>2542</v>
      </c>
      <c r="H1271" s="2" t="s">
        <v>2543</v>
      </c>
    </row>
    <row r="1272" spans="7:8">
      <c r="G1272" s="7" t="s">
        <v>2544</v>
      </c>
      <c r="H1272" s="2" t="s">
        <v>2545</v>
      </c>
    </row>
    <row r="1273" spans="7:8">
      <c r="G1273" s="7" t="s">
        <v>2546</v>
      </c>
      <c r="H1273" s="2" t="s">
        <v>2547</v>
      </c>
    </row>
    <row r="1274" spans="7:8">
      <c r="G1274" s="7" t="s">
        <v>2548</v>
      </c>
      <c r="H1274" s="2" t="s">
        <v>2549</v>
      </c>
    </row>
    <row r="1275" spans="7:8">
      <c r="G1275" s="7" t="s">
        <v>2550</v>
      </c>
      <c r="H1275" s="2" t="s">
        <v>2551</v>
      </c>
    </row>
    <row r="1276" spans="7:8">
      <c r="G1276" s="7" t="s">
        <v>2552</v>
      </c>
      <c r="H1276" s="2" t="s">
        <v>2553</v>
      </c>
    </row>
    <row r="1277" spans="7:8">
      <c r="G1277" s="7" t="s">
        <v>2554</v>
      </c>
      <c r="H1277" s="2" t="s">
        <v>2555</v>
      </c>
    </row>
    <row r="1278" spans="7:8">
      <c r="G1278" s="7" t="s">
        <v>2556</v>
      </c>
      <c r="H1278" s="2" t="s">
        <v>2557</v>
      </c>
    </row>
    <row r="1279" spans="7:8">
      <c r="G1279" s="7" t="s">
        <v>2558</v>
      </c>
      <c r="H1279" s="2" t="s">
        <v>2559</v>
      </c>
    </row>
    <row r="1280" spans="7:8">
      <c r="G1280" s="7" t="s">
        <v>2560</v>
      </c>
      <c r="H1280" s="2" t="s">
        <v>2561</v>
      </c>
    </row>
    <row r="1281" spans="7:8">
      <c r="G1281" s="7" t="s">
        <v>2562</v>
      </c>
      <c r="H1281" s="2" t="s">
        <v>2563</v>
      </c>
    </row>
    <row r="1282" spans="7:8">
      <c r="G1282" s="7" t="s">
        <v>2564</v>
      </c>
      <c r="H1282" s="2" t="s">
        <v>2565</v>
      </c>
    </row>
    <row r="1283" spans="7:8">
      <c r="G1283" s="7" t="s">
        <v>2566</v>
      </c>
      <c r="H1283" s="2" t="s">
        <v>2567</v>
      </c>
    </row>
    <row r="1284" spans="7:8">
      <c r="G1284" s="7" t="s">
        <v>2568</v>
      </c>
      <c r="H1284" s="2" t="s">
        <v>2569</v>
      </c>
    </row>
    <row r="1285" spans="7:8">
      <c r="G1285" s="7" t="s">
        <v>2570</v>
      </c>
      <c r="H1285" s="2" t="s">
        <v>2571</v>
      </c>
    </row>
    <row r="1286" spans="7:8">
      <c r="G1286" s="7" t="s">
        <v>2572</v>
      </c>
      <c r="H1286" s="2" t="s">
        <v>2573</v>
      </c>
    </row>
    <row r="1287" spans="7:8">
      <c r="G1287" s="7" t="s">
        <v>2574</v>
      </c>
      <c r="H1287" s="2" t="s">
        <v>2575</v>
      </c>
    </row>
    <row r="1288" spans="7:8">
      <c r="G1288" s="7" t="s">
        <v>2576</v>
      </c>
      <c r="H1288" s="2" t="s">
        <v>2577</v>
      </c>
    </row>
    <row r="1289" spans="7:8">
      <c r="G1289" s="7" t="s">
        <v>2578</v>
      </c>
      <c r="H1289" s="2" t="s">
        <v>2579</v>
      </c>
    </row>
    <row r="1290" spans="7:8">
      <c r="G1290" s="7" t="s">
        <v>2580</v>
      </c>
      <c r="H1290" s="2" t="s">
        <v>2581</v>
      </c>
    </row>
    <row r="1291" spans="7:8">
      <c r="G1291" s="7" t="s">
        <v>2582</v>
      </c>
      <c r="H1291" s="2" t="s">
        <v>2583</v>
      </c>
    </row>
    <row r="1292" spans="7:8">
      <c r="G1292" s="7" t="s">
        <v>2584</v>
      </c>
      <c r="H1292" s="2" t="s">
        <v>2585</v>
      </c>
    </row>
    <row r="1293" spans="7:8">
      <c r="G1293" s="7" t="s">
        <v>2586</v>
      </c>
      <c r="H1293" s="2" t="s">
        <v>2587</v>
      </c>
    </row>
    <row r="1294" spans="7:8">
      <c r="G1294" s="7" t="s">
        <v>2588</v>
      </c>
      <c r="H1294" s="2" t="s">
        <v>2589</v>
      </c>
    </row>
    <row r="1295" spans="7:8">
      <c r="G1295" s="7" t="s">
        <v>2590</v>
      </c>
      <c r="H1295" s="2" t="s">
        <v>2591</v>
      </c>
    </row>
    <row r="1296" spans="7:8">
      <c r="G1296" s="7" t="s">
        <v>2592</v>
      </c>
      <c r="H1296" s="2" t="s">
        <v>2593</v>
      </c>
    </row>
    <row r="1297" spans="7:8">
      <c r="G1297" s="7" t="s">
        <v>2594</v>
      </c>
      <c r="H1297" s="2" t="s">
        <v>2595</v>
      </c>
    </row>
    <row r="1298" spans="7:8">
      <c r="G1298" s="7" t="s">
        <v>2596</v>
      </c>
      <c r="H1298" s="2" t="s">
        <v>2597</v>
      </c>
    </row>
    <row r="1299" spans="7:8">
      <c r="G1299" s="7" t="s">
        <v>2598</v>
      </c>
      <c r="H1299" s="2" t="s">
        <v>2599</v>
      </c>
    </row>
    <row r="1300" spans="7:8">
      <c r="G1300" s="7" t="s">
        <v>2600</v>
      </c>
      <c r="H1300" s="2" t="s">
        <v>2601</v>
      </c>
    </row>
    <row r="1301" spans="7:8">
      <c r="G1301" s="7" t="s">
        <v>2602</v>
      </c>
      <c r="H1301" s="2" t="s">
        <v>2603</v>
      </c>
    </row>
    <row r="1302" spans="7:8">
      <c r="G1302" s="7" t="s">
        <v>2604</v>
      </c>
      <c r="H1302" s="2" t="s">
        <v>2605</v>
      </c>
    </row>
    <row r="1303" spans="7:8">
      <c r="G1303" s="7" t="s">
        <v>2606</v>
      </c>
      <c r="H1303" s="2" t="s">
        <v>2607</v>
      </c>
    </row>
    <row r="1304" spans="7:8">
      <c r="G1304" s="7" t="s">
        <v>2608</v>
      </c>
      <c r="H1304" s="2" t="s">
        <v>1794</v>
      </c>
    </row>
    <row r="1305" spans="7:8">
      <c r="G1305" s="7" t="s">
        <v>2609</v>
      </c>
      <c r="H1305" s="2" t="s">
        <v>2610</v>
      </c>
    </row>
    <row r="1306" spans="7:8">
      <c r="G1306" s="7" t="s">
        <v>2611</v>
      </c>
      <c r="H1306" s="2" t="s">
        <v>2612</v>
      </c>
    </row>
    <row r="1307" spans="7:8">
      <c r="G1307" s="7" t="s">
        <v>2613</v>
      </c>
      <c r="H1307" s="2" t="s">
        <v>2614</v>
      </c>
    </row>
    <row r="1308" spans="7:8">
      <c r="G1308" s="7" t="s">
        <v>2615</v>
      </c>
      <c r="H1308" s="2" t="s">
        <v>2616</v>
      </c>
    </row>
    <row r="1309" spans="7:8">
      <c r="G1309" s="7" t="s">
        <v>2617</v>
      </c>
      <c r="H1309" s="2" t="s">
        <v>2618</v>
      </c>
    </row>
    <row r="1310" spans="7:8">
      <c r="G1310" s="7" t="s">
        <v>2619</v>
      </c>
      <c r="H1310" s="2" t="s">
        <v>2620</v>
      </c>
    </row>
    <row r="1311" spans="7:8">
      <c r="G1311" s="7" t="s">
        <v>2621</v>
      </c>
      <c r="H1311" s="2" t="s">
        <v>2622</v>
      </c>
    </row>
    <row r="1312" spans="7:8">
      <c r="G1312" s="7" t="s">
        <v>2623</v>
      </c>
      <c r="H1312" s="2" t="s">
        <v>2624</v>
      </c>
    </row>
    <row r="1313" spans="7:8">
      <c r="G1313" s="7" t="s">
        <v>2625</v>
      </c>
      <c r="H1313" s="2" t="s">
        <v>2626</v>
      </c>
    </row>
    <row r="1314" spans="7:8">
      <c r="G1314" s="7" t="s">
        <v>2627</v>
      </c>
      <c r="H1314" s="2" t="s">
        <v>2628</v>
      </c>
    </row>
    <row r="1315" spans="7:8">
      <c r="G1315" s="7" t="s">
        <v>2629</v>
      </c>
      <c r="H1315" s="2" t="s">
        <v>2630</v>
      </c>
    </row>
    <row r="1316" spans="7:8">
      <c r="G1316" s="7" t="s">
        <v>2631</v>
      </c>
      <c r="H1316" s="2" t="s">
        <v>2632</v>
      </c>
    </row>
    <row r="1317" spans="7:8">
      <c r="G1317" s="7" t="s">
        <v>2904</v>
      </c>
      <c r="H1317" s="2" t="s">
        <v>2633</v>
      </c>
    </row>
    <row r="1318" spans="7:8">
      <c r="G1318" s="7" t="s">
        <v>2634</v>
      </c>
      <c r="H1318" s="2" t="s">
        <v>173</v>
      </c>
    </row>
    <row r="1319" spans="7:8">
      <c r="G1319" s="7" t="s">
        <v>2635</v>
      </c>
      <c r="H1319" s="2" t="s">
        <v>175</v>
      </c>
    </row>
    <row r="1320" spans="7:8">
      <c r="G1320" s="7" t="s">
        <v>2636</v>
      </c>
      <c r="H1320" s="2" t="s">
        <v>2637</v>
      </c>
    </row>
    <row r="1321" spans="7:8">
      <c r="G1321" s="7" t="s">
        <v>2638</v>
      </c>
      <c r="H1321" s="2" t="s">
        <v>2639</v>
      </c>
    </row>
    <row r="1322" spans="7:8">
      <c r="G1322" s="7" t="s">
        <v>2640</v>
      </c>
      <c r="H1322" s="2" t="s">
        <v>2641</v>
      </c>
    </row>
    <row r="1323" spans="7:8">
      <c r="G1323" s="7" t="s">
        <v>2642</v>
      </c>
      <c r="H1323" s="2" t="s">
        <v>2643</v>
      </c>
    </row>
    <row r="1324" spans="7:8">
      <c r="G1324" s="7" t="s">
        <v>2644</v>
      </c>
      <c r="H1324" s="2" t="s">
        <v>2645</v>
      </c>
    </row>
    <row r="1325" spans="7:8">
      <c r="G1325" s="7" t="s">
        <v>2646</v>
      </c>
      <c r="H1325" s="2" t="s">
        <v>2647</v>
      </c>
    </row>
    <row r="1326" spans="7:8">
      <c r="G1326" s="7" t="s">
        <v>2648</v>
      </c>
      <c r="H1326" s="2" t="s">
        <v>2649</v>
      </c>
    </row>
    <row r="1327" spans="7:8">
      <c r="G1327" s="7" t="s">
        <v>2650</v>
      </c>
      <c r="H1327" s="2" t="s">
        <v>2651</v>
      </c>
    </row>
    <row r="1328" spans="7:8">
      <c r="G1328" s="7" t="s">
        <v>2652</v>
      </c>
      <c r="H1328" s="2" t="s">
        <v>2653</v>
      </c>
    </row>
    <row r="1329" spans="7:8">
      <c r="G1329" s="7" t="s">
        <v>2654</v>
      </c>
      <c r="H1329" s="2" t="s">
        <v>2655</v>
      </c>
    </row>
    <row r="1330" spans="7:8">
      <c r="G1330" s="7" t="s">
        <v>2656</v>
      </c>
      <c r="H1330" s="2" t="s">
        <v>2657</v>
      </c>
    </row>
    <row r="1331" spans="7:8">
      <c r="G1331" s="7" t="s">
        <v>2658</v>
      </c>
      <c r="H1331" s="2" t="s">
        <v>2659</v>
      </c>
    </row>
    <row r="1332" spans="7:8">
      <c r="G1332" s="7" t="s">
        <v>2660</v>
      </c>
      <c r="H1332" s="2" t="s">
        <v>2661</v>
      </c>
    </row>
    <row r="1333" spans="7:8">
      <c r="G1333" s="7" t="s">
        <v>2662</v>
      </c>
      <c r="H1333" s="2" t="s">
        <v>2663</v>
      </c>
    </row>
    <row r="1334" spans="7:8">
      <c r="G1334" s="7" t="s">
        <v>2664</v>
      </c>
      <c r="H1334" s="2" t="s">
        <v>2665</v>
      </c>
    </row>
    <row r="1335" spans="7:8">
      <c r="G1335" s="7" t="s">
        <v>2666</v>
      </c>
      <c r="H1335" s="2" t="s">
        <v>2667</v>
      </c>
    </row>
    <row r="1336" spans="7:8">
      <c r="G1336" s="7" t="s">
        <v>2668</v>
      </c>
      <c r="H1336" s="2" t="s">
        <v>2669</v>
      </c>
    </row>
    <row r="1337" spans="7:8">
      <c r="G1337" s="7" t="s">
        <v>2670</v>
      </c>
      <c r="H1337" s="2" t="s">
        <v>2671</v>
      </c>
    </row>
    <row r="1338" spans="7:8">
      <c r="G1338" s="7" t="s">
        <v>2672</v>
      </c>
      <c r="H1338" s="2" t="s">
        <v>2673</v>
      </c>
    </row>
    <row r="1339" spans="7:8">
      <c r="G1339" s="7" t="s">
        <v>2674</v>
      </c>
      <c r="H1339" s="2" t="s">
        <v>173</v>
      </c>
    </row>
    <row r="1340" spans="7:8">
      <c r="G1340" s="7" t="s">
        <v>2675</v>
      </c>
      <c r="H1340" s="2" t="s">
        <v>175</v>
      </c>
    </row>
    <row r="1341" spans="7:8">
      <c r="G1341" s="7" t="s">
        <v>2676</v>
      </c>
      <c r="H1341" s="2" t="s">
        <v>2677</v>
      </c>
    </row>
    <row r="1342" spans="7:8">
      <c r="G1342" s="7" t="s">
        <v>2678</v>
      </c>
      <c r="H1342" s="2" t="s">
        <v>2679</v>
      </c>
    </row>
    <row r="1343" spans="7:8">
      <c r="G1343" s="7" t="s">
        <v>2680</v>
      </c>
      <c r="H1343" s="2" t="s">
        <v>2681</v>
      </c>
    </row>
    <row r="1344" spans="7:8">
      <c r="G1344" s="7" t="s">
        <v>2682</v>
      </c>
      <c r="H1344" s="2" t="s">
        <v>2683</v>
      </c>
    </row>
    <row r="1345" spans="7:8">
      <c r="G1345" s="7" t="s">
        <v>2684</v>
      </c>
      <c r="H1345" s="2" t="s">
        <v>2685</v>
      </c>
    </row>
    <row r="1346" spans="7:8">
      <c r="G1346" s="7" t="s">
        <v>2686</v>
      </c>
      <c r="H1346" s="2" t="s">
        <v>2687</v>
      </c>
    </row>
    <row r="1347" spans="7:8">
      <c r="G1347" s="7" t="s">
        <v>2688</v>
      </c>
      <c r="H1347" s="2" t="s">
        <v>2689</v>
      </c>
    </row>
    <row r="1348" spans="7:8">
      <c r="G1348" s="7" t="s">
        <v>2690</v>
      </c>
      <c r="H1348" s="2" t="s">
        <v>2691</v>
      </c>
    </row>
    <row r="1349" spans="7:8">
      <c r="G1349" s="7" t="s">
        <v>2692</v>
      </c>
      <c r="H1349" s="2" t="s">
        <v>2693</v>
      </c>
    </row>
    <row r="1350" spans="7:8">
      <c r="G1350" s="7" t="s">
        <v>2694</v>
      </c>
      <c r="H1350" s="2" t="s">
        <v>2695</v>
      </c>
    </row>
    <row r="1351" spans="7:8">
      <c r="G1351" s="7" t="s">
        <v>2696</v>
      </c>
      <c r="H1351" s="2" t="s">
        <v>2697</v>
      </c>
    </row>
    <row r="1352" spans="7:8">
      <c r="G1352" s="7" t="s">
        <v>2698</v>
      </c>
      <c r="H1352" s="2" t="s">
        <v>173</v>
      </c>
    </row>
    <row r="1353" spans="7:8">
      <c r="G1353" s="7" t="s">
        <v>2699</v>
      </c>
      <c r="H1353" s="2" t="s">
        <v>175</v>
      </c>
    </row>
    <row r="1354" spans="7:8">
      <c r="G1354" s="7" t="s">
        <v>2700</v>
      </c>
      <c r="H1354" s="2" t="s">
        <v>2701</v>
      </c>
    </row>
    <row r="1355" spans="7:8">
      <c r="G1355" s="7" t="s">
        <v>2702</v>
      </c>
      <c r="H1355" s="2" t="s">
        <v>2703</v>
      </c>
    </row>
    <row r="1356" spans="7:8">
      <c r="G1356" s="7" t="s">
        <v>2704</v>
      </c>
      <c r="H1356" s="2" t="s">
        <v>2705</v>
      </c>
    </row>
    <row r="1357" spans="7:8">
      <c r="G1357" s="7" t="s">
        <v>2706</v>
      </c>
      <c r="H1357" s="2" t="s">
        <v>2707</v>
      </c>
    </row>
    <row r="1358" spans="7:8">
      <c r="G1358" s="7" t="s">
        <v>2708</v>
      </c>
      <c r="H1358" s="2" t="s">
        <v>2709</v>
      </c>
    </row>
    <row r="1359" spans="7:8">
      <c r="G1359" s="7" t="s">
        <v>2710</v>
      </c>
      <c r="H1359" s="2" t="s">
        <v>2711</v>
      </c>
    </row>
    <row r="1360" spans="7:8">
      <c r="G1360" s="7" t="s">
        <v>2712</v>
      </c>
      <c r="H1360" s="2" t="s">
        <v>2713</v>
      </c>
    </row>
    <row r="1361" spans="7:8">
      <c r="G1361" s="7" t="s">
        <v>2714</v>
      </c>
      <c r="H1361" s="2" t="s">
        <v>2715</v>
      </c>
    </row>
    <row r="1362" spans="7:8">
      <c r="G1362" s="7" t="s">
        <v>2716</v>
      </c>
      <c r="H1362" s="2" t="s">
        <v>2717</v>
      </c>
    </row>
    <row r="1363" spans="7:8">
      <c r="G1363" s="7" t="s">
        <v>2718</v>
      </c>
      <c r="H1363" s="2" t="s">
        <v>173</v>
      </c>
    </row>
    <row r="1364" spans="7:8">
      <c r="G1364" s="7" t="s">
        <v>2719</v>
      </c>
      <c r="H1364" s="2" t="s">
        <v>175</v>
      </c>
    </row>
    <row r="1365" spans="7:8">
      <c r="G1365" s="7" t="s">
        <v>2720</v>
      </c>
      <c r="H1365" s="2" t="s">
        <v>2721</v>
      </c>
    </row>
    <row r="1366" spans="7:8">
      <c r="G1366" s="7" t="s">
        <v>2722</v>
      </c>
      <c r="H1366" s="2" t="s">
        <v>2723</v>
      </c>
    </row>
    <row r="1367" spans="7:8">
      <c r="G1367" s="7" t="s">
        <v>2724</v>
      </c>
      <c r="H1367" s="2" t="s">
        <v>2725</v>
      </c>
    </row>
    <row r="1368" spans="7:8">
      <c r="G1368" s="7" t="s">
        <v>2726</v>
      </c>
      <c r="H1368" s="2" t="s">
        <v>2727</v>
      </c>
    </row>
    <row r="1369" spans="7:8">
      <c r="G1369" s="7" t="s">
        <v>2728</v>
      </c>
      <c r="H1369" s="2" t="s">
        <v>2729</v>
      </c>
    </row>
    <row r="1370" spans="7:8">
      <c r="G1370" s="7" t="s">
        <v>2730</v>
      </c>
      <c r="H1370" s="2" t="s">
        <v>2731</v>
      </c>
    </row>
    <row r="1371" spans="7:8">
      <c r="G1371" s="7" t="s">
        <v>2732</v>
      </c>
      <c r="H1371" s="2" t="s">
        <v>2733</v>
      </c>
    </row>
    <row r="1372" spans="7:8">
      <c r="G1372" s="7" t="s">
        <v>2734</v>
      </c>
      <c r="H1372" s="2" t="s">
        <v>2735</v>
      </c>
    </row>
    <row r="1373" spans="7:8">
      <c r="G1373" s="7" t="s">
        <v>2736</v>
      </c>
      <c r="H1373" s="2" t="s">
        <v>2737</v>
      </c>
    </row>
    <row r="1374" spans="7:8">
      <c r="G1374" s="7" t="s">
        <v>2738</v>
      </c>
      <c r="H1374" s="2" t="s">
        <v>2739</v>
      </c>
    </row>
    <row r="1375" spans="7:8">
      <c r="G1375" s="7" t="s">
        <v>2740</v>
      </c>
      <c r="H1375" s="2" t="s">
        <v>2741</v>
      </c>
    </row>
    <row r="1376" spans="7:8">
      <c r="G1376" s="7" t="s">
        <v>2742</v>
      </c>
      <c r="H1376" s="2" t="s">
        <v>2743</v>
      </c>
    </row>
    <row r="1377" spans="7:8">
      <c r="G1377" s="7" t="s">
        <v>2744</v>
      </c>
      <c r="H1377" s="2" t="s">
        <v>2745</v>
      </c>
    </row>
    <row r="1378" spans="7:8">
      <c r="G1378" s="7" t="s">
        <v>2746</v>
      </c>
      <c r="H1378" s="2" t="s">
        <v>2747</v>
      </c>
    </row>
    <row r="1379" spans="7:8">
      <c r="G1379" s="7" t="s">
        <v>2748</v>
      </c>
      <c r="H1379" s="2" t="s">
        <v>2749</v>
      </c>
    </row>
    <row r="1380" spans="7:8">
      <c r="G1380" s="7" t="s">
        <v>2750</v>
      </c>
      <c r="H1380" s="2" t="s">
        <v>1794</v>
      </c>
    </row>
    <row r="1381" spans="7:8">
      <c r="G1381" s="7" t="s">
        <v>2751</v>
      </c>
      <c r="H1381" s="2" t="s">
        <v>2752</v>
      </c>
    </row>
    <row r="1382" spans="7:8">
      <c r="G1382" s="7" t="s">
        <v>2753</v>
      </c>
      <c r="H1382" s="2" t="s">
        <v>2754</v>
      </c>
    </row>
    <row r="1383" spans="7:8">
      <c r="G1383" s="7" t="s">
        <v>2755</v>
      </c>
      <c r="H1383" s="2" t="s">
        <v>2756</v>
      </c>
    </row>
    <row r="1384" spans="7:8">
      <c r="G1384" s="7" t="s">
        <v>2757</v>
      </c>
      <c r="H1384" s="2" t="s">
        <v>1794</v>
      </c>
    </row>
    <row r="1385" spans="7:8">
      <c r="G1385" s="7" t="s">
        <v>2758</v>
      </c>
      <c r="H1385" s="2" t="s">
        <v>2759</v>
      </c>
    </row>
    <row r="1386" spans="7:8">
      <c r="G1386" s="7" t="s">
        <v>2760</v>
      </c>
      <c r="H1386" s="2" t="s">
        <v>2761</v>
      </c>
    </row>
    <row r="1387" spans="7:8">
      <c r="G1387" s="7" t="s">
        <v>2762</v>
      </c>
      <c r="H1387" s="2" t="s">
        <v>2763</v>
      </c>
    </row>
    <row r="1388" spans="7:8">
      <c r="G1388" s="7" t="s">
        <v>2764</v>
      </c>
      <c r="H1388" s="2" t="s">
        <v>2765</v>
      </c>
    </row>
    <row r="1389" spans="7:8">
      <c r="G1389" s="7" t="s">
        <v>2766</v>
      </c>
      <c r="H1389" s="2" t="s">
        <v>2767</v>
      </c>
    </row>
    <row r="1390" spans="7:8">
      <c r="G1390" s="7" t="s">
        <v>2768</v>
      </c>
      <c r="H1390" s="2" t="s">
        <v>173</v>
      </c>
    </row>
    <row r="1391" spans="7:8">
      <c r="G1391" s="7" t="s">
        <v>2769</v>
      </c>
      <c r="H1391" s="2" t="s">
        <v>175</v>
      </c>
    </row>
    <row r="1392" spans="7:8">
      <c r="G1392" s="7" t="s">
        <v>2770</v>
      </c>
      <c r="H1392" s="2" t="s">
        <v>2771</v>
      </c>
    </row>
    <row r="1393" spans="7:8">
      <c r="G1393" s="7" t="s">
        <v>2772</v>
      </c>
      <c r="H1393" s="2" t="s">
        <v>2773</v>
      </c>
    </row>
    <row r="1394" spans="7:8">
      <c r="G1394" s="7" t="s">
        <v>2774</v>
      </c>
      <c r="H1394" s="2" t="s">
        <v>2775</v>
      </c>
    </row>
    <row r="1395" spans="7:8">
      <c r="G1395" s="7" t="s">
        <v>2776</v>
      </c>
      <c r="H1395" s="2" t="s">
        <v>2777</v>
      </c>
    </row>
    <row r="1396" spans="7:8">
      <c r="G1396" s="7" t="s">
        <v>2778</v>
      </c>
      <c r="H1396" s="2" t="s">
        <v>2779</v>
      </c>
    </row>
    <row r="1397" spans="7:8">
      <c r="G1397" s="7" t="s">
        <v>2780</v>
      </c>
      <c r="H1397" s="2" t="s">
        <v>2781</v>
      </c>
    </row>
    <row r="1398" spans="7:8">
      <c r="G1398" s="7" t="s">
        <v>2782</v>
      </c>
      <c r="H1398" s="2" t="s">
        <v>2783</v>
      </c>
    </row>
    <row r="1399" spans="7:8">
      <c r="G1399" s="7" t="s">
        <v>2784</v>
      </c>
      <c r="H1399" s="2" t="s">
        <v>2785</v>
      </c>
    </row>
    <row r="1400" spans="7:8">
      <c r="G1400" s="7" t="s">
        <v>2786</v>
      </c>
      <c r="H1400" s="2" t="s">
        <v>2787</v>
      </c>
    </row>
    <row r="1401" spans="7:8">
      <c r="G1401" s="7" t="s">
        <v>2788</v>
      </c>
      <c r="H1401" s="2" t="s">
        <v>2789</v>
      </c>
    </row>
    <row r="1402" spans="7:8">
      <c r="G1402" s="7" t="s">
        <v>2790</v>
      </c>
      <c r="H1402" s="2" t="s">
        <v>2791</v>
      </c>
    </row>
    <row r="1403" spans="7:8">
      <c r="G1403" s="7" t="s">
        <v>2792</v>
      </c>
      <c r="H1403" s="2" t="s">
        <v>2793</v>
      </c>
    </row>
    <row r="1404" spans="7:8">
      <c r="G1404" s="7" t="s">
        <v>2794</v>
      </c>
      <c r="H1404" s="2" t="s">
        <v>2795</v>
      </c>
    </row>
    <row r="1405" spans="7:8">
      <c r="G1405" s="7" t="s">
        <v>2796</v>
      </c>
      <c r="H1405" s="2" t="s">
        <v>1794</v>
      </c>
    </row>
    <row r="1406" spans="7:8">
      <c r="G1406" s="7" t="s">
        <v>2797</v>
      </c>
      <c r="H1406" s="2" t="s">
        <v>2798</v>
      </c>
    </row>
    <row r="1407" spans="7:8">
      <c r="G1407" s="7" t="s">
        <v>2799</v>
      </c>
      <c r="H1407" s="2" t="s">
        <v>2800</v>
      </c>
    </row>
    <row r="1408" spans="7:8">
      <c r="G1408" s="7" t="s">
        <v>2801</v>
      </c>
      <c r="H1408" s="2" t="s">
        <v>173</v>
      </c>
    </row>
    <row r="1409" spans="7:8">
      <c r="G1409" s="7" t="s">
        <v>2802</v>
      </c>
      <c r="H1409" s="2" t="s">
        <v>175</v>
      </c>
    </row>
    <row r="1410" spans="7:8">
      <c r="G1410" s="7" t="s">
        <v>2803</v>
      </c>
      <c r="H1410" s="2" t="s">
        <v>2804</v>
      </c>
    </row>
    <row r="1411" spans="7:8">
      <c r="G1411" s="7" t="s">
        <v>2805</v>
      </c>
      <c r="H1411" s="2" t="s">
        <v>2806</v>
      </c>
    </row>
    <row r="1412" spans="7:8">
      <c r="G1412" s="7" t="s">
        <v>2807</v>
      </c>
      <c r="H1412" s="2" t="s">
        <v>2808</v>
      </c>
    </row>
    <row r="1413" spans="7:8">
      <c r="G1413" s="7" t="s">
        <v>2809</v>
      </c>
      <c r="H1413" s="2" t="s">
        <v>2810</v>
      </c>
    </row>
    <row r="1414" spans="7:8">
      <c r="G1414" s="7" t="s">
        <v>2811</v>
      </c>
      <c r="H1414" s="2" t="s">
        <v>2812</v>
      </c>
    </row>
    <row r="1415" spans="7:8">
      <c r="G1415" s="7" t="s">
        <v>2813</v>
      </c>
      <c r="H1415" s="2" t="s">
        <v>2814</v>
      </c>
    </row>
    <row r="1416" spans="7:8">
      <c r="G1416" s="7" t="s">
        <v>2815</v>
      </c>
      <c r="H1416" s="2" t="s">
        <v>2816</v>
      </c>
    </row>
    <row r="1417" spans="7:8">
      <c r="G1417" s="7" t="s">
        <v>2817</v>
      </c>
      <c r="H1417" s="2" t="s">
        <v>2818</v>
      </c>
    </row>
    <row r="1418" spans="7:8">
      <c r="G1418" s="7" t="s">
        <v>2819</v>
      </c>
      <c r="H1418" s="2" t="s">
        <v>2820</v>
      </c>
    </row>
    <row r="1419" spans="7:8">
      <c r="G1419" s="7" t="s">
        <v>2821</v>
      </c>
      <c r="H1419" s="2" t="s">
        <v>173</v>
      </c>
    </row>
    <row r="1420" spans="7:8">
      <c r="G1420" s="7" t="s">
        <v>2822</v>
      </c>
      <c r="H1420" s="2" t="s">
        <v>175</v>
      </c>
    </row>
    <row r="1421" spans="7:8">
      <c r="G1421" s="7" t="s">
        <v>2823</v>
      </c>
      <c r="H1421" s="2" t="s">
        <v>2824</v>
      </c>
    </row>
    <row r="1422" spans="7:8">
      <c r="G1422" s="7" t="s">
        <v>2825</v>
      </c>
      <c r="H1422" s="2" t="s">
        <v>2826</v>
      </c>
    </row>
    <row r="1423" spans="7:8">
      <c r="G1423" s="7" t="s">
        <v>2827</v>
      </c>
      <c r="H1423" s="2" t="s">
        <v>173</v>
      </c>
    </row>
    <row r="1424" spans="7:8">
      <c r="G1424" s="7" t="s">
        <v>2828</v>
      </c>
      <c r="H1424" s="2" t="s">
        <v>175</v>
      </c>
    </row>
    <row r="1425" spans="7:8">
      <c r="G1425" s="7" t="s">
        <v>2829</v>
      </c>
      <c r="H1425" s="2" t="s">
        <v>2830</v>
      </c>
    </row>
    <row r="1426" spans="7:8">
      <c r="G1426" s="7" t="s">
        <v>2831</v>
      </c>
      <c r="H1426" s="2" t="s">
        <v>2832</v>
      </c>
    </row>
    <row r="1427" spans="7:8">
      <c r="G1427" s="7" t="s">
        <v>2833</v>
      </c>
      <c r="H1427" s="2" t="s">
        <v>2834</v>
      </c>
    </row>
    <row r="1428" spans="7:8">
      <c r="G1428" s="7" t="s">
        <v>2835</v>
      </c>
      <c r="H1428" s="2" t="s">
        <v>2836</v>
      </c>
    </row>
    <row r="1429" spans="7:8">
      <c r="G1429" s="7" t="s">
        <v>2837</v>
      </c>
      <c r="H1429" s="2" t="s">
        <v>2838</v>
      </c>
    </row>
    <row r="1430" spans="7:8">
      <c r="G1430" s="7" t="s">
        <v>2839</v>
      </c>
      <c r="H1430" s="2" t="s">
        <v>2840</v>
      </c>
    </row>
    <row r="1431" spans="7:8">
      <c r="G1431" s="7" t="s">
        <v>2841</v>
      </c>
      <c r="H1431" s="2" t="s">
        <v>2842</v>
      </c>
    </row>
    <row r="1432" spans="7:8">
      <c r="G1432" s="7" t="s">
        <v>2843</v>
      </c>
      <c r="H1432" s="2" t="s">
        <v>2844</v>
      </c>
    </row>
    <row r="1433" spans="7:8">
      <c r="G1433" s="7" t="s">
        <v>2845</v>
      </c>
      <c r="H1433" s="2" t="s">
        <v>2846</v>
      </c>
    </row>
    <row r="1434" spans="7:8">
      <c r="G1434" s="7" t="s">
        <v>2847</v>
      </c>
      <c r="H1434" s="2" t="s">
        <v>2848</v>
      </c>
    </row>
    <row r="1435" spans="7:8">
      <c r="G1435" s="7" t="s">
        <v>2849</v>
      </c>
      <c r="H1435" s="2" t="s">
        <v>2850</v>
      </c>
    </row>
    <row r="1436" spans="7:8">
      <c r="G1436" s="7" t="s">
        <v>2851</v>
      </c>
      <c r="H1436" s="2" t="s">
        <v>2852</v>
      </c>
    </row>
    <row r="1437" spans="7:8">
      <c r="G1437" s="7" t="s">
        <v>2853</v>
      </c>
      <c r="H1437" s="2" t="s">
        <v>2854</v>
      </c>
    </row>
    <row r="1438" spans="7:8">
      <c r="G1438" s="7" t="s">
        <v>2855</v>
      </c>
      <c r="H1438" s="2" t="s">
        <v>2856</v>
      </c>
    </row>
    <row r="1439" spans="7:8">
      <c r="G1439" s="7" t="s">
        <v>2857</v>
      </c>
      <c r="H1439" s="2" t="s">
        <v>2858</v>
      </c>
    </row>
    <row r="1440" spans="7:8">
      <c r="G1440" s="7" t="s">
        <v>2859</v>
      </c>
      <c r="H1440" s="2" t="s">
        <v>2860</v>
      </c>
    </row>
    <row r="1441" spans="7:8">
      <c r="G1441" s="7" t="s">
        <v>2861</v>
      </c>
      <c r="H1441" s="2" t="s">
        <v>2862</v>
      </c>
    </row>
    <row r="1442" spans="7:8">
      <c r="G1442" s="7" t="s">
        <v>2863</v>
      </c>
      <c r="H1442" s="2" t="s">
        <v>2864</v>
      </c>
    </row>
    <row r="1443" spans="7:8">
      <c r="G1443" s="7" t="s">
        <v>2865</v>
      </c>
      <c r="H1443" s="2" t="s">
        <v>2866</v>
      </c>
    </row>
    <row r="1444" spans="7:8">
      <c r="G1444" s="7" t="s">
        <v>2867</v>
      </c>
      <c r="H1444" s="2" t="s">
        <v>2868</v>
      </c>
    </row>
    <row r="1445" spans="7:8">
      <c r="G1445" s="7" t="s">
        <v>2869</v>
      </c>
      <c r="H1445" s="2" t="s">
        <v>2870</v>
      </c>
    </row>
    <row r="1446" spans="7:8">
      <c r="G1446" s="7" t="s">
        <v>2871</v>
      </c>
      <c r="H1446" s="2" t="s">
        <v>2872</v>
      </c>
    </row>
    <row r="1447" spans="7:8">
      <c r="G1447" s="7" t="s">
        <v>2873</v>
      </c>
      <c r="H1447" s="2" t="s">
        <v>2874</v>
      </c>
    </row>
    <row r="1448" spans="7:8">
      <c r="G1448" s="7" t="s">
        <v>2875</v>
      </c>
      <c r="H1448" s="2" t="s">
        <v>2876</v>
      </c>
    </row>
    <row r="1449" spans="7:8">
      <c r="G1449" s="7" t="s">
        <v>2877</v>
      </c>
      <c r="H1449" s="2" t="s">
        <v>2878</v>
      </c>
    </row>
    <row r="1450" spans="7:8">
      <c r="G1450" s="7" t="s">
        <v>2879</v>
      </c>
      <c r="H1450" s="2" t="s">
        <v>1794</v>
      </c>
    </row>
    <row r="1451" spans="7:8">
      <c r="G1451" s="7" t="s">
        <v>2880</v>
      </c>
      <c r="H1451" s="2" t="s">
        <v>2881</v>
      </c>
    </row>
    <row r="1452" spans="7:8">
      <c r="G1452" s="7" t="s">
        <v>2882</v>
      </c>
      <c r="H1452" s="2" t="s">
        <v>2883</v>
      </c>
    </row>
    <row r="1453" spans="7:8">
      <c r="G1453" s="7" t="s">
        <v>2884</v>
      </c>
      <c r="H1453" s="2" t="s">
        <v>2885</v>
      </c>
    </row>
    <row r="1454" spans="7:8">
      <c r="G1454" s="7" t="s">
        <v>2886</v>
      </c>
      <c r="H1454" s="2" t="s">
        <v>2887</v>
      </c>
    </row>
    <row r="1455" spans="7:8">
      <c r="G1455" s="7" t="s">
        <v>2888</v>
      </c>
      <c r="H1455" s="2" t="s">
        <v>2889</v>
      </c>
    </row>
    <row r="1456" spans="7:8">
      <c r="G1456" s="7" t="s">
        <v>2890</v>
      </c>
      <c r="H1456" s="2" t="s">
        <v>2891</v>
      </c>
    </row>
    <row r="1457" spans="7:8">
      <c r="G1457" s="7" t="s">
        <v>2892</v>
      </c>
      <c r="H1457" s="2" t="s">
        <v>2893</v>
      </c>
    </row>
    <row r="1458" spans="7:8">
      <c r="G1458" s="7" t="s">
        <v>2894</v>
      </c>
      <c r="H1458" s="2" t="s">
        <v>2895</v>
      </c>
    </row>
    <row r="1459" spans="7:8">
      <c r="G1459" s="7" t="s">
        <v>2896</v>
      </c>
      <c r="H1459" s="2" t="s">
        <v>2897</v>
      </c>
    </row>
    <row r="1460" spans="7:8">
      <c r="G1460" s="7" t="s">
        <v>2898</v>
      </c>
      <c r="H1460" s="2" t="s">
        <v>2899</v>
      </c>
    </row>
  </sheetData>
  <sheetProtection algorithmName="SHA-512" hashValue="21sDHLOUnARq9rWd+AGQ8GqiCkfBCG8qgJO4bYbG+H/FxsCgnyo1yhVYwGZ5JhXHPjKO+Rq10u+NvFsHrqLjIg==" saltValue="arssXKFvWVWfLU+m3b8IIg==" spinCount="100000" sheet="1" objects="1" scenarios="1"/>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FF0000"/>
  </sheetPr>
  <dimension ref="A1:CD81"/>
  <sheetViews>
    <sheetView workbookViewId="0">
      <selection activeCell="H17" sqref="H17"/>
    </sheetView>
  </sheetViews>
  <sheetFormatPr defaultColWidth="8.88671875" defaultRowHeight="17.399999999999999"/>
  <cols>
    <col min="1" max="2" width="20.44140625" style="8" customWidth="1"/>
    <col min="3" max="3" width="8.88671875" style="8"/>
    <col min="4" max="4" width="40.44140625" style="8" customWidth="1"/>
    <col min="5" max="5" width="16.44140625" style="8" customWidth="1"/>
    <col min="6" max="6" width="8.88671875" style="8"/>
    <col min="7" max="7" width="29" style="8" customWidth="1"/>
    <col min="8" max="8" width="9" style="8" bestFit="1" customWidth="1"/>
    <col min="9" max="9" width="8.88671875" style="8"/>
    <col min="10" max="10" width="9" style="8" bestFit="1" customWidth="1"/>
    <col min="11" max="14" width="8.88671875" style="8"/>
    <col min="15" max="24" width="0" style="8" hidden="1" customWidth="1"/>
    <col min="25" max="25" width="8.88671875" style="8"/>
    <col min="26" max="26" width="9" style="8" bestFit="1" customWidth="1"/>
    <col min="27" max="27" width="21.44140625" style="8" customWidth="1"/>
    <col min="28" max="28" width="9" style="8" bestFit="1" customWidth="1"/>
    <col min="29" max="29" width="10.33203125" style="8" bestFit="1" customWidth="1"/>
    <col min="30" max="30" width="12" style="8" customWidth="1"/>
    <col min="31" max="31" width="11.109375" style="8" hidden="1" customWidth="1"/>
    <col min="32" max="37" width="0" style="8" hidden="1" customWidth="1"/>
    <col min="38" max="38" width="8.88671875" style="8"/>
    <col min="39" max="40" width="19.88671875" style="8" customWidth="1"/>
    <col min="41" max="41" width="9" style="8" bestFit="1" customWidth="1"/>
    <col min="42" max="44" width="8.88671875" style="8"/>
    <col min="45" max="45" width="9" style="8" bestFit="1" customWidth="1"/>
    <col min="46" max="46" width="38.33203125" style="8" customWidth="1"/>
    <col min="47" max="47" width="28.88671875" style="8" customWidth="1"/>
    <col min="48" max="48" width="22.33203125" style="8" customWidth="1"/>
    <col min="49" max="51" width="8.88671875" style="8"/>
    <col min="52" max="52" width="9" style="8" bestFit="1" customWidth="1"/>
    <col min="53" max="53" width="25.88671875" style="8" customWidth="1"/>
    <col min="54" max="54" width="6.88671875" style="8" customWidth="1"/>
    <col min="55" max="55" width="10.33203125" style="8" bestFit="1" customWidth="1"/>
    <col min="56" max="56" width="21" style="8" customWidth="1"/>
    <col min="57" max="57" width="23.88671875" style="8" customWidth="1"/>
    <col min="58" max="58" width="15.33203125" style="8" customWidth="1"/>
    <col min="59" max="59" width="8" style="8" customWidth="1"/>
    <col min="60" max="60" width="29.88671875" style="8" bestFit="1" customWidth="1"/>
    <col min="61" max="61" width="4" style="8" bestFit="1" customWidth="1"/>
    <col min="62" max="63" width="19.109375" style="8" customWidth="1"/>
    <col min="64" max="64" width="4.44140625" style="8" customWidth="1"/>
    <col min="65" max="65" width="65.33203125" style="8" customWidth="1"/>
    <col min="66" max="67" width="9" style="8" bestFit="1" customWidth="1"/>
    <col min="68" max="70" width="8.88671875" style="8"/>
    <col min="71" max="71" width="9" style="8" bestFit="1" customWidth="1"/>
    <col min="72" max="72" width="27.44140625" style="8" customWidth="1"/>
    <col min="73" max="73" width="22.109375" style="8" customWidth="1"/>
    <col min="74" max="74" width="20.109375" style="8" customWidth="1"/>
    <col min="75" max="77" width="22.109375" style="8" customWidth="1"/>
    <col min="78" max="78" width="5.109375" style="8" customWidth="1"/>
    <col min="79" max="82" width="13.88671875" style="8" customWidth="1"/>
    <col min="83" max="16384" width="8.88671875" style="8"/>
  </cols>
  <sheetData>
    <row r="1" spans="1:82">
      <c r="AA1" s="8" t="s">
        <v>4393</v>
      </c>
      <c r="AM1" s="8" t="s">
        <v>4361</v>
      </c>
      <c r="AN1" s="8" t="s">
        <v>99</v>
      </c>
      <c r="AP1" s="8" t="s">
        <v>4394</v>
      </c>
      <c r="AT1" s="8" t="s">
        <v>4395</v>
      </c>
      <c r="AU1" s="8" t="s">
        <v>4396</v>
      </c>
      <c r="AV1" s="8" t="s">
        <v>4397</v>
      </c>
      <c r="BA1" s="8" t="s">
        <v>4408</v>
      </c>
      <c r="BM1" s="8" t="s">
        <v>4387</v>
      </c>
      <c r="BP1" s="8" t="s">
        <v>4394</v>
      </c>
      <c r="BT1" s="8" t="s">
        <v>4409</v>
      </c>
      <c r="BU1" s="8" t="s">
        <v>4410</v>
      </c>
      <c r="BV1" s="8" t="s">
        <v>4411</v>
      </c>
      <c r="BW1" s="8" t="s">
        <v>4978</v>
      </c>
      <c r="BX1" s="8" t="s">
        <v>4979</v>
      </c>
      <c r="BY1" s="8" t="s">
        <v>4980</v>
      </c>
      <c r="CA1" s="8" t="s">
        <v>4981</v>
      </c>
      <c r="CB1" s="8" t="s">
        <v>4983</v>
      </c>
      <c r="CC1" s="8" t="s">
        <v>4982</v>
      </c>
      <c r="CD1" s="8" t="s">
        <v>4984</v>
      </c>
    </row>
    <row r="2" spans="1:82">
      <c r="A2" s="8" t="s">
        <v>4335</v>
      </c>
      <c r="D2" s="8" t="s">
        <v>4361</v>
      </c>
      <c r="G2" s="8" t="s">
        <v>4387</v>
      </c>
      <c r="H2" s="8" t="s">
        <v>4991</v>
      </c>
      <c r="Z2" s="8">
        <v>1</v>
      </c>
      <c r="AA2" s="95">
        <f>'計画書② (取組）'!C39</f>
        <v>0</v>
      </c>
      <c r="AB2" s="8" t="str">
        <f>IF(AA2&lt;&gt;0,ROW()-1,"")</f>
        <v/>
      </c>
      <c r="AC2" s="8" t="e">
        <f>RANK(AB2,$AB$2:$AB$81,1)</f>
        <v>#VALUE!</v>
      </c>
      <c r="AM2" s="9" t="s">
        <v>4069</v>
      </c>
      <c r="AN2" s="9" t="s">
        <v>4362</v>
      </c>
      <c r="AO2" s="8">
        <f>IF(ISERROR(MATCH(AM2,$AA$2:$AA$81,0)),ROW(),"")</f>
        <v>2</v>
      </c>
      <c r="AP2" s="8" t="str">
        <f ca="1">IFERROR(INDIRECT("AM"&amp;SMALL($AO$2:$AO$27,ROW()-1)),"")</f>
        <v>外部機関による省エネ診断</v>
      </c>
      <c r="AS2" s="8">
        <v>1</v>
      </c>
      <c r="AT2" s="8" t="str">
        <f>IFERROR(INDEX($AA$2:$AA$81,MATCH(AS2,$AC$2:$AC$81,0)),"")</f>
        <v/>
      </c>
      <c r="AU2" s="8" t="str">
        <f>IFERROR(INDEX($AA$2:$AA$61,MATCH(AS2,$AC$2:$AC$61,0)),"")</f>
        <v/>
      </c>
      <c r="AV2" s="8" t="str">
        <f>IFERROR(INDEX($AA$2:$AA$41,MATCH(AS2,$AC$2:$AC$41,0)),"")</f>
        <v/>
      </c>
      <c r="AZ2" s="8">
        <v>1</v>
      </c>
      <c r="BA2" s="96" t="str">
        <f>IF('計画書② (取組）'!C63="","",'計画書② (取組）'!C63&amp;"‡"&amp;'計画書② (取組）'!D63)</f>
        <v/>
      </c>
      <c r="BB2" s="8" t="str">
        <f>IF(BA2&lt;&gt;"",ROW()-1,"")</f>
        <v/>
      </c>
      <c r="BC2" s="8" t="e">
        <f>RANK(BB2,$BB$2:$BB$41,1)</f>
        <v>#VALUE!</v>
      </c>
      <c r="BD2" s="8">
        <f>'計画書② (取組）'!D63</f>
        <v>0</v>
      </c>
      <c r="BE2" s="8" t="e">
        <f t="shared" ref="BE2:BE41" si="0">LEFT(BA2,FIND("‡",BA2)-1)</f>
        <v>#VALUE!</v>
      </c>
      <c r="BI2" s="8">
        <v>1</v>
      </c>
      <c r="BJ2" s="8" t="str">
        <f t="shared" ref="BJ2:BJ14" si="1">IFERROR(INDEX($BE$2:$BE$41,MATCH(BI2,$BC$2:$BC$41,0)),"")</f>
        <v/>
      </c>
      <c r="BK2" s="8" t="str">
        <f>IFERROR(INDEX($BD$2:$BD$41,MATCH(BI2,$BC$2:$BC$41,0)),"")</f>
        <v/>
      </c>
      <c r="BM2" s="9" t="s">
        <v>4194</v>
      </c>
      <c r="BO2" s="8">
        <f>IF(ISERROR(MATCH(BM2,$BA$2:$BA$41,0)),ROW(),"")</f>
        <v>2</v>
      </c>
      <c r="BP2" s="8" t="str">
        <f ca="1">IFERROR(INDIRECT("bM"&amp;SMALL($BO$2:$BO$26,ROW()-1)),"")</f>
        <v>環境マネジメントシステムの導入</v>
      </c>
      <c r="BS2" s="8">
        <v>1</v>
      </c>
      <c r="BT2" s="8" t="str">
        <f>IFERROR(INDEX($BE$2:$BE$41,MATCH(BS2,$BC$2:$BC$41,0)),"")</f>
        <v/>
      </c>
      <c r="BU2" s="8" t="str">
        <f>IFERROR(INDEX($BE$2:$BE$41,MATCH(BS2,$BC$2:$BC$31,0)),"")</f>
        <v/>
      </c>
      <c r="BV2" s="8" t="str">
        <f>IFERROR(INDEX($BE$2:$BE$41,MATCH(BS2,$BC$2:$BC$21,0)),"")</f>
        <v/>
      </c>
      <c r="BW2" s="8" t="str">
        <f>IFERROR(INDEX($BD$2:$BD$41,MATCH(BS2,$BC$2:$BC$41,0)),"")</f>
        <v/>
      </c>
      <c r="BX2" s="8" t="str">
        <f>IFERROR(INDEX($BD$2:$BD$41,MATCH(BS2,$BC$2:$BC$31,0)),"")</f>
        <v/>
      </c>
      <c r="BY2" s="8" t="str">
        <f>IFERROR(INDEX($BD$2:$BD$41,MATCH(BS2,$BC$2:$BC$21,0)),"")</f>
        <v/>
      </c>
      <c r="CA2" s="97" t="str">
        <f>IF('報告書② 第3年度(取組）'!C70="","",'報告書② 第3年度(取組）'!H70&amp;"")</f>
        <v/>
      </c>
      <c r="CB2" s="98" t="str">
        <f>IF('報告書② 第2年度(取組）'!C70="","",'報告書② 第2年度(取組）'!G70&amp;"")</f>
        <v/>
      </c>
      <c r="CC2" s="99" t="str">
        <f>IF('報告書② 第1年度(取組）'!C70="","",'報告書② 第1年度(取組）'!F70&amp;"")</f>
        <v/>
      </c>
      <c r="CD2" s="95" t="str">
        <f>IF('計画書② (取組）'!C63="","",'計画書② (取組）'!E63&amp;"")</f>
        <v/>
      </c>
    </row>
    <row r="3" spans="1:82">
      <c r="A3" s="100" t="s">
        <v>4041</v>
      </c>
      <c r="B3" s="100" t="s">
        <v>4336</v>
      </c>
      <c r="D3" s="100" t="s">
        <v>4069</v>
      </c>
      <c r="E3" s="100" t="s">
        <v>4362</v>
      </c>
      <c r="G3" s="8" t="s">
        <v>4194</v>
      </c>
      <c r="H3" s="8">
        <f>LEN(G3)</f>
        <v>15</v>
      </c>
      <c r="J3" s="8">
        <f>LEN(D3)</f>
        <v>12</v>
      </c>
      <c r="Z3" s="8">
        <v>2</v>
      </c>
      <c r="AA3" s="95">
        <f>'計画書② (取組）'!C40</f>
        <v>0</v>
      </c>
      <c r="AB3" s="8" t="str">
        <f t="shared" ref="AB3:AB66" si="2">IF(AA3&lt;&gt;0,ROW()-1,"")</f>
        <v/>
      </c>
      <c r="AC3" s="8" t="e">
        <f t="shared" ref="AC3:AC66" si="3">RANK(AB3,$AB$2:$AB$81,1)</f>
        <v>#VALUE!</v>
      </c>
      <c r="AM3" s="9" t="s">
        <v>4070</v>
      </c>
      <c r="AN3" s="9" t="s">
        <v>4363</v>
      </c>
      <c r="AO3" s="8">
        <f t="shared" ref="AO3:AO27" si="4">IF(ISERROR(MATCH(AM3,$AA$2:$AA$81,0)),ROW(),"")</f>
        <v>3</v>
      </c>
      <c r="AP3" s="8" t="str">
        <f t="shared" ref="AP3:AP27" ca="1" si="5">IFERROR(INDIRECT("AM"&amp;SMALL($AO$2:$AO$27,ROW()-1)),"")</f>
        <v>生産性管理</v>
      </c>
      <c r="AS3" s="8">
        <v>2</v>
      </c>
      <c r="AT3" s="8" t="str">
        <f t="shared" ref="AT3:AT26" si="6">IFERROR(INDEX($AA$2:$AA$81,MATCH(AS3,$AC$2:$AC$81,0)),"")</f>
        <v/>
      </c>
      <c r="AU3" s="8" t="str">
        <f t="shared" ref="AU3:AU26" si="7">IFERROR(INDEX($AA$2:$AA$61,MATCH(AS3,$AC$2:$AC$61,0)),"")</f>
        <v/>
      </c>
      <c r="AV3" s="8" t="str">
        <f t="shared" ref="AV3:AV26" si="8">IFERROR(INDEX($AA$2:$AA$41,MATCH(AS3,$AC$2:$AC$41,0)),"")</f>
        <v/>
      </c>
      <c r="AZ3" s="8">
        <v>2</v>
      </c>
      <c r="BA3" s="96" t="str">
        <f>IF('計画書② (取組）'!C64="","",'計画書② (取組）'!C64&amp;"‡"&amp;'計画書② (取組）'!D64)</f>
        <v/>
      </c>
      <c r="BB3" s="8" t="str">
        <f t="shared" ref="BB3:BB41" si="9">IF(BA3&lt;&gt;"",ROW()-1,"")</f>
        <v/>
      </c>
      <c r="BC3" s="8" t="e">
        <f t="shared" ref="BC3:BC41" si="10">RANK(BB3,$BB$2:$BB$41,1)</f>
        <v>#VALUE!</v>
      </c>
      <c r="BD3" s="8">
        <f>'計画書② (取組）'!D64</f>
        <v>0</v>
      </c>
      <c r="BE3" s="8" t="e">
        <f t="shared" si="0"/>
        <v>#VALUE!</v>
      </c>
      <c r="BI3" s="8">
        <v>2</v>
      </c>
      <c r="BJ3" s="8" t="str">
        <f t="shared" si="1"/>
        <v/>
      </c>
      <c r="BK3" s="8" t="str">
        <f t="shared" ref="BK3:BK14" si="11">IFERROR(INDEX($BD$2:$BD$41,MATCH(BI3,$BC$2:$BC$41,0)),"")</f>
        <v/>
      </c>
      <c r="BM3" s="9" t="s">
        <v>4388</v>
      </c>
      <c r="BO3" s="8">
        <f t="shared" ref="BO3:BO14" si="12">IF(ISERROR(MATCH(BM3,$BA$2:$BA$41,0)),ROW(),"")</f>
        <v>3</v>
      </c>
      <c r="BP3" s="8" t="str">
        <f t="shared" ref="BP3:BP14" ca="1" si="13">IFERROR(INDIRECT("bM"&amp;SMALL($BO$2:$BO$26,ROW()-1)),"")</f>
        <v>SBTやRE100等の国際的な気候変動イニシアティブなど脱炭素経営への取組</v>
      </c>
      <c r="BS3" s="8">
        <v>2</v>
      </c>
      <c r="BT3" s="8" t="str">
        <f t="shared" ref="BT3:BT14" si="14">IFERROR(INDEX($BE$2:$BE$41,MATCH(BS3,$BC$2:$BC$41,0)),"")</f>
        <v/>
      </c>
      <c r="BU3" s="8" t="str">
        <f t="shared" ref="BU3:BU14" si="15">IFERROR(INDEX($BE$2:$BE$41,MATCH(BS3,$BC$2:$BC$31,0)),"")</f>
        <v/>
      </c>
      <c r="BV3" s="8" t="str">
        <f t="shared" ref="BV3:BV14" si="16">IFERROR(INDEX($BE$2:$BE$41,MATCH(BS3,$BC$2:$BC$21,0)),"")</f>
        <v/>
      </c>
      <c r="BW3" s="8" t="str">
        <f t="shared" ref="BW3:BW14" si="17">IFERROR(INDEX($BD$2:$BD$41,MATCH(BS3,$BC$2:$BC$41,0)),"")</f>
        <v/>
      </c>
      <c r="BX3" s="8" t="str">
        <f t="shared" ref="BX3:BX14" si="18">IFERROR(INDEX($BD$2:$BD$41,MATCH(BS3,$BC$2:$BC$31,0)),"")</f>
        <v/>
      </c>
      <c r="BY3" s="8" t="str">
        <f t="shared" ref="BY3:BY13" si="19">IFERROR(INDEX($BD$2:$BD$41,MATCH(BS3,$BC$2:$BC$21,0)),"")</f>
        <v/>
      </c>
      <c r="CA3" s="97" t="str">
        <f>IF('報告書② 第3年度(取組）'!C71="","",'報告書② 第3年度(取組）'!H71&amp;"")</f>
        <v/>
      </c>
      <c r="CB3" s="98" t="str">
        <f>IF('報告書② 第2年度(取組）'!C71="","",'報告書② 第2年度(取組）'!G71&amp;"")</f>
        <v/>
      </c>
      <c r="CC3" s="99" t="str">
        <f>IF('報告書② 第1年度(取組）'!C71="","",'報告書② 第1年度(取組）'!F71&amp;"")</f>
        <v/>
      </c>
      <c r="CD3" s="95" t="str">
        <f>IF('計画書② (取組）'!C64="","",'計画書② (取組）'!E64&amp;"")</f>
        <v/>
      </c>
    </row>
    <row r="4" spans="1:82">
      <c r="A4" s="100" t="s">
        <v>4042</v>
      </c>
      <c r="B4" s="100" t="s">
        <v>4337</v>
      </c>
      <c r="D4" s="100" t="s">
        <v>4070</v>
      </c>
      <c r="E4" s="100" t="s">
        <v>4363</v>
      </c>
      <c r="G4" s="8" t="s">
        <v>4388</v>
      </c>
      <c r="H4" s="8">
        <f t="shared" ref="H4:H15" si="20">LEN(G4)</f>
        <v>37</v>
      </c>
      <c r="J4" s="8">
        <f t="shared" ref="J4:J28" si="21">LEN(D4)</f>
        <v>5</v>
      </c>
      <c r="Z4" s="8">
        <v>3</v>
      </c>
      <c r="AA4" s="95">
        <f>'計画書② (取組）'!C41</f>
        <v>0</v>
      </c>
      <c r="AB4" s="8" t="str">
        <f t="shared" si="2"/>
        <v/>
      </c>
      <c r="AC4" s="8" t="e">
        <f t="shared" si="3"/>
        <v>#VALUE!</v>
      </c>
      <c r="AM4" s="9" t="s">
        <v>4071</v>
      </c>
      <c r="AN4" s="9" t="s">
        <v>4364</v>
      </c>
      <c r="AO4" s="8">
        <f t="shared" si="4"/>
        <v>4</v>
      </c>
      <c r="AP4" s="8" t="str">
        <f t="shared" ca="1" si="5"/>
        <v>エネルギー使用量の見える化（前年度比較）</v>
      </c>
      <c r="AS4" s="8">
        <v>3</v>
      </c>
      <c r="AT4" s="8" t="str">
        <f t="shared" si="6"/>
        <v/>
      </c>
      <c r="AU4" s="8" t="str">
        <f t="shared" si="7"/>
        <v/>
      </c>
      <c r="AV4" s="8" t="str">
        <f t="shared" si="8"/>
        <v/>
      </c>
      <c r="AZ4" s="8">
        <v>3</v>
      </c>
      <c r="BA4" s="96" t="str">
        <f>IF('計画書② (取組）'!C65="","",'計画書② (取組）'!C65&amp;"‡"&amp;'計画書② (取組）'!D65)</f>
        <v/>
      </c>
      <c r="BB4" s="8" t="str">
        <f t="shared" si="9"/>
        <v/>
      </c>
      <c r="BC4" s="8" t="e">
        <f t="shared" si="10"/>
        <v>#VALUE!</v>
      </c>
      <c r="BD4" s="8">
        <f>'計画書② (取組）'!D65</f>
        <v>0</v>
      </c>
      <c r="BE4" s="8" t="e">
        <f t="shared" si="0"/>
        <v>#VALUE!</v>
      </c>
      <c r="BI4" s="8">
        <v>3</v>
      </c>
      <c r="BJ4" s="8" t="str">
        <f t="shared" si="1"/>
        <v/>
      </c>
      <c r="BK4" s="8" t="str">
        <f t="shared" si="11"/>
        <v/>
      </c>
      <c r="BM4" s="9" t="s">
        <v>4195</v>
      </c>
      <c r="BO4" s="8">
        <f t="shared" si="12"/>
        <v>4</v>
      </c>
      <c r="BP4" s="8" t="str">
        <f t="shared" ca="1" si="13"/>
        <v>従業員の自動車利用の抑制、公共交通機関の利用促進</v>
      </c>
      <c r="BS4" s="8">
        <v>3</v>
      </c>
      <c r="BT4" s="8" t="str">
        <f t="shared" si="14"/>
        <v/>
      </c>
      <c r="BU4" s="8" t="str">
        <f t="shared" si="15"/>
        <v/>
      </c>
      <c r="BV4" s="8" t="str">
        <f t="shared" si="16"/>
        <v/>
      </c>
      <c r="BW4" s="8" t="str">
        <f t="shared" si="17"/>
        <v/>
      </c>
      <c r="BX4" s="8" t="str">
        <f t="shared" si="18"/>
        <v/>
      </c>
      <c r="BY4" s="8" t="str">
        <f t="shared" si="19"/>
        <v/>
      </c>
      <c r="CA4" s="97" t="str">
        <f>IF('報告書② 第3年度(取組）'!C72="","",'報告書② 第3年度(取組）'!H72&amp;"")</f>
        <v/>
      </c>
      <c r="CB4" s="98" t="str">
        <f>IF('報告書② 第2年度(取組）'!C72="","",'報告書② 第2年度(取組）'!G72&amp;"")</f>
        <v/>
      </c>
      <c r="CC4" s="99" t="str">
        <f>IF('報告書② 第1年度(取組）'!C72="","",'報告書② 第1年度(取組）'!F72&amp;"")</f>
        <v/>
      </c>
      <c r="CD4" s="95" t="str">
        <f>IF('計画書② (取組）'!C65="","",'計画書② (取組）'!E65&amp;"")</f>
        <v/>
      </c>
    </row>
    <row r="5" spans="1:82">
      <c r="A5" s="100" t="s">
        <v>4043</v>
      </c>
      <c r="B5" s="100" t="s">
        <v>4338</v>
      </c>
      <c r="D5" s="100" t="s">
        <v>4071</v>
      </c>
      <c r="E5" s="100" t="s">
        <v>4364</v>
      </c>
      <c r="G5" s="8" t="s">
        <v>4195</v>
      </c>
      <c r="H5" s="8">
        <f t="shared" si="20"/>
        <v>24</v>
      </c>
      <c r="J5" s="8">
        <f t="shared" si="21"/>
        <v>20</v>
      </c>
      <c r="Z5" s="8">
        <v>4</v>
      </c>
      <c r="AA5" s="95">
        <f>'計画書② (取組）'!C42</f>
        <v>0</v>
      </c>
      <c r="AB5" s="8" t="str">
        <f t="shared" si="2"/>
        <v/>
      </c>
      <c r="AC5" s="8" t="e">
        <f t="shared" si="3"/>
        <v>#VALUE!</v>
      </c>
      <c r="AM5" s="9" t="s">
        <v>4072</v>
      </c>
      <c r="AN5" s="9" t="s">
        <v>4365</v>
      </c>
      <c r="AO5" s="8">
        <f t="shared" si="4"/>
        <v>5</v>
      </c>
      <c r="AP5" s="8" t="str">
        <f t="shared" ca="1" si="5"/>
        <v>エネルギー使用量の見える化（分計による課題発見）</v>
      </c>
      <c r="AS5" s="8">
        <v>4</v>
      </c>
      <c r="AT5" s="8" t="str">
        <f t="shared" si="6"/>
        <v/>
      </c>
      <c r="AU5" s="8" t="str">
        <f t="shared" si="7"/>
        <v/>
      </c>
      <c r="AV5" s="8" t="str">
        <f t="shared" si="8"/>
        <v/>
      </c>
      <c r="AZ5" s="8">
        <v>4</v>
      </c>
      <c r="BA5" s="96" t="str">
        <f>IF('計画書② (取組）'!C66="","",'計画書② (取組）'!C66&amp;"‡"&amp;'計画書② (取組）'!D66)</f>
        <v/>
      </c>
      <c r="BB5" s="8" t="str">
        <f t="shared" si="9"/>
        <v/>
      </c>
      <c r="BC5" s="8" t="e">
        <f t="shared" si="10"/>
        <v>#VALUE!</v>
      </c>
      <c r="BD5" s="8">
        <f>'計画書② (取組）'!D66</f>
        <v>0</v>
      </c>
      <c r="BE5" s="8" t="e">
        <f t="shared" si="0"/>
        <v>#VALUE!</v>
      </c>
      <c r="BI5" s="8">
        <v>4</v>
      </c>
      <c r="BJ5" s="8" t="str">
        <f t="shared" si="1"/>
        <v/>
      </c>
      <c r="BK5" s="8" t="str">
        <f t="shared" si="11"/>
        <v/>
      </c>
      <c r="BM5" s="9" t="s">
        <v>4389</v>
      </c>
      <c r="BO5" s="8">
        <f t="shared" si="12"/>
        <v>5</v>
      </c>
      <c r="BP5" s="8" t="str">
        <f t="shared" ca="1" si="13"/>
        <v>環境教育・学習の実施（従業員以外を対象にしたもの）</v>
      </c>
      <c r="BS5" s="8">
        <v>4</v>
      </c>
      <c r="BT5" s="8" t="str">
        <f t="shared" si="14"/>
        <v/>
      </c>
      <c r="BU5" s="8" t="str">
        <f t="shared" si="15"/>
        <v/>
      </c>
      <c r="BV5" s="8" t="str">
        <f t="shared" si="16"/>
        <v/>
      </c>
      <c r="BW5" s="8" t="str">
        <f t="shared" si="17"/>
        <v/>
      </c>
      <c r="BX5" s="8" t="str">
        <f t="shared" si="18"/>
        <v/>
      </c>
      <c r="BY5" s="8" t="str">
        <f t="shared" si="19"/>
        <v/>
      </c>
      <c r="CA5" s="97" t="str">
        <f>IF('報告書② 第3年度(取組）'!C73="","",'報告書② 第3年度(取組）'!H73&amp;"")</f>
        <v/>
      </c>
      <c r="CB5" s="98" t="str">
        <f>IF('報告書② 第2年度(取組）'!C73="","",'報告書② 第2年度(取組）'!G73&amp;"")</f>
        <v/>
      </c>
      <c r="CC5" s="99" t="str">
        <f>IF('報告書② 第1年度(取組）'!C73="","",'報告書② 第1年度(取組）'!F73&amp;"")</f>
        <v/>
      </c>
      <c r="CD5" s="95" t="str">
        <f>IF('計画書② (取組）'!C66="","",'計画書② (取組）'!E66&amp;"")</f>
        <v/>
      </c>
    </row>
    <row r="6" spans="1:82">
      <c r="A6" s="100" t="s">
        <v>4044</v>
      </c>
      <c r="B6" s="100" t="s">
        <v>4339</v>
      </c>
      <c r="D6" s="100" t="s">
        <v>4072</v>
      </c>
      <c r="E6" s="100" t="s">
        <v>4365</v>
      </c>
      <c r="G6" s="8" t="s">
        <v>4389</v>
      </c>
      <c r="H6" s="8">
        <f t="shared" si="20"/>
        <v>25</v>
      </c>
      <c r="J6" s="8">
        <f t="shared" si="21"/>
        <v>24</v>
      </c>
      <c r="Z6" s="8">
        <v>5</v>
      </c>
      <c r="AA6" s="95">
        <f>'計画書② (取組）'!C43</f>
        <v>0</v>
      </c>
      <c r="AB6" s="8" t="str">
        <f t="shared" si="2"/>
        <v/>
      </c>
      <c r="AC6" s="8" t="e">
        <f t="shared" si="3"/>
        <v>#VALUE!</v>
      </c>
      <c r="AM6" s="9" t="s">
        <v>4073</v>
      </c>
      <c r="AN6" s="9" t="s">
        <v>4366</v>
      </c>
      <c r="AO6" s="8">
        <f t="shared" si="4"/>
        <v>6</v>
      </c>
      <c r="AP6" s="8" t="str">
        <f t="shared" ca="1" si="5"/>
        <v>ボイラーの運転効率管理</v>
      </c>
      <c r="AS6" s="8">
        <v>5</v>
      </c>
      <c r="AT6" s="8" t="str">
        <f t="shared" si="6"/>
        <v/>
      </c>
      <c r="AU6" s="8" t="str">
        <f t="shared" si="7"/>
        <v/>
      </c>
      <c r="AV6" s="8" t="str">
        <f t="shared" si="8"/>
        <v/>
      </c>
      <c r="AZ6" s="8">
        <v>5</v>
      </c>
      <c r="BA6" s="96" t="str">
        <f>IF('計画書② (取組）'!C67="","",'計画書② (取組）'!C67&amp;"‡"&amp;'計画書② (取組）'!D67)</f>
        <v/>
      </c>
      <c r="BB6" s="8" t="str">
        <f t="shared" si="9"/>
        <v/>
      </c>
      <c r="BC6" s="8" t="e">
        <f t="shared" si="10"/>
        <v>#VALUE!</v>
      </c>
      <c r="BD6" s="8">
        <f>'計画書② (取組）'!D67</f>
        <v>0</v>
      </c>
      <c r="BE6" s="8" t="e">
        <f t="shared" si="0"/>
        <v>#VALUE!</v>
      </c>
      <c r="BI6" s="8">
        <v>5</v>
      </c>
      <c r="BJ6" s="8" t="str">
        <f t="shared" si="1"/>
        <v/>
      </c>
      <c r="BK6" s="8" t="str">
        <f t="shared" si="11"/>
        <v/>
      </c>
      <c r="BM6" s="9" t="s">
        <v>4196</v>
      </c>
      <c r="BO6" s="8">
        <f t="shared" si="12"/>
        <v>6</v>
      </c>
      <c r="BP6" s="8" t="str">
        <f t="shared" ca="1" si="13"/>
        <v>廃棄物削減対策の実施</v>
      </c>
      <c r="BS6" s="8">
        <v>5</v>
      </c>
      <c r="BT6" s="8" t="str">
        <f t="shared" si="14"/>
        <v/>
      </c>
      <c r="BU6" s="8" t="str">
        <f t="shared" si="15"/>
        <v/>
      </c>
      <c r="BV6" s="8" t="str">
        <f t="shared" si="16"/>
        <v/>
      </c>
      <c r="BW6" s="8" t="str">
        <f t="shared" si="17"/>
        <v/>
      </c>
      <c r="BX6" s="8" t="str">
        <f t="shared" si="18"/>
        <v/>
      </c>
      <c r="BY6" s="8" t="str">
        <f t="shared" si="19"/>
        <v/>
      </c>
      <c r="CA6" s="97" t="str">
        <f>IF('報告書② 第3年度(取組）'!C74="","",'報告書② 第3年度(取組）'!H74&amp;"")</f>
        <v/>
      </c>
      <c r="CB6" s="98" t="str">
        <f>IF('報告書② 第2年度(取組）'!C74="","",'報告書② 第2年度(取組）'!G74&amp;"")</f>
        <v/>
      </c>
      <c r="CC6" s="99" t="str">
        <f>IF('報告書② 第1年度(取組）'!C74="","",'報告書② 第1年度(取組）'!F74&amp;"")</f>
        <v/>
      </c>
      <c r="CD6" s="95" t="str">
        <f>IF('計画書② (取組）'!C67="","",'計画書② (取組）'!E67&amp;"")</f>
        <v/>
      </c>
    </row>
    <row r="7" spans="1:82">
      <c r="A7" s="100" t="s">
        <v>4045</v>
      </c>
      <c r="B7" s="100" t="s">
        <v>4340</v>
      </c>
      <c r="D7" s="100" t="s">
        <v>4073</v>
      </c>
      <c r="E7" s="100" t="s">
        <v>4366</v>
      </c>
      <c r="G7" s="8" t="s">
        <v>4196</v>
      </c>
      <c r="H7" s="8">
        <f t="shared" si="20"/>
        <v>10</v>
      </c>
      <c r="J7" s="8">
        <f t="shared" si="21"/>
        <v>11</v>
      </c>
      <c r="Z7" s="8">
        <v>6</v>
      </c>
      <c r="AA7" s="95">
        <f>'計画書② (取組）'!C44</f>
        <v>0</v>
      </c>
      <c r="AB7" s="8" t="str">
        <f t="shared" si="2"/>
        <v/>
      </c>
      <c r="AC7" s="8" t="e">
        <f t="shared" si="3"/>
        <v>#VALUE!</v>
      </c>
      <c r="AM7" s="9" t="s">
        <v>113</v>
      </c>
      <c r="AN7" s="9" t="s">
        <v>4367</v>
      </c>
      <c r="AO7" s="8">
        <f t="shared" si="4"/>
        <v>7</v>
      </c>
      <c r="AP7" s="8" t="str">
        <f t="shared" ca="1" si="5"/>
        <v>ボイラーの給水及びブローの管理</v>
      </c>
      <c r="AS7" s="8">
        <v>6</v>
      </c>
      <c r="AT7" s="8" t="str">
        <f t="shared" si="6"/>
        <v/>
      </c>
      <c r="AU7" s="8" t="str">
        <f t="shared" si="7"/>
        <v/>
      </c>
      <c r="AV7" s="8" t="str">
        <f t="shared" si="8"/>
        <v/>
      </c>
      <c r="AZ7" s="8">
        <v>6</v>
      </c>
      <c r="BA7" s="96" t="str">
        <f>IF('計画書② (取組）'!C68="","",'計画書② (取組）'!C68&amp;"‡"&amp;'計画書② (取組）'!D68)</f>
        <v/>
      </c>
      <c r="BB7" s="8" t="str">
        <f t="shared" si="9"/>
        <v/>
      </c>
      <c r="BC7" s="8" t="e">
        <f t="shared" si="10"/>
        <v>#VALUE!</v>
      </c>
      <c r="BD7" s="8">
        <f>'計画書② (取組）'!D68</f>
        <v>0</v>
      </c>
      <c r="BE7" s="8" t="e">
        <f t="shared" si="0"/>
        <v>#VALUE!</v>
      </c>
      <c r="BI7" s="8">
        <v>6</v>
      </c>
      <c r="BJ7" s="8" t="str">
        <f t="shared" si="1"/>
        <v/>
      </c>
      <c r="BK7" s="8" t="str">
        <f t="shared" si="11"/>
        <v/>
      </c>
      <c r="BM7" s="9" t="s">
        <v>4197</v>
      </c>
      <c r="BO7" s="8">
        <f t="shared" si="12"/>
        <v>7</v>
      </c>
      <c r="BP7" s="8" t="str">
        <f t="shared" ca="1" si="13"/>
        <v>森林の保全・緑化の推進</v>
      </c>
      <c r="BS7" s="8">
        <v>6</v>
      </c>
      <c r="BT7" s="8" t="str">
        <f t="shared" si="14"/>
        <v/>
      </c>
      <c r="BU7" s="8" t="str">
        <f t="shared" si="15"/>
        <v/>
      </c>
      <c r="BV7" s="8" t="str">
        <f t="shared" si="16"/>
        <v/>
      </c>
      <c r="BW7" s="8" t="str">
        <f t="shared" si="17"/>
        <v/>
      </c>
      <c r="BX7" s="8" t="str">
        <f t="shared" si="18"/>
        <v/>
      </c>
      <c r="BY7" s="8" t="str">
        <f t="shared" si="19"/>
        <v/>
      </c>
      <c r="CA7" s="97" t="str">
        <f>IF('報告書② 第3年度(取組）'!C75="","",'報告書② 第3年度(取組）'!H75&amp;"")</f>
        <v/>
      </c>
      <c r="CB7" s="98" t="str">
        <f>IF('報告書② 第2年度(取組）'!C75="","",'報告書② 第2年度(取組）'!G75&amp;"")</f>
        <v/>
      </c>
      <c r="CC7" s="99" t="str">
        <f>IF('報告書② 第1年度(取組）'!C75="","",'報告書② 第1年度(取組）'!F75&amp;"")</f>
        <v/>
      </c>
      <c r="CD7" s="95" t="str">
        <f>IF('計画書② (取組）'!C68="","",'計画書② (取組）'!E68&amp;"")</f>
        <v/>
      </c>
    </row>
    <row r="8" spans="1:82">
      <c r="A8" s="100" t="s">
        <v>4046</v>
      </c>
      <c r="B8" s="100" t="s">
        <v>4341</v>
      </c>
      <c r="D8" s="100" t="s">
        <v>113</v>
      </c>
      <c r="E8" s="100" t="s">
        <v>4367</v>
      </c>
      <c r="G8" s="8" t="s">
        <v>4197</v>
      </c>
      <c r="H8" s="8">
        <f t="shared" si="20"/>
        <v>11</v>
      </c>
      <c r="J8" s="8">
        <f t="shared" si="21"/>
        <v>15</v>
      </c>
      <c r="Z8" s="8">
        <v>7</v>
      </c>
      <c r="AA8" s="95">
        <f>'計画書② (取組）'!C45</f>
        <v>0</v>
      </c>
      <c r="AB8" s="8" t="str">
        <f t="shared" si="2"/>
        <v/>
      </c>
      <c r="AC8" s="8" t="e">
        <f t="shared" si="3"/>
        <v>#VALUE!</v>
      </c>
      <c r="AM8" s="9" t="s">
        <v>4074</v>
      </c>
      <c r="AN8" s="9" t="s">
        <v>4368</v>
      </c>
      <c r="AO8" s="8">
        <f t="shared" si="4"/>
        <v>8</v>
      </c>
      <c r="AP8" s="8" t="str">
        <f t="shared" ca="1" si="5"/>
        <v>蒸気トラップの管理</v>
      </c>
      <c r="AS8" s="8">
        <v>7</v>
      </c>
      <c r="AT8" s="8" t="str">
        <f t="shared" si="6"/>
        <v/>
      </c>
      <c r="AU8" s="8" t="str">
        <f t="shared" si="7"/>
        <v/>
      </c>
      <c r="AV8" s="8" t="str">
        <f t="shared" si="8"/>
        <v/>
      </c>
      <c r="AZ8" s="8">
        <v>7</v>
      </c>
      <c r="BA8" s="96" t="str">
        <f>IF('計画書② (取組）'!C69="","",'計画書② (取組）'!C69&amp;"‡"&amp;'計画書② (取組）'!D69)</f>
        <v/>
      </c>
      <c r="BB8" s="8" t="str">
        <f t="shared" si="9"/>
        <v/>
      </c>
      <c r="BC8" s="8" t="e">
        <f t="shared" si="10"/>
        <v>#VALUE!</v>
      </c>
      <c r="BD8" s="8">
        <f>'計画書② (取組）'!D69</f>
        <v>0</v>
      </c>
      <c r="BE8" s="8" t="e">
        <f t="shared" si="0"/>
        <v>#VALUE!</v>
      </c>
      <c r="BI8" s="8">
        <v>7</v>
      </c>
      <c r="BJ8" s="8" t="str">
        <f t="shared" si="1"/>
        <v/>
      </c>
      <c r="BK8" s="8" t="str">
        <f t="shared" si="11"/>
        <v/>
      </c>
      <c r="BM8" s="9" t="s">
        <v>4198</v>
      </c>
      <c r="BO8" s="8">
        <f t="shared" si="12"/>
        <v>8</v>
      </c>
      <c r="BP8" s="8" t="str">
        <f t="shared" ca="1" si="13"/>
        <v>グリーン調達の実施</v>
      </c>
      <c r="BS8" s="8">
        <v>7</v>
      </c>
      <c r="BT8" s="8" t="str">
        <f t="shared" si="14"/>
        <v/>
      </c>
      <c r="BU8" s="8" t="str">
        <f t="shared" si="15"/>
        <v/>
      </c>
      <c r="BV8" s="8" t="str">
        <f t="shared" si="16"/>
        <v/>
      </c>
      <c r="BW8" s="8" t="str">
        <f t="shared" si="17"/>
        <v/>
      </c>
      <c r="BX8" s="8" t="str">
        <f t="shared" si="18"/>
        <v/>
      </c>
      <c r="BY8" s="8" t="str">
        <f t="shared" si="19"/>
        <v/>
      </c>
      <c r="CA8" s="97" t="str">
        <f>IF('報告書② 第3年度(取組）'!C76="","",'報告書② 第3年度(取組）'!H76&amp;"")</f>
        <v/>
      </c>
      <c r="CB8" s="98" t="str">
        <f>IF('報告書② 第2年度(取組）'!C76="","",'報告書② 第2年度(取組）'!G76&amp;"")</f>
        <v/>
      </c>
      <c r="CC8" s="99" t="str">
        <f>IF('報告書② 第1年度(取組）'!C76="","",'報告書② 第1年度(取組）'!F76&amp;"")</f>
        <v/>
      </c>
      <c r="CD8" s="95" t="str">
        <f>IF('計画書② (取組）'!C69="","",'計画書② (取組）'!E69&amp;"")</f>
        <v/>
      </c>
    </row>
    <row r="9" spans="1:82">
      <c r="A9" s="100" t="s">
        <v>4047</v>
      </c>
      <c r="B9" s="100" t="s">
        <v>4342</v>
      </c>
      <c r="D9" s="100" t="s">
        <v>4074</v>
      </c>
      <c r="E9" s="100" t="s">
        <v>4368</v>
      </c>
      <c r="G9" s="8" t="s">
        <v>4198</v>
      </c>
      <c r="H9" s="8">
        <f t="shared" si="20"/>
        <v>9</v>
      </c>
      <c r="J9" s="8">
        <f t="shared" si="21"/>
        <v>9</v>
      </c>
      <c r="Z9" s="8">
        <v>8</v>
      </c>
      <c r="AA9" s="95">
        <f>'計画書② (取組）'!C46</f>
        <v>0</v>
      </c>
      <c r="AB9" s="8" t="str">
        <f t="shared" si="2"/>
        <v/>
      </c>
      <c r="AC9" s="8" t="e">
        <f t="shared" si="3"/>
        <v>#VALUE!</v>
      </c>
      <c r="AM9" s="9" t="s">
        <v>4075</v>
      </c>
      <c r="AN9" s="9" t="s">
        <v>4369</v>
      </c>
      <c r="AO9" s="8">
        <f t="shared" si="4"/>
        <v>9</v>
      </c>
      <c r="AP9" s="8" t="str">
        <f t="shared" ca="1" si="5"/>
        <v>工業炉の断熱性能維持管理</v>
      </c>
      <c r="AS9" s="8">
        <v>8</v>
      </c>
      <c r="AT9" s="8" t="str">
        <f t="shared" si="6"/>
        <v/>
      </c>
      <c r="AU9" s="8" t="str">
        <f t="shared" si="7"/>
        <v/>
      </c>
      <c r="AV9" s="8" t="str">
        <f t="shared" si="8"/>
        <v/>
      </c>
      <c r="AZ9" s="8">
        <v>8</v>
      </c>
      <c r="BA9" s="96" t="str">
        <f>IF('計画書② (取組）'!C70="","",'計画書② (取組）'!C70&amp;"‡"&amp;'計画書② (取組）'!D70)</f>
        <v/>
      </c>
      <c r="BB9" s="8" t="str">
        <f t="shared" si="9"/>
        <v/>
      </c>
      <c r="BC9" s="8" t="e">
        <f t="shared" si="10"/>
        <v>#VALUE!</v>
      </c>
      <c r="BD9" s="8">
        <f>'計画書② (取組）'!D70</f>
        <v>0</v>
      </c>
      <c r="BE9" s="8" t="e">
        <f t="shared" si="0"/>
        <v>#VALUE!</v>
      </c>
      <c r="BI9" s="8">
        <v>8</v>
      </c>
      <c r="BJ9" s="8" t="str">
        <f t="shared" si="1"/>
        <v/>
      </c>
      <c r="BK9" s="8" t="str">
        <f t="shared" si="11"/>
        <v/>
      </c>
      <c r="BM9" s="9" t="s">
        <v>4199</v>
      </c>
      <c r="BO9" s="8">
        <f t="shared" si="12"/>
        <v>9</v>
      </c>
      <c r="BP9" s="8" t="str">
        <f t="shared" ca="1" si="13"/>
        <v>カーボンオフセットの実施</v>
      </c>
      <c r="BS9" s="8">
        <v>8</v>
      </c>
      <c r="BT9" s="8" t="str">
        <f t="shared" si="14"/>
        <v/>
      </c>
      <c r="BU9" s="8" t="str">
        <f t="shared" si="15"/>
        <v/>
      </c>
      <c r="BV9" s="8" t="str">
        <f t="shared" si="16"/>
        <v/>
      </c>
      <c r="BW9" s="8" t="str">
        <f t="shared" si="17"/>
        <v/>
      </c>
      <c r="BX9" s="8" t="str">
        <f t="shared" si="18"/>
        <v/>
      </c>
      <c r="BY9" s="8" t="str">
        <f t="shared" si="19"/>
        <v/>
      </c>
      <c r="CA9" s="97" t="str">
        <f>IF('報告書② 第3年度(取組）'!C77="","",'報告書② 第3年度(取組）'!H77&amp;"")</f>
        <v/>
      </c>
      <c r="CB9" s="98" t="str">
        <f>IF('報告書② 第2年度(取組）'!C77="","",'報告書② 第2年度(取組）'!G77&amp;"")</f>
        <v/>
      </c>
      <c r="CC9" s="99" t="str">
        <f>IF('報告書② 第1年度(取組）'!C77="","",'報告書② 第1年度(取組）'!F77&amp;"")</f>
        <v/>
      </c>
      <c r="CD9" s="95" t="str">
        <f>IF('計画書② (取組）'!C70="","",'計画書② (取組）'!E70&amp;"")</f>
        <v/>
      </c>
    </row>
    <row r="10" spans="1:82">
      <c r="A10" s="100" t="s">
        <v>4048</v>
      </c>
      <c r="B10" s="100" t="s">
        <v>4343</v>
      </c>
      <c r="D10" s="100" t="s">
        <v>4075</v>
      </c>
      <c r="E10" s="100" t="s">
        <v>4369</v>
      </c>
      <c r="G10" s="8" t="s">
        <v>4199</v>
      </c>
      <c r="H10" s="8">
        <f t="shared" si="20"/>
        <v>12</v>
      </c>
      <c r="J10" s="8">
        <f t="shared" si="21"/>
        <v>12</v>
      </c>
      <c r="Z10" s="8">
        <v>9</v>
      </c>
      <c r="AA10" s="95">
        <f>'計画書② (取組）'!C47</f>
        <v>0</v>
      </c>
      <c r="AB10" s="8" t="str">
        <f t="shared" si="2"/>
        <v/>
      </c>
      <c r="AC10" s="8" t="e">
        <f t="shared" si="3"/>
        <v>#VALUE!</v>
      </c>
      <c r="AM10" s="9" t="s">
        <v>4076</v>
      </c>
      <c r="AN10" s="9" t="s">
        <v>4370</v>
      </c>
      <c r="AO10" s="8">
        <f t="shared" si="4"/>
        <v>10</v>
      </c>
      <c r="AP10" s="8" t="str">
        <f t="shared" ca="1" si="5"/>
        <v>再熱除湿運転回避</v>
      </c>
      <c r="AS10" s="8">
        <v>9</v>
      </c>
      <c r="AT10" s="8" t="str">
        <f t="shared" si="6"/>
        <v/>
      </c>
      <c r="AU10" s="8" t="str">
        <f t="shared" si="7"/>
        <v/>
      </c>
      <c r="AV10" s="8" t="str">
        <f t="shared" si="8"/>
        <v/>
      </c>
      <c r="AZ10" s="8">
        <v>9</v>
      </c>
      <c r="BA10" s="96" t="str">
        <f>IF('計画書② (取組）'!C71="","",'計画書② (取組）'!C71&amp;"‡"&amp;'計画書② (取組）'!D71)</f>
        <v/>
      </c>
      <c r="BB10" s="8" t="str">
        <f t="shared" si="9"/>
        <v/>
      </c>
      <c r="BC10" s="8" t="e">
        <f t="shared" si="10"/>
        <v>#VALUE!</v>
      </c>
      <c r="BD10" s="8">
        <f>'計画書② (取組）'!D71</f>
        <v>0</v>
      </c>
      <c r="BE10" s="8" t="e">
        <f t="shared" si="0"/>
        <v>#VALUE!</v>
      </c>
      <c r="BI10" s="8">
        <v>9</v>
      </c>
      <c r="BJ10" s="8" t="str">
        <f t="shared" si="1"/>
        <v/>
      </c>
      <c r="BK10" s="8" t="str">
        <f t="shared" si="11"/>
        <v/>
      </c>
      <c r="BM10" s="9" t="s">
        <v>4200</v>
      </c>
      <c r="BO10" s="8">
        <f t="shared" si="12"/>
        <v>10</v>
      </c>
      <c r="BP10" s="8" t="str">
        <f t="shared" ca="1" si="13"/>
        <v>ヒートアイランド対策の実施</v>
      </c>
      <c r="BS10" s="8">
        <v>9</v>
      </c>
      <c r="BT10" s="8" t="str">
        <f t="shared" si="14"/>
        <v/>
      </c>
      <c r="BU10" s="8" t="str">
        <f t="shared" si="15"/>
        <v/>
      </c>
      <c r="BV10" s="8" t="str">
        <f t="shared" si="16"/>
        <v/>
      </c>
      <c r="BW10" s="8" t="str">
        <f t="shared" si="17"/>
        <v/>
      </c>
      <c r="BX10" s="8" t="str">
        <f t="shared" si="18"/>
        <v/>
      </c>
      <c r="BY10" s="8" t="str">
        <f t="shared" si="19"/>
        <v/>
      </c>
      <c r="CA10" s="97" t="str">
        <f>IF('報告書② 第3年度(取組）'!C78="","",'報告書② 第3年度(取組）'!H78&amp;"")</f>
        <v/>
      </c>
      <c r="CB10" s="98" t="str">
        <f>IF('報告書② 第2年度(取組）'!C78="","",'報告書② 第2年度(取組）'!G78&amp;"")</f>
        <v/>
      </c>
      <c r="CC10" s="99" t="str">
        <f>IF('報告書② 第1年度(取組）'!C78="","",'報告書② 第1年度(取組）'!F78&amp;"")</f>
        <v/>
      </c>
      <c r="CD10" s="95" t="str">
        <f>IF('計画書② (取組）'!C71="","",'計画書② (取組）'!E71&amp;"")</f>
        <v/>
      </c>
    </row>
    <row r="11" spans="1:82">
      <c r="A11" s="100" t="s">
        <v>4049</v>
      </c>
      <c r="B11" s="100" t="s">
        <v>4344</v>
      </c>
      <c r="D11" s="100" t="s">
        <v>4076</v>
      </c>
      <c r="E11" s="100" t="s">
        <v>4370</v>
      </c>
      <c r="G11" s="8" t="s">
        <v>4200</v>
      </c>
      <c r="H11" s="8">
        <f t="shared" si="20"/>
        <v>13</v>
      </c>
      <c r="J11" s="8">
        <f t="shared" si="21"/>
        <v>8</v>
      </c>
      <c r="Z11" s="8">
        <v>10</v>
      </c>
      <c r="AA11" s="95">
        <f>'計画書② (取組）'!C48</f>
        <v>0</v>
      </c>
      <c r="AB11" s="8" t="str">
        <f t="shared" si="2"/>
        <v/>
      </c>
      <c r="AC11" s="8" t="e">
        <f t="shared" si="3"/>
        <v>#VALUE!</v>
      </c>
      <c r="AM11" s="9" t="s">
        <v>4077</v>
      </c>
      <c r="AN11" s="9" t="s">
        <v>4371</v>
      </c>
      <c r="AO11" s="8">
        <f t="shared" si="4"/>
        <v>11</v>
      </c>
      <c r="AP11" s="8" t="str">
        <f t="shared" ca="1" si="5"/>
        <v>外気冷房</v>
      </c>
      <c r="AS11" s="8">
        <v>10</v>
      </c>
      <c r="AT11" s="8" t="str">
        <f t="shared" si="6"/>
        <v/>
      </c>
      <c r="AU11" s="8" t="str">
        <f t="shared" si="7"/>
        <v/>
      </c>
      <c r="AV11" s="8" t="str">
        <f t="shared" si="8"/>
        <v/>
      </c>
      <c r="AZ11" s="8">
        <v>10</v>
      </c>
      <c r="BA11" s="96" t="str">
        <f>IF('計画書② (取組）'!C72="","",'計画書② (取組）'!C72&amp;"‡"&amp;'計画書② (取組）'!D72)</f>
        <v/>
      </c>
      <c r="BB11" s="8" t="str">
        <f t="shared" si="9"/>
        <v/>
      </c>
      <c r="BC11" s="8" t="e">
        <f t="shared" si="10"/>
        <v>#VALUE!</v>
      </c>
      <c r="BD11" s="8">
        <f>'計画書② (取組）'!D72</f>
        <v>0</v>
      </c>
      <c r="BE11" s="8" t="e">
        <f t="shared" si="0"/>
        <v>#VALUE!</v>
      </c>
      <c r="BI11" s="8">
        <v>10</v>
      </c>
      <c r="BJ11" s="8" t="str">
        <f t="shared" si="1"/>
        <v/>
      </c>
      <c r="BK11" s="8" t="str">
        <f t="shared" si="11"/>
        <v/>
      </c>
      <c r="BM11" s="9" t="s">
        <v>4201</v>
      </c>
      <c r="BO11" s="8">
        <f t="shared" si="12"/>
        <v>11</v>
      </c>
      <c r="BP11" s="8" t="str">
        <f t="shared" ca="1" si="13"/>
        <v>計画期間以前の温室効果ガスの大幅な削減</v>
      </c>
      <c r="BS11" s="8">
        <v>10</v>
      </c>
      <c r="BT11" s="8" t="str">
        <f t="shared" si="14"/>
        <v/>
      </c>
      <c r="BU11" s="8" t="str">
        <f t="shared" si="15"/>
        <v/>
      </c>
      <c r="BV11" s="8" t="str">
        <f t="shared" si="16"/>
        <v/>
      </c>
      <c r="BW11" s="8" t="str">
        <f t="shared" si="17"/>
        <v/>
      </c>
      <c r="BX11" s="8" t="str">
        <f t="shared" si="18"/>
        <v/>
      </c>
      <c r="BY11" s="8" t="str">
        <f t="shared" si="19"/>
        <v/>
      </c>
      <c r="CA11" s="97" t="str">
        <f>IF('報告書② 第3年度(取組）'!C79="","",'報告書② 第3年度(取組）'!H79&amp;"")</f>
        <v/>
      </c>
      <c r="CB11" s="98" t="str">
        <f>IF('報告書② 第2年度(取組）'!C79="","",'報告書② 第2年度(取組）'!G79&amp;"")</f>
        <v/>
      </c>
      <c r="CC11" s="99" t="str">
        <f>IF('報告書② 第1年度(取組）'!C79="","",'報告書② 第1年度(取組）'!F79&amp;"")</f>
        <v/>
      </c>
      <c r="CD11" s="95" t="str">
        <f>IF('計画書② (取組）'!C72="","",'計画書② (取組）'!E72&amp;"")</f>
        <v/>
      </c>
    </row>
    <row r="12" spans="1:82">
      <c r="A12" s="100" t="s">
        <v>4050</v>
      </c>
      <c r="B12" s="100" t="s">
        <v>4345</v>
      </c>
      <c r="D12" s="100" t="s">
        <v>4077</v>
      </c>
      <c r="E12" s="100" t="s">
        <v>4371</v>
      </c>
      <c r="G12" s="8" t="s">
        <v>4201</v>
      </c>
      <c r="H12" s="8">
        <f t="shared" si="20"/>
        <v>19</v>
      </c>
      <c r="J12" s="8">
        <f t="shared" si="21"/>
        <v>4</v>
      </c>
      <c r="Z12" s="8">
        <v>11</v>
      </c>
      <c r="AA12" s="95">
        <f>'計画書② (取組）'!C49</f>
        <v>0</v>
      </c>
      <c r="AB12" s="8" t="str">
        <f t="shared" si="2"/>
        <v/>
      </c>
      <c r="AC12" s="8" t="e">
        <f t="shared" si="3"/>
        <v>#VALUE!</v>
      </c>
      <c r="AM12" s="9" t="s">
        <v>4078</v>
      </c>
      <c r="AN12" s="9" t="s">
        <v>4372</v>
      </c>
      <c r="AO12" s="8">
        <f t="shared" si="4"/>
        <v>12</v>
      </c>
      <c r="AP12" s="8" t="str">
        <f t="shared" ca="1" si="5"/>
        <v>熱源設備 冷却水温度の適正管理</v>
      </c>
      <c r="AS12" s="8">
        <v>11</v>
      </c>
      <c r="AT12" s="8" t="str">
        <f t="shared" si="6"/>
        <v/>
      </c>
      <c r="AU12" s="8" t="str">
        <f t="shared" si="7"/>
        <v/>
      </c>
      <c r="AV12" s="8" t="str">
        <f t="shared" si="8"/>
        <v/>
      </c>
      <c r="AZ12" s="8">
        <v>11</v>
      </c>
      <c r="BA12" s="99" t="str">
        <f>IF('報告書② 第1年度(取組）'!C121="","",'報告書② 第1年度(取組）'!C121&amp;"‡"&amp;'報告書② 第1年度(取組）'!D121)</f>
        <v/>
      </c>
      <c r="BB12" s="8" t="str">
        <f t="shared" si="9"/>
        <v/>
      </c>
      <c r="BC12" s="8" t="e">
        <f t="shared" si="10"/>
        <v>#VALUE!</v>
      </c>
      <c r="BD12" s="8">
        <f>'報告書② 第1年度(取組）'!D121</f>
        <v>0</v>
      </c>
      <c r="BE12" s="8" t="e">
        <f t="shared" si="0"/>
        <v>#VALUE!</v>
      </c>
      <c r="BI12" s="8">
        <v>11</v>
      </c>
      <c r="BJ12" s="8" t="str">
        <f t="shared" si="1"/>
        <v/>
      </c>
      <c r="BK12" s="8" t="str">
        <f t="shared" si="11"/>
        <v/>
      </c>
      <c r="BM12" s="9" t="s">
        <v>5011</v>
      </c>
      <c r="BO12" s="8">
        <f t="shared" si="12"/>
        <v>12</v>
      </c>
      <c r="BP12" s="8" t="str">
        <f t="shared" ca="1" si="13"/>
        <v>ＤＲ（デマンドレスポンス）の実施</v>
      </c>
      <c r="BS12" s="8">
        <v>11</v>
      </c>
      <c r="BT12" s="8" t="str">
        <f t="shared" si="14"/>
        <v/>
      </c>
      <c r="BU12" s="8" t="str">
        <f t="shared" si="15"/>
        <v/>
      </c>
      <c r="BV12" s="8" t="str">
        <f t="shared" si="16"/>
        <v/>
      </c>
      <c r="BW12" s="8" t="str">
        <f t="shared" si="17"/>
        <v/>
      </c>
      <c r="BX12" s="8" t="str">
        <f t="shared" si="18"/>
        <v/>
      </c>
      <c r="BY12" s="8" t="str">
        <f t="shared" si="19"/>
        <v/>
      </c>
    </row>
    <row r="13" spans="1:82">
      <c r="A13" s="100" t="s">
        <v>4051</v>
      </c>
      <c r="B13" s="100" t="s">
        <v>4346</v>
      </c>
      <c r="D13" s="100" t="s">
        <v>4078</v>
      </c>
      <c r="E13" s="100" t="s">
        <v>4372</v>
      </c>
      <c r="G13" s="101" t="s">
        <v>5011</v>
      </c>
      <c r="H13" s="8">
        <f t="shared" si="20"/>
        <v>16</v>
      </c>
      <c r="J13" s="8">
        <f t="shared" si="21"/>
        <v>15</v>
      </c>
      <c r="Z13" s="8">
        <v>12</v>
      </c>
      <c r="AA13" s="95">
        <f>'計画書② (取組）'!C50</f>
        <v>0</v>
      </c>
      <c r="AB13" s="8" t="str">
        <f t="shared" si="2"/>
        <v/>
      </c>
      <c r="AC13" s="8" t="e">
        <f t="shared" si="3"/>
        <v>#VALUE!</v>
      </c>
      <c r="AM13" s="9" t="s">
        <v>4079</v>
      </c>
      <c r="AN13" s="9" t="s">
        <v>4373</v>
      </c>
      <c r="AO13" s="8">
        <f t="shared" si="4"/>
        <v>13</v>
      </c>
      <c r="AP13" s="8" t="str">
        <f t="shared" ca="1" si="5"/>
        <v>熱源設備 冷却水の水質管理</v>
      </c>
      <c r="AS13" s="8">
        <v>12</v>
      </c>
      <c r="AT13" s="8" t="str">
        <f t="shared" si="6"/>
        <v/>
      </c>
      <c r="AU13" s="8" t="str">
        <f t="shared" si="7"/>
        <v/>
      </c>
      <c r="AV13" s="8" t="str">
        <f t="shared" si="8"/>
        <v/>
      </c>
      <c r="AZ13" s="8">
        <v>12</v>
      </c>
      <c r="BA13" s="99" t="str">
        <f>IF('報告書② 第1年度(取組）'!C122="","",'報告書② 第1年度(取組）'!C122&amp;"‡"&amp;'報告書② 第1年度(取組）'!D122)</f>
        <v/>
      </c>
      <c r="BB13" s="8" t="str">
        <f t="shared" si="9"/>
        <v/>
      </c>
      <c r="BC13" s="8" t="e">
        <f t="shared" si="10"/>
        <v>#VALUE!</v>
      </c>
      <c r="BD13" s="8">
        <f>'報告書② 第1年度(取組）'!D122</f>
        <v>0</v>
      </c>
      <c r="BE13" s="8" t="e">
        <f t="shared" si="0"/>
        <v>#VALUE!</v>
      </c>
      <c r="BI13" s="8">
        <v>12</v>
      </c>
      <c r="BJ13" s="8" t="str">
        <f t="shared" si="1"/>
        <v/>
      </c>
      <c r="BK13" s="8" t="str">
        <f t="shared" si="11"/>
        <v/>
      </c>
      <c r="BM13" s="9" t="s">
        <v>4202</v>
      </c>
      <c r="BO13" s="8">
        <f t="shared" si="12"/>
        <v>13</v>
      </c>
      <c r="BP13" s="8" t="str">
        <f t="shared" ca="1" si="13"/>
        <v>市が実施する環境関連事業への参画</v>
      </c>
      <c r="BS13" s="8">
        <v>12</v>
      </c>
      <c r="BT13" s="8" t="str">
        <f t="shared" si="14"/>
        <v/>
      </c>
      <c r="BU13" s="8" t="str">
        <f t="shared" si="15"/>
        <v/>
      </c>
      <c r="BV13" s="8" t="str">
        <f t="shared" si="16"/>
        <v/>
      </c>
      <c r="BW13" s="8" t="str">
        <f t="shared" si="17"/>
        <v/>
      </c>
      <c r="BX13" s="8" t="str">
        <f t="shared" si="18"/>
        <v/>
      </c>
      <c r="BY13" s="8" t="str">
        <f t="shared" si="19"/>
        <v/>
      </c>
    </row>
    <row r="14" spans="1:82">
      <c r="A14" s="100" t="s">
        <v>4052</v>
      </c>
      <c r="B14" s="100" t="s">
        <v>4347</v>
      </c>
      <c r="D14" s="100" t="s">
        <v>4079</v>
      </c>
      <c r="E14" s="100" t="s">
        <v>4373</v>
      </c>
      <c r="G14" s="8" t="s">
        <v>4202</v>
      </c>
      <c r="H14" s="8">
        <f t="shared" si="20"/>
        <v>16</v>
      </c>
      <c r="J14" s="8">
        <f t="shared" si="21"/>
        <v>13</v>
      </c>
      <c r="Z14" s="8">
        <v>13</v>
      </c>
      <c r="AA14" s="95">
        <f>'計画書② (取組）'!C51</f>
        <v>0</v>
      </c>
      <c r="AB14" s="8" t="str">
        <f t="shared" si="2"/>
        <v/>
      </c>
      <c r="AC14" s="8" t="e">
        <f t="shared" si="3"/>
        <v>#VALUE!</v>
      </c>
      <c r="AM14" s="9" t="s">
        <v>4080</v>
      </c>
      <c r="AN14" s="9" t="s">
        <v>4374</v>
      </c>
      <c r="AO14" s="8">
        <f t="shared" si="4"/>
        <v>14</v>
      </c>
      <c r="AP14" s="8" t="str">
        <f t="shared" ca="1" si="5"/>
        <v>冷温水ポンプの回転数制御、自動流量制御</v>
      </c>
      <c r="AS14" s="8">
        <v>13</v>
      </c>
      <c r="AT14" s="8" t="str">
        <f t="shared" si="6"/>
        <v/>
      </c>
      <c r="AU14" s="8" t="str">
        <f t="shared" si="7"/>
        <v/>
      </c>
      <c r="AV14" s="8" t="str">
        <f t="shared" si="8"/>
        <v/>
      </c>
      <c r="AZ14" s="8">
        <v>13</v>
      </c>
      <c r="BA14" s="99" t="str">
        <f>IF('報告書② 第1年度(取組）'!C123="","",'報告書② 第1年度(取組）'!C123&amp;"‡"&amp;'報告書② 第1年度(取組）'!D123)</f>
        <v/>
      </c>
      <c r="BB14" s="8" t="str">
        <f t="shared" si="9"/>
        <v/>
      </c>
      <c r="BC14" s="8" t="e">
        <f t="shared" si="10"/>
        <v>#VALUE!</v>
      </c>
      <c r="BD14" s="8">
        <f>'報告書② 第1年度(取組）'!D123</f>
        <v>0</v>
      </c>
      <c r="BE14" s="8" t="e">
        <f t="shared" si="0"/>
        <v>#VALUE!</v>
      </c>
      <c r="BI14" s="8">
        <v>13</v>
      </c>
      <c r="BJ14" s="8" t="str">
        <f t="shared" si="1"/>
        <v/>
      </c>
      <c r="BK14" s="8" t="str">
        <f t="shared" si="11"/>
        <v/>
      </c>
      <c r="BM14" s="9" t="s">
        <v>4203</v>
      </c>
      <c r="BO14" s="8">
        <f t="shared" si="12"/>
        <v>14</v>
      </c>
      <c r="BP14" s="8" t="str">
        <f t="shared" ca="1" si="13"/>
        <v>その他地球温暖化を防止する対策の実施</v>
      </c>
      <c r="BS14" s="8">
        <v>13</v>
      </c>
      <c r="BT14" s="8" t="str">
        <f t="shared" si="14"/>
        <v/>
      </c>
      <c r="BU14" s="8" t="str">
        <f t="shared" si="15"/>
        <v/>
      </c>
      <c r="BV14" s="8" t="str">
        <f t="shared" si="16"/>
        <v/>
      </c>
      <c r="BW14" s="8" t="str">
        <f t="shared" si="17"/>
        <v/>
      </c>
      <c r="BX14" s="8" t="str">
        <f t="shared" si="18"/>
        <v/>
      </c>
    </row>
    <row r="15" spans="1:82">
      <c r="A15" s="100" t="s">
        <v>4053</v>
      </c>
      <c r="B15" s="100" t="s">
        <v>4348</v>
      </c>
      <c r="D15" s="100" t="s">
        <v>4080</v>
      </c>
      <c r="E15" s="100" t="s">
        <v>4374</v>
      </c>
      <c r="G15" s="8" t="s">
        <v>4203</v>
      </c>
      <c r="H15" s="8">
        <f t="shared" si="20"/>
        <v>18</v>
      </c>
      <c r="J15" s="8">
        <f t="shared" si="21"/>
        <v>19</v>
      </c>
      <c r="Z15" s="8">
        <v>14</v>
      </c>
      <c r="AA15" s="95">
        <f>'計画書② (取組）'!C52</f>
        <v>0</v>
      </c>
      <c r="AB15" s="8" t="str">
        <f t="shared" si="2"/>
        <v/>
      </c>
      <c r="AC15" s="8" t="e">
        <f t="shared" si="3"/>
        <v>#VALUE!</v>
      </c>
      <c r="AM15" s="9" t="s">
        <v>4081</v>
      </c>
      <c r="AN15" s="9" t="s">
        <v>4375</v>
      </c>
      <c r="AO15" s="8">
        <f t="shared" si="4"/>
        <v>15</v>
      </c>
      <c r="AP15" s="8" t="str">
        <f t="shared" ca="1" si="5"/>
        <v>圧縮空気系統の保全管理</v>
      </c>
      <c r="AS15" s="8">
        <v>14</v>
      </c>
      <c r="AT15" s="8" t="str">
        <f t="shared" si="6"/>
        <v/>
      </c>
      <c r="AU15" s="8" t="str">
        <f t="shared" si="7"/>
        <v/>
      </c>
      <c r="AV15" s="8" t="str">
        <f t="shared" si="8"/>
        <v/>
      </c>
      <c r="AZ15" s="8">
        <v>14</v>
      </c>
      <c r="BA15" s="99" t="str">
        <f>IF('報告書② 第1年度(取組）'!C124="","",'報告書② 第1年度(取組）'!C124&amp;"‡"&amp;'報告書② 第1年度(取組）'!D124)</f>
        <v/>
      </c>
      <c r="BB15" s="8" t="str">
        <f t="shared" si="9"/>
        <v/>
      </c>
      <c r="BC15" s="8" t="e">
        <f t="shared" si="10"/>
        <v>#VALUE!</v>
      </c>
      <c r="BD15" s="8">
        <f>'報告書② 第1年度(取組）'!D124</f>
        <v>0</v>
      </c>
      <c r="BE15" s="8" t="e">
        <f t="shared" si="0"/>
        <v>#VALUE!</v>
      </c>
    </row>
    <row r="16" spans="1:82">
      <c r="A16" s="100" t="s">
        <v>5004</v>
      </c>
      <c r="B16" s="100" t="s">
        <v>5005</v>
      </c>
      <c r="D16" s="100" t="s">
        <v>4081</v>
      </c>
      <c r="E16" s="100" t="s">
        <v>4375</v>
      </c>
      <c r="J16" s="8">
        <f t="shared" si="21"/>
        <v>11</v>
      </c>
      <c r="Z16" s="8">
        <v>15</v>
      </c>
      <c r="AA16" s="95">
        <f>'計画書② (取組）'!C53</f>
        <v>0</v>
      </c>
      <c r="AB16" s="8" t="str">
        <f t="shared" si="2"/>
        <v/>
      </c>
      <c r="AC16" s="8" t="e">
        <f t="shared" si="3"/>
        <v>#VALUE!</v>
      </c>
      <c r="AM16" s="9" t="s">
        <v>4082</v>
      </c>
      <c r="AN16" s="9" t="s">
        <v>4376</v>
      </c>
      <c r="AO16" s="8">
        <f t="shared" si="4"/>
        <v>16</v>
      </c>
      <c r="AP16" s="8" t="str">
        <f t="shared" ca="1" si="5"/>
        <v>ポンプ、給水系統の保全管理</v>
      </c>
      <c r="AS16" s="8">
        <v>15</v>
      </c>
      <c r="AT16" s="8" t="str">
        <f t="shared" si="6"/>
        <v/>
      </c>
      <c r="AU16" s="8" t="str">
        <f t="shared" si="7"/>
        <v/>
      </c>
      <c r="AV16" s="8" t="str">
        <f t="shared" si="8"/>
        <v/>
      </c>
      <c r="AZ16" s="8">
        <v>15</v>
      </c>
      <c r="BA16" s="99" t="str">
        <f>IF('報告書② 第1年度(取組）'!C125="","",'報告書② 第1年度(取組）'!C125&amp;"‡"&amp;'報告書② 第1年度(取組）'!D125)</f>
        <v/>
      </c>
      <c r="BB16" s="8" t="str">
        <f t="shared" si="9"/>
        <v/>
      </c>
      <c r="BC16" s="8" t="e">
        <f t="shared" si="10"/>
        <v>#VALUE!</v>
      </c>
      <c r="BD16" s="8">
        <f>'報告書② 第1年度(取組）'!D125</f>
        <v>0</v>
      </c>
      <c r="BE16" s="8" t="e">
        <f t="shared" si="0"/>
        <v>#VALUE!</v>
      </c>
    </row>
    <row r="17" spans="1:66">
      <c r="A17" s="100" t="s">
        <v>4054</v>
      </c>
      <c r="B17" s="100" t="s">
        <v>4349</v>
      </c>
      <c r="D17" s="100" t="s">
        <v>4082</v>
      </c>
      <c r="E17" s="100" t="s">
        <v>4376</v>
      </c>
      <c r="J17" s="8">
        <f t="shared" si="21"/>
        <v>13</v>
      </c>
      <c r="Z17" s="8">
        <v>16</v>
      </c>
      <c r="AA17" s="95">
        <f>'計画書② (取組）'!C54</f>
        <v>0</v>
      </c>
      <c r="AB17" s="8" t="str">
        <f t="shared" si="2"/>
        <v/>
      </c>
      <c r="AC17" s="8" t="e">
        <f t="shared" si="3"/>
        <v>#VALUE!</v>
      </c>
      <c r="AM17" s="9" t="s">
        <v>4083</v>
      </c>
      <c r="AN17" s="9" t="s">
        <v>4377</v>
      </c>
      <c r="AO17" s="8">
        <f t="shared" si="4"/>
        <v>17</v>
      </c>
      <c r="AP17" s="8" t="str">
        <f t="shared" ca="1" si="5"/>
        <v>ファン、ブロワ、給気系統の保全管理</v>
      </c>
      <c r="AS17" s="8">
        <v>16</v>
      </c>
      <c r="AT17" s="8" t="str">
        <f t="shared" si="6"/>
        <v/>
      </c>
      <c r="AU17" s="8" t="str">
        <f t="shared" si="7"/>
        <v/>
      </c>
      <c r="AV17" s="8" t="str">
        <f t="shared" si="8"/>
        <v/>
      </c>
      <c r="AZ17" s="8">
        <v>16</v>
      </c>
      <c r="BA17" s="99" t="str">
        <f>IF('報告書② 第1年度(取組）'!C126="","",'報告書② 第1年度(取組）'!C126&amp;"‡"&amp;'報告書② 第1年度(取組）'!D126)</f>
        <v/>
      </c>
      <c r="BB17" s="8" t="str">
        <f t="shared" si="9"/>
        <v/>
      </c>
      <c r="BC17" s="8" t="e">
        <f t="shared" si="10"/>
        <v>#VALUE!</v>
      </c>
      <c r="BD17" s="8">
        <f>'報告書② 第1年度(取組）'!D126</f>
        <v>0</v>
      </c>
      <c r="BE17" s="8" t="e">
        <f t="shared" si="0"/>
        <v>#VALUE!</v>
      </c>
      <c r="BM17" s="8" t="s">
        <v>4977</v>
      </c>
      <c r="BN17" s="8">
        <f>CODE(BM17)</f>
        <v>63</v>
      </c>
    </row>
    <row r="18" spans="1:66">
      <c r="A18" s="100" t="s">
        <v>4055</v>
      </c>
      <c r="B18" s="100" t="s">
        <v>4390</v>
      </c>
      <c r="D18" s="102" t="s">
        <v>4083</v>
      </c>
      <c r="E18" s="100" t="s">
        <v>4377</v>
      </c>
      <c r="J18" s="8">
        <f t="shared" si="21"/>
        <v>17</v>
      </c>
      <c r="Z18" s="8">
        <v>17</v>
      </c>
      <c r="AA18" s="95">
        <f>'計画書② (取組）'!C55</f>
        <v>0</v>
      </c>
      <c r="AB18" s="8" t="str">
        <f t="shared" si="2"/>
        <v/>
      </c>
      <c r="AC18" s="8" t="e">
        <f t="shared" si="3"/>
        <v>#VALUE!</v>
      </c>
      <c r="AM18" s="9" t="s">
        <v>4084</v>
      </c>
      <c r="AN18" s="9" t="s">
        <v>4378</v>
      </c>
      <c r="AO18" s="8">
        <f t="shared" si="4"/>
        <v>18</v>
      </c>
      <c r="AP18" s="8" t="str">
        <f t="shared" ca="1" si="5"/>
        <v>変圧器の負荷率管理</v>
      </c>
      <c r="AS18" s="8">
        <v>17</v>
      </c>
      <c r="AT18" s="8" t="str">
        <f t="shared" si="6"/>
        <v/>
      </c>
      <c r="AU18" s="8" t="str">
        <f t="shared" si="7"/>
        <v/>
      </c>
      <c r="AV18" s="8" t="str">
        <f t="shared" si="8"/>
        <v/>
      </c>
      <c r="AZ18" s="8">
        <v>17</v>
      </c>
      <c r="BA18" s="99" t="str">
        <f>IF('報告書② 第1年度(取組）'!C127="","",'報告書② 第1年度(取組）'!C127&amp;"‡"&amp;'報告書② 第1年度(取組）'!D127)</f>
        <v/>
      </c>
      <c r="BB18" s="8" t="str">
        <f t="shared" si="9"/>
        <v/>
      </c>
      <c r="BC18" s="8" t="e">
        <f t="shared" si="10"/>
        <v>#VALUE!</v>
      </c>
      <c r="BD18" s="8">
        <f>'報告書② 第1年度(取組）'!D127</f>
        <v>0</v>
      </c>
      <c r="BE18" s="8" t="e">
        <f t="shared" si="0"/>
        <v>#VALUE!</v>
      </c>
      <c r="BM18" s="8" t="s">
        <v>4976</v>
      </c>
      <c r="BN18" s="8">
        <f>CODE(BM18)</f>
        <v>8824</v>
      </c>
    </row>
    <row r="19" spans="1:66">
      <c r="A19" s="100" t="s">
        <v>4056</v>
      </c>
      <c r="B19" s="100" t="s">
        <v>4350</v>
      </c>
      <c r="D19" s="100" t="s">
        <v>4084</v>
      </c>
      <c r="E19" s="100" t="s">
        <v>4378</v>
      </c>
      <c r="J19" s="8">
        <f t="shared" si="21"/>
        <v>9</v>
      </c>
      <c r="Z19" s="8">
        <v>18</v>
      </c>
      <c r="AA19" s="95">
        <f>'計画書② (取組）'!C56</f>
        <v>0</v>
      </c>
      <c r="AB19" s="8" t="str">
        <f t="shared" si="2"/>
        <v/>
      </c>
      <c r="AC19" s="8" t="e">
        <f t="shared" si="3"/>
        <v>#VALUE!</v>
      </c>
      <c r="AM19" s="9" t="s">
        <v>4085</v>
      </c>
      <c r="AN19" s="9" t="s">
        <v>4379</v>
      </c>
      <c r="AO19" s="8">
        <f t="shared" si="4"/>
        <v>19</v>
      </c>
      <c r="AP19" s="8" t="str">
        <f t="shared" ca="1" si="5"/>
        <v>デマンド管理</v>
      </c>
      <c r="AS19" s="8">
        <v>18</v>
      </c>
      <c r="AT19" s="8" t="str">
        <f t="shared" si="6"/>
        <v/>
      </c>
      <c r="AU19" s="8" t="str">
        <f t="shared" si="7"/>
        <v/>
      </c>
      <c r="AV19" s="8" t="str">
        <f t="shared" si="8"/>
        <v/>
      </c>
      <c r="AZ19" s="8">
        <v>18</v>
      </c>
      <c r="BA19" s="99" t="str">
        <f>IF('報告書② 第1年度(取組）'!C128="","",'報告書② 第1年度(取組）'!C128&amp;"‡"&amp;'報告書② 第1年度(取組）'!D128)</f>
        <v/>
      </c>
      <c r="BB19" s="8" t="str">
        <f t="shared" si="9"/>
        <v/>
      </c>
      <c r="BC19" s="8" t="e">
        <f t="shared" si="10"/>
        <v>#VALUE!</v>
      </c>
      <c r="BD19" s="8">
        <f>'報告書② 第1年度(取組）'!D128</f>
        <v>0</v>
      </c>
      <c r="BE19" s="8" t="e">
        <f t="shared" si="0"/>
        <v>#VALUE!</v>
      </c>
    </row>
    <row r="20" spans="1:66">
      <c r="A20" s="100" t="s">
        <v>4057</v>
      </c>
      <c r="B20" s="100" t="s">
        <v>5006</v>
      </c>
      <c r="D20" s="100" t="s">
        <v>4085</v>
      </c>
      <c r="E20" s="100" t="s">
        <v>4379</v>
      </c>
      <c r="J20" s="8">
        <f t="shared" si="21"/>
        <v>6</v>
      </c>
      <c r="Z20" s="8">
        <v>19</v>
      </c>
      <c r="AA20" s="95">
        <f>'計画書② (取組）'!C57</f>
        <v>0</v>
      </c>
      <c r="AB20" s="8" t="str">
        <f t="shared" si="2"/>
        <v/>
      </c>
      <c r="AC20" s="8" t="e">
        <f t="shared" si="3"/>
        <v>#VALUE!</v>
      </c>
      <c r="AM20" s="9" t="s">
        <v>4086</v>
      </c>
      <c r="AN20" s="9" t="s">
        <v>4380</v>
      </c>
      <c r="AO20" s="8">
        <f t="shared" si="4"/>
        <v>20</v>
      </c>
      <c r="AP20" s="8" t="str">
        <f t="shared" ca="1" si="5"/>
        <v>負荷平準化</v>
      </c>
      <c r="AS20" s="8">
        <v>19</v>
      </c>
      <c r="AT20" s="8" t="str">
        <f t="shared" si="6"/>
        <v/>
      </c>
      <c r="AU20" s="8" t="str">
        <f t="shared" si="7"/>
        <v/>
      </c>
      <c r="AV20" s="8" t="str">
        <f t="shared" si="8"/>
        <v/>
      </c>
      <c r="AZ20" s="8">
        <v>19</v>
      </c>
      <c r="BA20" s="99" t="str">
        <f>IF('報告書② 第1年度(取組）'!C129="","",'報告書② 第1年度(取組）'!C129&amp;"‡"&amp;'報告書② 第1年度(取組）'!D129)</f>
        <v/>
      </c>
      <c r="BB20" s="8" t="str">
        <f t="shared" si="9"/>
        <v/>
      </c>
      <c r="BC20" s="8" t="e">
        <f t="shared" si="10"/>
        <v>#VALUE!</v>
      </c>
      <c r="BD20" s="8">
        <f>'報告書② 第1年度(取組）'!D129</f>
        <v>0</v>
      </c>
      <c r="BE20" s="8" t="e">
        <f t="shared" si="0"/>
        <v>#VALUE!</v>
      </c>
    </row>
    <row r="21" spans="1:66">
      <c r="A21" s="100" t="s">
        <v>4058</v>
      </c>
      <c r="B21" s="100" t="s">
        <v>4351</v>
      </c>
      <c r="D21" s="100" t="s">
        <v>4086</v>
      </c>
      <c r="E21" s="100" t="s">
        <v>4380</v>
      </c>
      <c r="J21" s="8">
        <f t="shared" si="21"/>
        <v>5</v>
      </c>
      <c r="Z21" s="8">
        <v>20</v>
      </c>
      <c r="AA21" s="95">
        <f>'計画書② (取組）'!C58</f>
        <v>0</v>
      </c>
      <c r="AB21" s="8" t="str">
        <f t="shared" si="2"/>
        <v/>
      </c>
      <c r="AC21" s="8" t="e">
        <f t="shared" si="3"/>
        <v>#VALUE!</v>
      </c>
      <c r="AM21" s="9" t="s">
        <v>4087</v>
      </c>
      <c r="AN21" s="9" t="s">
        <v>4381</v>
      </c>
      <c r="AO21" s="8">
        <f t="shared" si="4"/>
        <v>21</v>
      </c>
      <c r="AP21" s="8" t="str">
        <f t="shared" ca="1" si="5"/>
        <v>窓の断熱性向上</v>
      </c>
      <c r="AS21" s="8">
        <v>20</v>
      </c>
      <c r="AT21" s="8" t="str">
        <f t="shared" si="6"/>
        <v/>
      </c>
      <c r="AU21" s="8" t="str">
        <f t="shared" si="7"/>
        <v/>
      </c>
      <c r="AV21" s="8" t="str">
        <f t="shared" si="8"/>
        <v/>
      </c>
      <c r="AZ21" s="8">
        <v>20</v>
      </c>
      <c r="BA21" s="99" t="str">
        <f>IF('報告書② 第1年度(取組）'!C130="","",'報告書② 第1年度(取組）'!C130&amp;"‡"&amp;'報告書② 第1年度(取組）'!D130)</f>
        <v/>
      </c>
      <c r="BB21" s="8" t="str">
        <f t="shared" si="9"/>
        <v/>
      </c>
      <c r="BC21" s="8" t="e">
        <f t="shared" si="10"/>
        <v>#VALUE!</v>
      </c>
      <c r="BD21" s="8">
        <f>'報告書② 第1年度(取組）'!D130</f>
        <v>0</v>
      </c>
      <c r="BE21" s="8" t="e">
        <f t="shared" si="0"/>
        <v>#VALUE!</v>
      </c>
    </row>
    <row r="22" spans="1:66">
      <c r="A22" s="100" t="s">
        <v>4059</v>
      </c>
      <c r="B22" s="100" t="s">
        <v>4352</v>
      </c>
      <c r="D22" s="100" t="s">
        <v>4087</v>
      </c>
      <c r="E22" s="100" t="s">
        <v>4381</v>
      </c>
      <c r="J22" s="8">
        <f t="shared" si="21"/>
        <v>7</v>
      </c>
      <c r="Z22" s="8">
        <v>21</v>
      </c>
      <c r="AA22" s="99">
        <f>'報告書② 第1年度(取組）'!C91</f>
        <v>0</v>
      </c>
      <c r="AB22" s="8" t="str">
        <f t="shared" si="2"/>
        <v/>
      </c>
      <c r="AC22" s="8" t="e">
        <f t="shared" si="3"/>
        <v>#VALUE!</v>
      </c>
      <c r="AM22" s="9" t="s">
        <v>4088</v>
      </c>
      <c r="AN22" s="9" t="s">
        <v>4382</v>
      </c>
      <c r="AO22" s="8">
        <f t="shared" si="4"/>
        <v>22</v>
      </c>
      <c r="AP22" s="8" t="str">
        <f t="shared" ca="1" si="5"/>
        <v>壁面緑化</v>
      </c>
      <c r="AS22" s="8">
        <v>21</v>
      </c>
      <c r="AT22" s="8" t="str">
        <f t="shared" si="6"/>
        <v/>
      </c>
      <c r="AU22" s="8" t="str">
        <f t="shared" si="7"/>
        <v/>
      </c>
      <c r="AV22" s="8" t="str">
        <f t="shared" si="8"/>
        <v/>
      </c>
      <c r="AZ22" s="8">
        <v>21</v>
      </c>
      <c r="BA22" s="98" t="str">
        <f>IF('報告書② 第2年度(取組）'!C121="","",'報告書② 第2年度(取組）'!C121&amp;"‡"&amp;'報告書② 第2年度(取組）'!D121)</f>
        <v/>
      </c>
      <c r="BB22" s="8" t="str">
        <f t="shared" si="9"/>
        <v/>
      </c>
      <c r="BC22" s="8" t="e">
        <f t="shared" si="10"/>
        <v>#VALUE!</v>
      </c>
      <c r="BD22" s="8">
        <f>'報告書② 第2年度(取組）'!D121</f>
        <v>0</v>
      </c>
      <c r="BE22" s="8" t="e">
        <f t="shared" si="0"/>
        <v>#VALUE!</v>
      </c>
    </row>
    <row r="23" spans="1:66">
      <c r="A23" s="100" t="s">
        <v>4060</v>
      </c>
      <c r="B23" s="100" t="s">
        <v>4353</v>
      </c>
      <c r="D23" s="100" t="s">
        <v>4088</v>
      </c>
      <c r="E23" s="100" t="s">
        <v>4382</v>
      </c>
      <c r="J23" s="8">
        <f t="shared" si="21"/>
        <v>4</v>
      </c>
      <c r="Z23" s="8">
        <v>22</v>
      </c>
      <c r="AA23" s="99">
        <f>'報告書② 第1年度(取組）'!C92</f>
        <v>0</v>
      </c>
      <c r="AB23" s="8" t="str">
        <f t="shared" si="2"/>
        <v/>
      </c>
      <c r="AC23" s="8" t="e">
        <f t="shared" si="3"/>
        <v>#VALUE!</v>
      </c>
      <c r="AM23" s="9" t="s">
        <v>4089</v>
      </c>
      <c r="AN23" s="9" t="s">
        <v>4383</v>
      </c>
      <c r="AO23" s="8">
        <f t="shared" si="4"/>
        <v>23</v>
      </c>
      <c r="AP23" s="8" t="str">
        <f t="shared" ca="1" si="5"/>
        <v>再生可能エネルギーの導入</v>
      </c>
      <c r="AS23" s="8">
        <v>22</v>
      </c>
      <c r="AT23" s="8" t="str">
        <f t="shared" si="6"/>
        <v/>
      </c>
      <c r="AU23" s="8" t="str">
        <f t="shared" si="7"/>
        <v/>
      </c>
      <c r="AV23" s="8" t="str">
        <f t="shared" si="8"/>
        <v/>
      </c>
      <c r="AZ23" s="8">
        <v>22</v>
      </c>
      <c r="BA23" s="98" t="str">
        <f>IF('報告書② 第2年度(取組）'!C122="","",'報告書② 第2年度(取組）'!C122&amp;"‡"&amp;'報告書② 第2年度(取組）'!D122)</f>
        <v/>
      </c>
      <c r="BB23" s="8" t="str">
        <f t="shared" si="9"/>
        <v/>
      </c>
      <c r="BC23" s="8" t="e">
        <f t="shared" si="10"/>
        <v>#VALUE!</v>
      </c>
      <c r="BD23" s="8">
        <f>'報告書② 第2年度(取組）'!D122</f>
        <v>0</v>
      </c>
      <c r="BE23" s="8" t="e">
        <f t="shared" si="0"/>
        <v>#VALUE!</v>
      </c>
    </row>
    <row r="24" spans="1:66">
      <c r="A24" s="100" t="s">
        <v>4061</v>
      </c>
      <c r="B24" s="100" t="s">
        <v>4354</v>
      </c>
      <c r="D24" s="100" t="s">
        <v>4089</v>
      </c>
      <c r="E24" s="100" t="s">
        <v>4383</v>
      </c>
      <c r="J24" s="8">
        <f t="shared" si="21"/>
        <v>12</v>
      </c>
      <c r="Z24" s="8">
        <v>23</v>
      </c>
      <c r="AA24" s="99">
        <f>'報告書② 第1年度(取組）'!C93</f>
        <v>0</v>
      </c>
      <c r="AB24" s="8" t="str">
        <f t="shared" si="2"/>
        <v/>
      </c>
      <c r="AC24" s="8" t="e">
        <f t="shared" si="3"/>
        <v>#VALUE!</v>
      </c>
      <c r="AM24" s="9" t="s">
        <v>5009</v>
      </c>
      <c r="AN24" s="9" t="s">
        <v>5010</v>
      </c>
      <c r="AO24" s="8">
        <f t="shared" si="4"/>
        <v>24</v>
      </c>
      <c r="AP24" s="8" t="str">
        <f t="shared" ca="1" si="5"/>
        <v>蓄電システムの導入</v>
      </c>
      <c r="AS24" s="8">
        <v>23</v>
      </c>
      <c r="AT24" s="8" t="str">
        <f t="shared" si="6"/>
        <v/>
      </c>
      <c r="AU24" s="8" t="str">
        <f t="shared" si="7"/>
        <v/>
      </c>
      <c r="AV24" s="8" t="str">
        <f t="shared" si="8"/>
        <v/>
      </c>
      <c r="AZ24" s="8">
        <v>23</v>
      </c>
      <c r="BA24" s="98" t="str">
        <f>IF('報告書② 第2年度(取組）'!C123="","",'報告書② 第2年度(取組）'!C123&amp;"‡"&amp;'報告書② 第2年度(取組）'!D123)</f>
        <v/>
      </c>
      <c r="BB24" s="8" t="str">
        <f t="shared" si="9"/>
        <v/>
      </c>
      <c r="BC24" s="8" t="e">
        <f t="shared" si="10"/>
        <v>#VALUE!</v>
      </c>
      <c r="BD24" s="8">
        <f>'報告書② 第2年度(取組）'!D123</f>
        <v>0</v>
      </c>
      <c r="BE24" s="8" t="e">
        <f t="shared" si="0"/>
        <v>#VALUE!</v>
      </c>
    </row>
    <row r="25" spans="1:66">
      <c r="A25" s="100" t="s">
        <v>4062</v>
      </c>
      <c r="B25" s="100" t="s">
        <v>5007</v>
      </c>
      <c r="D25" s="103" t="s">
        <v>5009</v>
      </c>
      <c r="E25" s="103" t="s">
        <v>5010</v>
      </c>
      <c r="J25" s="8">
        <f t="shared" si="21"/>
        <v>9</v>
      </c>
      <c r="Z25" s="8">
        <v>24</v>
      </c>
      <c r="AA25" s="99">
        <f>'報告書② 第1年度(取組）'!C94</f>
        <v>0</v>
      </c>
      <c r="AB25" s="8" t="str">
        <f t="shared" si="2"/>
        <v/>
      </c>
      <c r="AC25" s="8" t="e">
        <f t="shared" si="3"/>
        <v>#VALUE!</v>
      </c>
      <c r="AM25" s="9" t="s">
        <v>4090</v>
      </c>
      <c r="AN25" s="9" t="s">
        <v>4384</v>
      </c>
      <c r="AO25" s="8">
        <f t="shared" si="4"/>
        <v>25</v>
      </c>
      <c r="AP25" s="8" t="str">
        <f t="shared" ca="1" si="5"/>
        <v>商品や原料輸送時の省エネ</v>
      </c>
      <c r="AS25" s="8">
        <v>24</v>
      </c>
      <c r="AT25" s="8" t="str">
        <f t="shared" si="6"/>
        <v/>
      </c>
      <c r="AU25" s="8" t="str">
        <f t="shared" si="7"/>
        <v/>
      </c>
      <c r="AV25" s="8" t="str">
        <f t="shared" si="8"/>
        <v/>
      </c>
      <c r="AZ25" s="8">
        <v>24</v>
      </c>
      <c r="BA25" s="98" t="str">
        <f>IF('報告書② 第2年度(取組）'!C124="","",'報告書② 第2年度(取組）'!C124&amp;"‡"&amp;'報告書② 第2年度(取組）'!D124)</f>
        <v/>
      </c>
      <c r="BB25" s="8" t="str">
        <f t="shared" si="9"/>
        <v/>
      </c>
      <c r="BC25" s="8" t="e">
        <f t="shared" si="10"/>
        <v>#VALUE!</v>
      </c>
      <c r="BD25" s="8">
        <f>'報告書② 第2年度(取組）'!D124</f>
        <v>0</v>
      </c>
      <c r="BE25" s="8" t="e">
        <f t="shared" si="0"/>
        <v>#VALUE!</v>
      </c>
    </row>
    <row r="26" spans="1:66">
      <c r="A26" s="100" t="s">
        <v>5180</v>
      </c>
      <c r="B26" s="100" t="s">
        <v>5008</v>
      </c>
      <c r="D26" s="100" t="s">
        <v>4090</v>
      </c>
      <c r="E26" s="100" t="s">
        <v>4384</v>
      </c>
      <c r="J26" s="8">
        <f t="shared" si="21"/>
        <v>12</v>
      </c>
      <c r="Z26" s="8">
        <v>25</v>
      </c>
      <c r="AA26" s="99">
        <f>'報告書② 第1年度(取組）'!C95</f>
        <v>0</v>
      </c>
      <c r="AB26" s="8" t="str">
        <f t="shared" si="2"/>
        <v/>
      </c>
      <c r="AC26" s="8" t="e">
        <f t="shared" si="3"/>
        <v>#VALUE!</v>
      </c>
      <c r="AM26" s="9" t="s">
        <v>4091</v>
      </c>
      <c r="AN26" s="9" t="s">
        <v>4385</v>
      </c>
      <c r="AO26" s="8">
        <f t="shared" si="4"/>
        <v>26</v>
      </c>
      <c r="AP26" s="8" t="str">
        <f t="shared" ca="1" si="5"/>
        <v>燃費性能の良い車両の計画的導入</v>
      </c>
      <c r="AS26" s="8">
        <v>25</v>
      </c>
      <c r="AT26" s="8" t="str">
        <f t="shared" si="6"/>
        <v/>
      </c>
      <c r="AU26" s="8" t="str">
        <f t="shared" si="7"/>
        <v/>
      </c>
      <c r="AV26" s="8" t="str">
        <f t="shared" si="8"/>
        <v/>
      </c>
      <c r="AZ26" s="8">
        <v>25</v>
      </c>
      <c r="BA26" s="98" t="str">
        <f>IF('報告書② 第2年度(取組）'!C125="","",'報告書② 第2年度(取組）'!C125&amp;"‡"&amp;'報告書② 第2年度(取組）'!D125)</f>
        <v/>
      </c>
      <c r="BB26" s="8" t="str">
        <f t="shared" si="9"/>
        <v/>
      </c>
      <c r="BC26" s="8" t="e">
        <f t="shared" si="10"/>
        <v>#VALUE!</v>
      </c>
      <c r="BD26" s="8">
        <f>'報告書② 第2年度(取組）'!D125</f>
        <v>0</v>
      </c>
      <c r="BE26" s="8" t="e">
        <f t="shared" si="0"/>
        <v>#VALUE!</v>
      </c>
    </row>
    <row r="27" spans="1:66">
      <c r="A27" s="100" t="s">
        <v>4063</v>
      </c>
      <c r="B27" s="100" t="s">
        <v>4355</v>
      </c>
      <c r="D27" s="100" t="s">
        <v>4091</v>
      </c>
      <c r="E27" s="100" t="s">
        <v>4385</v>
      </c>
      <c r="J27" s="8">
        <f t="shared" si="21"/>
        <v>15</v>
      </c>
      <c r="Z27" s="8">
        <v>26</v>
      </c>
      <c r="AA27" s="99">
        <f>'報告書② 第1年度(取組）'!C96</f>
        <v>0</v>
      </c>
      <c r="AB27" s="8" t="str">
        <f t="shared" si="2"/>
        <v/>
      </c>
      <c r="AC27" s="8" t="e">
        <f t="shared" si="3"/>
        <v>#VALUE!</v>
      </c>
      <c r="AM27" s="9" t="s">
        <v>4092</v>
      </c>
      <c r="AN27" s="9" t="s">
        <v>4386</v>
      </c>
      <c r="AO27" s="8">
        <f t="shared" si="4"/>
        <v>27</v>
      </c>
      <c r="AP27" s="8" t="str">
        <f t="shared" ca="1" si="5"/>
        <v>エコドライブ教育実施</v>
      </c>
      <c r="AS27" s="8">
        <v>26</v>
      </c>
      <c r="AZ27" s="8">
        <v>26</v>
      </c>
      <c r="BA27" s="98" t="str">
        <f>IF('報告書② 第2年度(取組）'!C126="","",'報告書② 第2年度(取組）'!C126&amp;"‡"&amp;'報告書② 第2年度(取組）'!D126)</f>
        <v/>
      </c>
      <c r="BB27" s="8" t="str">
        <f t="shared" si="9"/>
        <v/>
      </c>
      <c r="BC27" s="8" t="e">
        <f t="shared" si="10"/>
        <v>#VALUE!</v>
      </c>
      <c r="BD27" s="8">
        <f>'報告書② 第2年度(取組）'!D126</f>
        <v>0</v>
      </c>
      <c r="BE27" s="8" t="e">
        <f t="shared" si="0"/>
        <v>#VALUE!</v>
      </c>
    </row>
    <row r="28" spans="1:66">
      <c r="A28" s="100" t="s">
        <v>4064</v>
      </c>
      <c r="B28" s="100" t="s">
        <v>4356</v>
      </c>
      <c r="D28" s="100" t="s">
        <v>4092</v>
      </c>
      <c r="E28" s="100" t="s">
        <v>4386</v>
      </c>
      <c r="J28" s="8">
        <f t="shared" si="21"/>
        <v>10</v>
      </c>
      <c r="Z28" s="8">
        <v>27</v>
      </c>
      <c r="AA28" s="99">
        <f>'報告書② 第1年度(取組）'!C97</f>
        <v>0</v>
      </c>
      <c r="AB28" s="8" t="str">
        <f t="shared" si="2"/>
        <v/>
      </c>
      <c r="AC28" s="8" t="e">
        <f t="shared" si="3"/>
        <v>#VALUE!</v>
      </c>
      <c r="AM28" s="104"/>
      <c r="AZ28" s="8">
        <v>27</v>
      </c>
      <c r="BA28" s="98" t="str">
        <f>IF('報告書② 第2年度(取組）'!C127="","",'報告書② 第2年度(取組）'!C127&amp;"‡"&amp;'報告書② 第2年度(取組）'!D127)</f>
        <v/>
      </c>
      <c r="BB28" s="8" t="str">
        <f t="shared" si="9"/>
        <v/>
      </c>
      <c r="BC28" s="8" t="e">
        <f t="shared" si="10"/>
        <v>#VALUE!</v>
      </c>
      <c r="BD28" s="8">
        <f>'報告書② 第2年度(取組）'!D127</f>
        <v>0</v>
      </c>
      <c r="BE28" s="8" t="e">
        <f t="shared" si="0"/>
        <v>#VALUE!</v>
      </c>
    </row>
    <row r="29" spans="1:66">
      <c r="A29" s="100" t="s">
        <v>4065</v>
      </c>
      <c r="B29" s="100" t="s">
        <v>4357</v>
      </c>
      <c r="Z29" s="8">
        <v>28</v>
      </c>
      <c r="AA29" s="99">
        <f>'報告書② 第1年度(取組）'!C98</f>
        <v>0</v>
      </c>
      <c r="AB29" s="8" t="str">
        <f t="shared" si="2"/>
        <v/>
      </c>
      <c r="AC29" s="8" t="e">
        <f t="shared" si="3"/>
        <v>#VALUE!</v>
      </c>
      <c r="AZ29" s="8">
        <v>28</v>
      </c>
      <c r="BA29" s="98" t="str">
        <f>IF('報告書② 第2年度(取組）'!C128="","",'報告書② 第2年度(取組）'!C128&amp;"‡"&amp;'報告書② 第2年度(取組）'!D128)</f>
        <v/>
      </c>
      <c r="BB29" s="8" t="str">
        <f t="shared" si="9"/>
        <v/>
      </c>
      <c r="BC29" s="8" t="e">
        <f t="shared" si="10"/>
        <v>#VALUE!</v>
      </c>
      <c r="BD29" s="8">
        <f>'報告書② 第2年度(取組）'!D128</f>
        <v>0</v>
      </c>
      <c r="BE29" s="8" t="e">
        <f t="shared" si="0"/>
        <v>#VALUE!</v>
      </c>
    </row>
    <row r="30" spans="1:66">
      <c r="A30" s="100" t="s">
        <v>4066</v>
      </c>
      <c r="B30" s="100" t="s">
        <v>4358</v>
      </c>
      <c r="Z30" s="8">
        <v>29</v>
      </c>
      <c r="AA30" s="99">
        <f>'報告書② 第1年度(取組）'!C99</f>
        <v>0</v>
      </c>
      <c r="AB30" s="8" t="str">
        <f t="shared" si="2"/>
        <v/>
      </c>
      <c r="AC30" s="8" t="e">
        <f t="shared" si="3"/>
        <v>#VALUE!</v>
      </c>
      <c r="AZ30" s="8">
        <v>29</v>
      </c>
      <c r="BA30" s="98" t="str">
        <f>IF('報告書② 第2年度(取組）'!C129="","",'報告書② 第2年度(取組）'!C129&amp;"‡"&amp;'報告書② 第2年度(取組）'!D129)</f>
        <v/>
      </c>
      <c r="BB30" s="8" t="str">
        <f t="shared" si="9"/>
        <v/>
      </c>
      <c r="BC30" s="8" t="e">
        <f t="shared" si="10"/>
        <v>#VALUE!</v>
      </c>
      <c r="BD30" s="8">
        <f>'報告書② 第2年度(取組）'!D129</f>
        <v>0</v>
      </c>
      <c r="BE30" s="8" t="e">
        <f t="shared" si="0"/>
        <v>#VALUE!</v>
      </c>
    </row>
    <row r="31" spans="1:66">
      <c r="A31" s="100" t="s">
        <v>4067</v>
      </c>
      <c r="B31" s="100" t="s">
        <v>4359</v>
      </c>
      <c r="Z31" s="8">
        <v>30</v>
      </c>
      <c r="AA31" s="99">
        <f>'報告書② 第1年度(取組）'!C100</f>
        <v>0</v>
      </c>
      <c r="AB31" s="8" t="str">
        <f t="shared" si="2"/>
        <v/>
      </c>
      <c r="AC31" s="8" t="e">
        <f t="shared" si="3"/>
        <v>#VALUE!</v>
      </c>
      <c r="AZ31" s="8">
        <v>30</v>
      </c>
      <c r="BA31" s="98" t="str">
        <f>IF('報告書② 第2年度(取組）'!C130="","",'報告書② 第2年度(取組）'!C130&amp;"‡"&amp;'報告書② 第2年度(取組）'!D130)</f>
        <v/>
      </c>
      <c r="BB31" s="8" t="str">
        <f t="shared" si="9"/>
        <v/>
      </c>
      <c r="BC31" s="8" t="e">
        <f t="shared" si="10"/>
        <v>#VALUE!</v>
      </c>
      <c r="BD31" s="8">
        <f>'報告書② 第2年度(取組）'!D130</f>
        <v>0</v>
      </c>
      <c r="BE31" s="8" t="e">
        <f t="shared" si="0"/>
        <v>#VALUE!</v>
      </c>
    </row>
    <row r="32" spans="1:66">
      <c r="A32" s="100" t="s">
        <v>4068</v>
      </c>
      <c r="B32" s="100" t="s">
        <v>4360</v>
      </c>
      <c r="Z32" s="8">
        <v>31</v>
      </c>
      <c r="AA32" s="99">
        <f>'報告書② 第1年度(取組）'!C101</f>
        <v>0</v>
      </c>
      <c r="AB32" s="8" t="str">
        <f t="shared" si="2"/>
        <v/>
      </c>
      <c r="AC32" s="8" t="e">
        <f t="shared" si="3"/>
        <v>#VALUE!</v>
      </c>
      <c r="AZ32" s="8">
        <v>31</v>
      </c>
      <c r="BA32" s="105" t="str">
        <f>IF('報告書② 第3年度(取組）'!C121="","",'報告書② 第3年度(取組）'!C121&amp;"‡"&amp;'報告書② 第3年度(取組）'!D121)</f>
        <v/>
      </c>
      <c r="BB32" s="8" t="str">
        <f t="shared" si="9"/>
        <v/>
      </c>
      <c r="BC32" s="8" t="e">
        <f t="shared" si="10"/>
        <v>#VALUE!</v>
      </c>
      <c r="BD32" s="8">
        <f>'報告書② 第3年度(取組）'!D121</f>
        <v>0</v>
      </c>
      <c r="BE32" s="8" t="e">
        <f t="shared" si="0"/>
        <v>#VALUE!</v>
      </c>
    </row>
    <row r="33" spans="2:57">
      <c r="Z33" s="8">
        <v>32</v>
      </c>
      <c r="AA33" s="99">
        <f>'報告書② 第1年度(取組）'!C102</f>
        <v>0</v>
      </c>
      <c r="AB33" s="8" t="str">
        <f t="shared" si="2"/>
        <v/>
      </c>
      <c r="AC33" s="8" t="e">
        <f t="shared" si="3"/>
        <v>#VALUE!</v>
      </c>
      <c r="AZ33" s="8">
        <v>32</v>
      </c>
      <c r="BA33" s="105" t="str">
        <f>IF('報告書② 第3年度(取組）'!C122="","",'報告書② 第3年度(取組）'!C122&amp;"‡"&amp;'報告書② 第3年度(取組）'!D122)</f>
        <v/>
      </c>
      <c r="BB33" s="8" t="str">
        <f t="shared" si="9"/>
        <v/>
      </c>
      <c r="BC33" s="8" t="e">
        <f t="shared" si="10"/>
        <v>#VALUE!</v>
      </c>
      <c r="BD33" s="8">
        <f>'報告書② 第3年度(取組）'!D122</f>
        <v>0</v>
      </c>
      <c r="BE33" s="8" t="e">
        <f t="shared" si="0"/>
        <v>#VALUE!</v>
      </c>
    </row>
    <row r="34" spans="2:57">
      <c r="Z34" s="8">
        <v>33</v>
      </c>
      <c r="AA34" s="99">
        <f>'報告書② 第1年度(取組）'!C103</f>
        <v>0</v>
      </c>
      <c r="AB34" s="8" t="str">
        <f t="shared" si="2"/>
        <v/>
      </c>
      <c r="AC34" s="8" t="e">
        <f t="shared" si="3"/>
        <v>#VALUE!</v>
      </c>
      <c r="AZ34" s="8">
        <v>33</v>
      </c>
      <c r="BA34" s="105" t="str">
        <f>IF('報告書② 第3年度(取組）'!C123="","",'報告書② 第3年度(取組）'!C123&amp;"‡"&amp;'報告書② 第3年度(取組）'!D123)</f>
        <v/>
      </c>
      <c r="BB34" s="8" t="str">
        <f t="shared" si="9"/>
        <v/>
      </c>
      <c r="BC34" s="8" t="e">
        <f t="shared" si="10"/>
        <v>#VALUE!</v>
      </c>
      <c r="BD34" s="8">
        <f>'報告書② 第3年度(取組）'!D123</f>
        <v>0</v>
      </c>
      <c r="BE34" s="8" t="e">
        <f t="shared" si="0"/>
        <v>#VALUE!</v>
      </c>
    </row>
    <row r="35" spans="2:57">
      <c r="B35" s="100"/>
      <c r="Z35" s="8">
        <v>34</v>
      </c>
      <c r="AA35" s="99">
        <f>'報告書② 第1年度(取組）'!C104</f>
        <v>0</v>
      </c>
      <c r="AB35" s="8" t="str">
        <f t="shared" si="2"/>
        <v/>
      </c>
      <c r="AC35" s="8" t="e">
        <f t="shared" si="3"/>
        <v>#VALUE!</v>
      </c>
      <c r="AZ35" s="8">
        <v>34</v>
      </c>
      <c r="BA35" s="105" t="str">
        <f>IF('報告書② 第3年度(取組）'!C124="","",'報告書② 第3年度(取組）'!C124&amp;"‡"&amp;'報告書② 第3年度(取組）'!D124)</f>
        <v/>
      </c>
      <c r="BB35" s="8" t="str">
        <f t="shared" si="9"/>
        <v/>
      </c>
      <c r="BC35" s="8" t="e">
        <f t="shared" si="10"/>
        <v>#VALUE!</v>
      </c>
      <c r="BD35" s="8">
        <f>'報告書② 第3年度(取組）'!D124</f>
        <v>0</v>
      </c>
      <c r="BE35" s="8" t="e">
        <f t="shared" si="0"/>
        <v>#VALUE!</v>
      </c>
    </row>
    <row r="36" spans="2:57">
      <c r="B36" s="100"/>
      <c r="Z36" s="8">
        <v>35</v>
      </c>
      <c r="AA36" s="99">
        <f>'報告書② 第1年度(取組）'!C105</f>
        <v>0</v>
      </c>
      <c r="AB36" s="8" t="str">
        <f t="shared" si="2"/>
        <v/>
      </c>
      <c r="AC36" s="8" t="e">
        <f t="shared" si="3"/>
        <v>#VALUE!</v>
      </c>
      <c r="AZ36" s="8">
        <v>35</v>
      </c>
      <c r="BA36" s="105" t="str">
        <f>IF('報告書② 第3年度(取組）'!C125="","",'報告書② 第3年度(取組）'!C125&amp;"‡"&amp;'報告書② 第3年度(取組）'!D125)</f>
        <v/>
      </c>
      <c r="BB36" s="8" t="str">
        <f t="shared" si="9"/>
        <v/>
      </c>
      <c r="BC36" s="8" t="e">
        <f t="shared" si="10"/>
        <v>#VALUE!</v>
      </c>
      <c r="BD36" s="8">
        <f>'報告書② 第3年度(取組）'!D125</f>
        <v>0</v>
      </c>
      <c r="BE36" s="8" t="e">
        <f t="shared" si="0"/>
        <v>#VALUE!</v>
      </c>
    </row>
    <row r="37" spans="2:57">
      <c r="B37" s="100"/>
      <c r="Z37" s="8">
        <v>36</v>
      </c>
      <c r="AA37" s="99">
        <f>'報告書② 第1年度(取組）'!C106</f>
        <v>0</v>
      </c>
      <c r="AB37" s="8" t="str">
        <f t="shared" si="2"/>
        <v/>
      </c>
      <c r="AC37" s="8" t="e">
        <f t="shared" si="3"/>
        <v>#VALUE!</v>
      </c>
      <c r="AZ37" s="8">
        <v>36</v>
      </c>
      <c r="BA37" s="105" t="str">
        <f>IF('報告書② 第3年度(取組）'!C126="","",'報告書② 第3年度(取組）'!C126&amp;"‡"&amp;'報告書② 第3年度(取組）'!D126)</f>
        <v/>
      </c>
      <c r="BB37" s="8" t="str">
        <f t="shared" si="9"/>
        <v/>
      </c>
      <c r="BC37" s="8" t="e">
        <f t="shared" si="10"/>
        <v>#VALUE!</v>
      </c>
      <c r="BD37" s="8">
        <f>'報告書② 第3年度(取組）'!D126</f>
        <v>0</v>
      </c>
      <c r="BE37" s="8" t="e">
        <f t="shared" si="0"/>
        <v>#VALUE!</v>
      </c>
    </row>
    <row r="38" spans="2:57">
      <c r="B38" s="100"/>
      <c r="Z38" s="8">
        <v>37</v>
      </c>
      <c r="AA38" s="99">
        <f>'報告書② 第1年度(取組）'!C107</f>
        <v>0</v>
      </c>
      <c r="AB38" s="8" t="str">
        <f t="shared" si="2"/>
        <v/>
      </c>
      <c r="AC38" s="8" t="e">
        <f t="shared" si="3"/>
        <v>#VALUE!</v>
      </c>
      <c r="AZ38" s="8">
        <v>37</v>
      </c>
      <c r="BA38" s="105" t="str">
        <f>IF('報告書② 第3年度(取組）'!C127="","",'報告書② 第3年度(取組）'!C127&amp;"‡"&amp;'報告書② 第3年度(取組）'!D127)</f>
        <v/>
      </c>
      <c r="BB38" s="8" t="str">
        <f t="shared" si="9"/>
        <v/>
      </c>
      <c r="BC38" s="8" t="e">
        <f t="shared" si="10"/>
        <v>#VALUE!</v>
      </c>
      <c r="BD38" s="8">
        <f>'報告書② 第3年度(取組）'!D127</f>
        <v>0</v>
      </c>
      <c r="BE38" s="8" t="e">
        <f t="shared" si="0"/>
        <v>#VALUE!</v>
      </c>
    </row>
    <row r="39" spans="2:57">
      <c r="B39" s="100"/>
      <c r="Z39" s="8">
        <v>38</v>
      </c>
      <c r="AA39" s="99">
        <f>'報告書② 第1年度(取組）'!C108</f>
        <v>0</v>
      </c>
      <c r="AB39" s="8" t="str">
        <f t="shared" si="2"/>
        <v/>
      </c>
      <c r="AC39" s="8" t="e">
        <f t="shared" si="3"/>
        <v>#VALUE!</v>
      </c>
      <c r="AZ39" s="8">
        <v>38</v>
      </c>
      <c r="BA39" s="105" t="str">
        <f>IF('報告書② 第3年度(取組）'!C128="","",'報告書② 第3年度(取組）'!C128&amp;"‡"&amp;'報告書② 第3年度(取組）'!D128)</f>
        <v/>
      </c>
      <c r="BB39" s="8" t="str">
        <f t="shared" si="9"/>
        <v/>
      </c>
      <c r="BC39" s="8" t="e">
        <f t="shared" si="10"/>
        <v>#VALUE!</v>
      </c>
      <c r="BD39" s="8">
        <f>'報告書② 第3年度(取組）'!D128</f>
        <v>0</v>
      </c>
      <c r="BE39" s="8" t="e">
        <f t="shared" si="0"/>
        <v>#VALUE!</v>
      </c>
    </row>
    <row r="40" spans="2:57">
      <c r="B40" s="100"/>
      <c r="Z40" s="8">
        <v>39</v>
      </c>
      <c r="AA40" s="99">
        <f>'報告書② 第1年度(取組）'!C109</f>
        <v>0</v>
      </c>
      <c r="AB40" s="8" t="str">
        <f t="shared" si="2"/>
        <v/>
      </c>
      <c r="AC40" s="8" t="e">
        <f t="shared" si="3"/>
        <v>#VALUE!</v>
      </c>
      <c r="AZ40" s="8">
        <v>39</v>
      </c>
      <c r="BA40" s="105" t="str">
        <f>IF('報告書② 第3年度(取組）'!C129="","",'報告書② 第3年度(取組）'!C129&amp;"‡"&amp;'報告書② 第3年度(取組）'!D129)</f>
        <v/>
      </c>
      <c r="BB40" s="8" t="str">
        <f t="shared" si="9"/>
        <v/>
      </c>
      <c r="BC40" s="8" t="e">
        <f t="shared" si="10"/>
        <v>#VALUE!</v>
      </c>
      <c r="BD40" s="8">
        <f>'報告書② 第3年度(取組）'!D129</f>
        <v>0</v>
      </c>
      <c r="BE40" s="8" t="e">
        <f t="shared" si="0"/>
        <v>#VALUE!</v>
      </c>
    </row>
    <row r="41" spans="2:57">
      <c r="B41" s="100"/>
      <c r="Z41" s="8">
        <v>40</v>
      </c>
      <c r="AA41" s="99">
        <f>'報告書② 第1年度(取組）'!C110</f>
        <v>0</v>
      </c>
      <c r="AB41" s="8" t="str">
        <f t="shared" si="2"/>
        <v/>
      </c>
      <c r="AC41" s="8" t="e">
        <f t="shared" si="3"/>
        <v>#VALUE!</v>
      </c>
      <c r="AZ41" s="8">
        <v>40</v>
      </c>
      <c r="BA41" s="105" t="str">
        <f>IF('報告書② 第3年度(取組）'!C130="","",'報告書② 第3年度(取組）'!C130&amp;"‡"&amp;'報告書② 第3年度(取組）'!D130)</f>
        <v/>
      </c>
      <c r="BB41" s="8" t="str">
        <f t="shared" si="9"/>
        <v/>
      </c>
      <c r="BC41" s="8" t="e">
        <f t="shared" si="10"/>
        <v>#VALUE!</v>
      </c>
      <c r="BD41" s="8">
        <f>'報告書② 第3年度(取組）'!D130</f>
        <v>0</v>
      </c>
      <c r="BE41" s="8" t="e">
        <f t="shared" si="0"/>
        <v>#VALUE!</v>
      </c>
    </row>
    <row r="42" spans="2:57">
      <c r="B42" s="100"/>
      <c r="Z42" s="8">
        <v>41</v>
      </c>
      <c r="AA42" s="106">
        <f>'報告書② 第2年度(取組）'!C91</f>
        <v>0</v>
      </c>
      <c r="AB42" s="8" t="str">
        <f t="shared" si="2"/>
        <v/>
      </c>
      <c r="AC42" s="8" t="e">
        <f t="shared" si="3"/>
        <v>#VALUE!</v>
      </c>
    </row>
    <row r="43" spans="2:57">
      <c r="B43" s="100"/>
      <c r="Z43" s="8">
        <v>42</v>
      </c>
      <c r="AA43" s="106">
        <f>'報告書② 第2年度(取組）'!C92</f>
        <v>0</v>
      </c>
      <c r="AB43" s="8" t="str">
        <f t="shared" si="2"/>
        <v/>
      </c>
      <c r="AC43" s="8" t="e">
        <f t="shared" si="3"/>
        <v>#VALUE!</v>
      </c>
    </row>
    <row r="44" spans="2:57">
      <c r="B44" s="100"/>
      <c r="Z44" s="8">
        <v>43</v>
      </c>
      <c r="AA44" s="106">
        <f>'報告書② 第2年度(取組）'!C93</f>
        <v>0</v>
      </c>
      <c r="AB44" s="8" t="str">
        <f t="shared" si="2"/>
        <v/>
      </c>
      <c r="AC44" s="8" t="e">
        <f t="shared" si="3"/>
        <v>#VALUE!</v>
      </c>
    </row>
    <row r="45" spans="2:57">
      <c r="B45" s="100"/>
      <c r="D45" s="101"/>
      <c r="G45" s="101"/>
      <c r="Z45" s="8">
        <v>44</v>
      </c>
      <c r="AA45" s="106">
        <f>'報告書② 第2年度(取組）'!C94</f>
        <v>0</v>
      </c>
      <c r="AB45" s="8" t="str">
        <f t="shared" si="2"/>
        <v/>
      </c>
      <c r="AC45" s="8" t="e">
        <f t="shared" si="3"/>
        <v>#VALUE!</v>
      </c>
    </row>
    <row r="46" spans="2:57">
      <c r="B46" s="100"/>
      <c r="Z46" s="8">
        <v>45</v>
      </c>
      <c r="AA46" s="106">
        <f>'報告書② 第2年度(取組）'!C95</f>
        <v>0</v>
      </c>
      <c r="AB46" s="8" t="str">
        <f t="shared" si="2"/>
        <v/>
      </c>
      <c r="AC46" s="8" t="e">
        <f t="shared" si="3"/>
        <v>#VALUE!</v>
      </c>
    </row>
    <row r="47" spans="2:57">
      <c r="B47" s="100"/>
      <c r="Z47" s="8">
        <v>46</v>
      </c>
      <c r="AA47" s="106">
        <f>'報告書② 第2年度(取組）'!C96</f>
        <v>0</v>
      </c>
      <c r="AB47" s="8" t="str">
        <f t="shared" si="2"/>
        <v/>
      </c>
      <c r="AC47" s="8" t="e">
        <f t="shared" si="3"/>
        <v>#VALUE!</v>
      </c>
    </row>
    <row r="48" spans="2:57">
      <c r="B48" s="100"/>
      <c r="D48" s="100"/>
      <c r="E48" s="100"/>
      <c r="Z48" s="8">
        <v>47</v>
      </c>
      <c r="AA48" s="106">
        <f>'報告書② 第2年度(取組）'!C97</f>
        <v>0</v>
      </c>
      <c r="AB48" s="8" t="str">
        <f t="shared" si="2"/>
        <v/>
      </c>
      <c r="AC48" s="8" t="e">
        <f t="shared" si="3"/>
        <v>#VALUE!</v>
      </c>
    </row>
    <row r="49" spans="2:29">
      <c r="B49" s="100"/>
      <c r="D49" s="100"/>
      <c r="E49" s="100"/>
      <c r="Z49" s="8">
        <v>48</v>
      </c>
      <c r="AA49" s="106">
        <f>'報告書② 第2年度(取組）'!C98</f>
        <v>0</v>
      </c>
      <c r="AB49" s="8" t="str">
        <f t="shared" si="2"/>
        <v/>
      </c>
      <c r="AC49" s="8" t="e">
        <f t="shared" si="3"/>
        <v>#VALUE!</v>
      </c>
    </row>
    <row r="50" spans="2:29">
      <c r="B50" s="100"/>
      <c r="D50" s="102"/>
      <c r="E50" s="100"/>
      <c r="Z50" s="8">
        <v>49</v>
      </c>
      <c r="AA50" s="106">
        <f>'報告書② 第2年度(取組）'!C99</f>
        <v>0</v>
      </c>
      <c r="AB50" s="8" t="str">
        <f t="shared" si="2"/>
        <v/>
      </c>
      <c r="AC50" s="8" t="e">
        <f t="shared" si="3"/>
        <v>#VALUE!</v>
      </c>
    </row>
    <row r="51" spans="2:29">
      <c r="B51" s="100"/>
      <c r="D51" s="100"/>
      <c r="E51" s="100"/>
      <c r="Z51" s="8">
        <v>50</v>
      </c>
      <c r="AA51" s="106">
        <f>'報告書② 第2年度(取組）'!C100</f>
        <v>0</v>
      </c>
      <c r="AB51" s="8" t="str">
        <f t="shared" si="2"/>
        <v/>
      </c>
      <c r="AC51" s="8" t="e">
        <f t="shared" si="3"/>
        <v>#VALUE!</v>
      </c>
    </row>
    <row r="52" spans="2:29">
      <c r="B52" s="100"/>
      <c r="D52" s="100"/>
      <c r="E52" s="100"/>
      <c r="Z52" s="8">
        <v>51</v>
      </c>
      <c r="AA52" s="106">
        <f>'報告書② 第2年度(取組）'!C101</f>
        <v>0</v>
      </c>
      <c r="AB52" s="8" t="str">
        <f t="shared" si="2"/>
        <v/>
      </c>
      <c r="AC52" s="8" t="e">
        <f t="shared" si="3"/>
        <v>#VALUE!</v>
      </c>
    </row>
    <row r="53" spans="2:29">
      <c r="B53" s="100"/>
      <c r="D53" s="100"/>
      <c r="E53" s="100"/>
      <c r="Z53" s="8">
        <v>52</v>
      </c>
      <c r="AA53" s="106">
        <f>'報告書② 第2年度(取組）'!C102</f>
        <v>0</v>
      </c>
      <c r="AB53" s="8" t="str">
        <f t="shared" si="2"/>
        <v/>
      </c>
      <c r="AC53" s="8" t="e">
        <f t="shared" si="3"/>
        <v>#VALUE!</v>
      </c>
    </row>
    <row r="54" spans="2:29">
      <c r="B54" s="100"/>
      <c r="D54" s="100"/>
      <c r="E54" s="100"/>
      <c r="Z54" s="8">
        <v>53</v>
      </c>
      <c r="AA54" s="106">
        <f>'報告書② 第2年度(取組）'!C103</f>
        <v>0</v>
      </c>
      <c r="AB54" s="8" t="str">
        <f t="shared" si="2"/>
        <v/>
      </c>
      <c r="AC54" s="8" t="e">
        <f t="shared" si="3"/>
        <v>#VALUE!</v>
      </c>
    </row>
    <row r="55" spans="2:29">
      <c r="B55" s="100"/>
      <c r="D55" s="100"/>
      <c r="E55" s="100"/>
      <c r="Z55" s="8">
        <v>54</v>
      </c>
      <c r="AA55" s="106">
        <f>'報告書② 第2年度(取組）'!C104</f>
        <v>0</v>
      </c>
      <c r="AB55" s="8" t="str">
        <f t="shared" si="2"/>
        <v/>
      </c>
      <c r="AC55" s="8" t="e">
        <f t="shared" si="3"/>
        <v>#VALUE!</v>
      </c>
    </row>
    <row r="56" spans="2:29">
      <c r="B56" s="100"/>
      <c r="D56" s="100"/>
      <c r="E56" s="100"/>
      <c r="Z56" s="8">
        <v>55</v>
      </c>
      <c r="AA56" s="106">
        <f>'報告書② 第2年度(取組）'!C105</f>
        <v>0</v>
      </c>
      <c r="AB56" s="8" t="str">
        <f t="shared" si="2"/>
        <v/>
      </c>
      <c r="AC56" s="8" t="e">
        <f t="shared" si="3"/>
        <v>#VALUE!</v>
      </c>
    </row>
    <row r="57" spans="2:29">
      <c r="B57" s="100"/>
      <c r="D57" s="103"/>
      <c r="E57" s="103"/>
      <c r="Z57" s="8">
        <v>56</v>
      </c>
      <c r="AA57" s="106">
        <f>'報告書② 第2年度(取組）'!C106</f>
        <v>0</v>
      </c>
      <c r="AB57" s="8" t="str">
        <f t="shared" si="2"/>
        <v/>
      </c>
      <c r="AC57" s="8" t="e">
        <f t="shared" si="3"/>
        <v>#VALUE!</v>
      </c>
    </row>
    <row r="58" spans="2:29">
      <c r="B58" s="100"/>
      <c r="D58" s="100"/>
      <c r="E58" s="100"/>
      <c r="Z58" s="8">
        <v>57</v>
      </c>
      <c r="AA58" s="106">
        <f>'報告書② 第2年度(取組）'!C107</f>
        <v>0</v>
      </c>
      <c r="AB58" s="8" t="str">
        <f t="shared" si="2"/>
        <v/>
      </c>
      <c r="AC58" s="8" t="e">
        <f t="shared" si="3"/>
        <v>#VALUE!</v>
      </c>
    </row>
    <row r="59" spans="2:29">
      <c r="B59" s="100"/>
      <c r="D59" s="100"/>
      <c r="E59" s="100"/>
      <c r="Z59" s="8">
        <v>58</v>
      </c>
      <c r="AA59" s="106">
        <f>'報告書② 第2年度(取組）'!C108</f>
        <v>0</v>
      </c>
      <c r="AB59" s="8" t="str">
        <f t="shared" si="2"/>
        <v/>
      </c>
      <c r="AC59" s="8" t="e">
        <f t="shared" si="3"/>
        <v>#VALUE!</v>
      </c>
    </row>
    <row r="60" spans="2:29">
      <c r="B60" s="100"/>
      <c r="D60" s="100"/>
      <c r="E60" s="100"/>
      <c r="Z60" s="8">
        <v>59</v>
      </c>
      <c r="AA60" s="106">
        <f>'報告書② 第2年度(取組）'!C109</f>
        <v>0</v>
      </c>
      <c r="AB60" s="8" t="str">
        <f t="shared" si="2"/>
        <v/>
      </c>
      <c r="AC60" s="8" t="e">
        <f t="shared" si="3"/>
        <v>#VALUE!</v>
      </c>
    </row>
    <row r="61" spans="2:29">
      <c r="B61" s="100"/>
      <c r="Z61" s="8">
        <v>60</v>
      </c>
      <c r="AA61" s="106">
        <f>'報告書② 第2年度(取組）'!C110</f>
        <v>0</v>
      </c>
      <c r="AB61" s="8" t="str">
        <f t="shared" si="2"/>
        <v/>
      </c>
      <c r="AC61" s="8" t="e">
        <f t="shared" si="3"/>
        <v>#VALUE!</v>
      </c>
    </row>
    <row r="62" spans="2:29">
      <c r="B62" s="100"/>
      <c r="Z62" s="8">
        <v>61</v>
      </c>
      <c r="AA62" s="105">
        <f>'報告書② 第3年度(取組）'!C91</f>
        <v>0</v>
      </c>
      <c r="AB62" s="8" t="str">
        <f t="shared" si="2"/>
        <v/>
      </c>
      <c r="AC62" s="8" t="e">
        <f t="shared" si="3"/>
        <v>#VALUE!</v>
      </c>
    </row>
    <row r="63" spans="2:29">
      <c r="B63" s="100"/>
      <c r="Z63" s="8">
        <v>62</v>
      </c>
      <c r="AA63" s="105">
        <f>'報告書② 第3年度(取組）'!C92</f>
        <v>0</v>
      </c>
      <c r="AB63" s="8" t="str">
        <f t="shared" si="2"/>
        <v/>
      </c>
      <c r="AC63" s="8" t="e">
        <f t="shared" si="3"/>
        <v>#VALUE!</v>
      </c>
    </row>
    <row r="64" spans="2:29">
      <c r="B64" s="100"/>
      <c r="Z64" s="8">
        <v>63</v>
      </c>
      <c r="AA64" s="105">
        <f>'報告書② 第3年度(取組）'!C93</f>
        <v>0</v>
      </c>
      <c r="AB64" s="8" t="str">
        <f t="shared" si="2"/>
        <v/>
      </c>
      <c r="AC64" s="8" t="e">
        <f t="shared" si="3"/>
        <v>#VALUE!</v>
      </c>
    </row>
    <row r="65" spans="26:29">
      <c r="Z65" s="8">
        <v>64</v>
      </c>
      <c r="AA65" s="105">
        <f>'報告書② 第3年度(取組）'!C94</f>
        <v>0</v>
      </c>
      <c r="AB65" s="8" t="str">
        <f t="shared" si="2"/>
        <v/>
      </c>
      <c r="AC65" s="8" t="e">
        <f t="shared" si="3"/>
        <v>#VALUE!</v>
      </c>
    </row>
    <row r="66" spans="26:29">
      <c r="Z66" s="8">
        <v>65</v>
      </c>
      <c r="AA66" s="105">
        <f>'報告書② 第3年度(取組）'!C95</f>
        <v>0</v>
      </c>
      <c r="AB66" s="8" t="str">
        <f t="shared" si="2"/>
        <v/>
      </c>
      <c r="AC66" s="8" t="e">
        <f t="shared" si="3"/>
        <v>#VALUE!</v>
      </c>
    </row>
    <row r="67" spans="26:29">
      <c r="Z67" s="8">
        <v>66</v>
      </c>
      <c r="AA67" s="105">
        <f>'報告書② 第3年度(取組）'!C96</f>
        <v>0</v>
      </c>
      <c r="AB67" s="8" t="str">
        <f t="shared" ref="AB67:AB81" si="22">IF(AA67&lt;&gt;0,ROW()-1,"")</f>
        <v/>
      </c>
      <c r="AC67" s="8" t="e">
        <f t="shared" ref="AC67:AC81" si="23">RANK(AB67,$AB$2:$AB$81,1)</f>
        <v>#VALUE!</v>
      </c>
    </row>
    <row r="68" spans="26:29">
      <c r="Z68" s="8">
        <v>67</v>
      </c>
      <c r="AA68" s="105">
        <f>'報告書② 第3年度(取組）'!C97</f>
        <v>0</v>
      </c>
      <c r="AB68" s="8" t="str">
        <f t="shared" si="22"/>
        <v/>
      </c>
      <c r="AC68" s="8" t="e">
        <f t="shared" si="23"/>
        <v>#VALUE!</v>
      </c>
    </row>
    <row r="69" spans="26:29">
      <c r="Z69" s="8">
        <v>68</v>
      </c>
      <c r="AA69" s="105">
        <f>'報告書② 第3年度(取組）'!C98</f>
        <v>0</v>
      </c>
      <c r="AB69" s="8" t="str">
        <f t="shared" si="22"/>
        <v/>
      </c>
      <c r="AC69" s="8" t="e">
        <f t="shared" si="23"/>
        <v>#VALUE!</v>
      </c>
    </row>
    <row r="70" spans="26:29">
      <c r="Z70" s="8">
        <v>69</v>
      </c>
      <c r="AA70" s="105">
        <f>'報告書② 第3年度(取組）'!C99</f>
        <v>0</v>
      </c>
      <c r="AB70" s="8" t="str">
        <f t="shared" si="22"/>
        <v/>
      </c>
      <c r="AC70" s="8" t="e">
        <f t="shared" si="23"/>
        <v>#VALUE!</v>
      </c>
    </row>
    <row r="71" spans="26:29">
      <c r="Z71" s="8">
        <v>70</v>
      </c>
      <c r="AA71" s="105">
        <f>'報告書② 第3年度(取組）'!C100</f>
        <v>0</v>
      </c>
      <c r="AB71" s="8" t="str">
        <f t="shared" si="22"/>
        <v/>
      </c>
      <c r="AC71" s="8" t="e">
        <f t="shared" si="23"/>
        <v>#VALUE!</v>
      </c>
    </row>
    <row r="72" spans="26:29">
      <c r="Z72" s="8">
        <v>71</v>
      </c>
      <c r="AA72" s="105">
        <f>'報告書② 第3年度(取組）'!C101</f>
        <v>0</v>
      </c>
      <c r="AB72" s="8" t="str">
        <f t="shared" si="22"/>
        <v/>
      </c>
      <c r="AC72" s="8" t="e">
        <f t="shared" si="23"/>
        <v>#VALUE!</v>
      </c>
    </row>
    <row r="73" spans="26:29">
      <c r="Z73" s="8">
        <v>72</v>
      </c>
      <c r="AA73" s="105">
        <f>'報告書② 第3年度(取組）'!C102</f>
        <v>0</v>
      </c>
      <c r="AB73" s="8" t="str">
        <f t="shared" si="22"/>
        <v/>
      </c>
      <c r="AC73" s="8" t="e">
        <f t="shared" si="23"/>
        <v>#VALUE!</v>
      </c>
    </row>
    <row r="74" spans="26:29">
      <c r="Z74" s="8">
        <v>73</v>
      </c>
      <c r="AA74" s="105">
        <f>'報告書② 第3年度(取組）'!C103</f>
        <v>0</v>
      </c>
      <c r="AB74" s="8" t="str">
        <f t="shared" si="22"/>
        <v/>
      </c>
      <c r="AC74" s="8" t="e">
        <f t="shared" si="23"/>
        <v>#VALUE!</v>
      </c>
    </row>
    <row r="75" spans="26:29">
      <c r="Z75" s="8">
        <v>74</v>
      </c>
      <c r="AA75" s="105">
        <f>'報告書② 第3年度(取組）'!C104</f>
        <v>0</v>
      </c>
      <c r="AB75" s="8" t="str">
        <f t="shared" si="22"/>
        <v/>
      </c>
      <c r="AC75" s="8" t="e">
        <f t="shared" si="23"/>
        <v>#VALUE!</v>
      </c>
    </row>
    <row r="76" spans="26:29">
      <c r="Z76" s="8">
        <v>75</v>
      </c>
      <c r="AA76" s="105">
        <f>'報告書② 第3年度(取組）'!C105</f>
        <v>0</v>
      </c>
      <c r="AB76" s="8" t="str">
        <f t="shared" si="22"/>
        <v/>
      </c>
      <c r="AC76" s="8" t="e">
        <f t="shared" si="23"/>
        <v>#VALUE!</v>
      </c>
    </row>
    <row r="77" spans="26:29">
      <c r="Z77" s="8">
        <v>76</v>
      </c>
      <c r="AA77" s="105">
        <f>'報告書② 第3年度(取組）'!C106</f>
        <v>0</v>
      </c>
      <c r="AB77" s="8" t="str">
        <f t="shared" si="22"/>
        <v/>
      </c>
      <c r="AC77" s="8" t="e">
        <f t="shared" si="23"/>
        <v>#VALUE!</v>
      </c>
    </row>
    <row r="78" spans="26:29">
      <c r="Z78" s="8">
        <v>77</v>
      </c>
      <c r="AA78" s="105">
        <f>'報告書② 第3年度(取組）'!C107</f>
        <v>0</v>
      </c>
      <c r="AB78" s="8" t="str">
        <f t="shared" si="22"/>
        <v/>
      </c>
      <c r="AC78" s="8" t="e">
        <f t="shared" si="23"/>
        <v>#VALUE!</v>
      </c>
    </row>
    <row r="79" spans="26:29">
      <c r="Z79" s="8">
        <v>78</v>
      </c>
      <c r="AA79" s="105">
        <f>'報告書② 第3年度(取組）'!C108</f>
        <v>0</v>
      </c>
      <c r="AB79" s="8" t="str">
        <f t="shared" si="22"/>
        <v/>
      </c>
      <c r="AC79" s="8" t="e">
        <f t="shared" si="23"/>
        <v>#VALUE!</v>
      </c>
    </row>
    <row r="80" spans="26:29">
      <c r="Z80" s="8">
        <v>79</v>
      </c>
      <c r="AA80" s="105">
        <f>'報告書② 第3年度(取組）'!C109</f>
        <v>0</v>
      </c>
      <c r="AB80" s="8" t="str">
        <f t="shared" si="22"/>
        <v/>
      </c>
      <c r="AC80" s="8" t="e">
        <f t="shared" si="23"/>
        <v>#VALUE!</v>
      </c>
    </row>
    <row r="81" spans="26:29">
      <c r="Z81" s="8">
        <v>80</v>
      </c>
      <c r="AA81" s="105">
        <f>'報告書② 第3年度(取組）'!C110</f>
        <v>0</v>
      </c>
      <c r="AB81" s="8" t="str">
        <f t="shared" si="22"/>
        <v/>
      </c>
      <c r="AC81" s="8" t="e">
        <f t="shared" si="23"/>
        <v>#VALUE!</v>
      </c>
    </row>
  </sheetData>
  <sheetProtection algorithmName="SHA-512" hashValue="NWOScY/g+ijHaanJUzoK3/wZ8Fj3R3BprphVS3Q1q0XfSsBrypZSHbJ0MxriqZYe5LzK2XkaxIsnpBxfWL5/xA==" saltValue="OlT8B8/PsPc5C+K3uy1dJQ==" spinCount="100000" sheet="1" objects="1" scenarios="1"/>
  <sortState xmlns:xlrd2="http://schemas.microsoft.com/office/spreadsheetml/2017/richdata2" ref="BY15:BY18">
    <sortCondition descending="1" ref="BY15"/>
  </sortState>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AD4F-E384-4D8E-80DF-A377A67027FC}">
  <sheetPr codeName="Sheet16"/>
  <dimension ref="A2:R179"/>
  <sheetViews>
    <sheetView zoomScaleNormal="100" workbookViewId="0">
      <selection activeCell="H17" sqref="H17"/>
    </sheetView>
  </sheetViews>
  <sheetFormatPr defaultRowHeight="13.2"/>
  <cols>
    <col min="1" max="18" width="8.88671875" style="240"/>
  </cols>
  <sheetData>
    <row r="2" spans="1:16" ht="14.4">
      <c r="B2" s="241"/>
    </row>
    <row r="3" spans="1:16" ht="14.4">
      <c r="D3" s="242"/>
    </row>
    <row r="7" spans="1:16" ht="14.4">
      <c r="D7" s="243"/>
      <c r="E7" s="244"/>
      <c r="F7" s="244"/>
      <c r="G7" s="244"/>
      <c r="I7" s="244"/>
      <c r="J7" s="244"/>
      <c r="K7" s="244"/>
      <c r="L7" s="244"/>
      <c r="M7" s="244"/>
      <c r="N7" s="244"/>
      <c r="O7" s="244"/>
      <c r="P7" s="244"/>
    </row>
    <row r="8" spans="1:16">
      <c r="B8" s="245"/>
      <c r="C8" s="246"/>
      <c r="D8" s="244"/>
      <c r="E8" s="244"/>
      <c r="F8" s="244"/>
      <c r="G8" s="247"/>
      <c r="H8" s="244"/>
      <c r="I8" s="244"/>
      <c r="K8" s="248"/>
      <c r="L8" s="244"/>
      <c r="M8" s="244"/>
      <c r="N8" s="244"/>
      <c r="O8" s="244"/>
      <c r="P8" s="244"/>
    </row>
    <row r="9" spans="1:16" ht="23.4">
      <c r="A9" s="249"/>
    </row>
    <row r="11" spans="1:16">
      <c r="A11" s="250"/>
      <c r="B11" s="245"/>
    </row>
    <row r="12" spans="1:16">
      <c r="A12" s="250"/>
      <c r="B12" s="250"/>
    </row>
    <row r="13" spans="1:16">
      <c r="B13" s="250"/>
    </row>
    <row r="14" spans="1:16">
      <c r="B14" s="251"/>
    </row>
    <row r="15" spans="1:16">
      <c r="B15" s="251"/>
    </row>
    <row r="16" spans="1:16">
      <c r="B16" s="251"/>
    </row>
    <row r="17" spans="2:2">
      <c r="B17" s="251"/>
    </row>
    <row r="18" spans="2:2">
      <c r="B18" s="251"/>
    </row>
    <row r="19" spans="2:2">
      <c r="B19" s="251"/>
    </row>
    <row r="20" spans="2:2">
      <c r="B20" s="251"/>
    </row>
    <row r="21" spans="2:2">
      <c r="B21" s="251"/>
    </row>
    <row r="22" spans="2:2">
      <c r="B22" s="251"/>
    </row>
    <row r="23" spans="2:2">
      <c r="B23" s="251"/>
    </row>
    <row r="24" spans="2:2">
      <c r="B24" s="251"/>
    </row>
    <row r="25" spans="2:2">
      <c r="B25" s="251"/>
    </row>
    <row r="26" spans="2:2">
      <c r="B26" s="251"/>
    </row>
    <row r="27" spans="2:2">
      <c r="B27" s="251"/>
    </row>
    <row r="28" spans="2:2">
      <c r="B28" s="251"/>
    </row>
    <row r="29" spans="2:2">
      <c r="B29" s="251"/>
    </row>
    <row r="30" spans="2:2">
      <c r="B30" s="251"/>
    </row>
    <row r="31" spans="2:2">
      <c r="B31" s="251"/>
    </row>
    <row r="32" spans="2:2">
      <c r="B32" s="251"/>
    </row>
    <row r="33" spans="1:2">
      <c r="B33" s="251"/>
    </row>
    <row r="34" spans="1:2">
      <c r="B34" s="251"/>
    </row>
    <row r="35" spans="1:2">
      <c r="B35" s="251"/>
    </row>
    <row r="36" spans="1:2">
      <c r="B36" s="251"/>
    </row>
    <row r="37" spans="1:2">
      <c r="B37" s="251"/>
    </row>
    <row r="38" spans="1:2">
      <c r="B38" s="251"/>
    </row>
    <row r="39" spans="1:2">
      <c r="B39" s="251"/>
    </row>
    <row r="40" spans="1:2">
      <c r="B40" s="251"/>
    </row>
    <row r="41" spans="1:2">
      <c r="B41" s="251"/>
    </row>
    <row r="42" spans="1:2">
      <c r="B42" s="251"/>
    </row>
    <row r="43" spans="1:2">
      <c r="B43" s="251"/>
    </row>
    <row r="44" spans="1:2">
      <c r="B44" s="251"/>
    </row>
    <row r="45" spans="1:2">
      <c r="A45" s="250"/>
      <c r="B45" s="252"/>
    </row>
    <row r="85" spans="1:2">
      <c r="A85" s="250"/>
      <c r="B85" s="252"/>
    </row>
    <row r="86" spans="1:2">
      <c r="B86" s="252"/>
    </row>
    <row r="87" spans="1:2">
      <c r="B87" s="250"/>
    </row>
    <row r="125" spans="1:2">
      <c r="A125" s="250"/>
      <c r="B125" s="252"/>
    </row>
    <row r="126" spans="1:2">
      <c r="B126" s="251"/>
    </row>
    <row r="128" spans="1:2">
      <c r="A128" s="250"/>
    </row>
    <row r="129" spans="1:2">
      <c r="A129" s="250"/>
      <c r="B129" s="252"/>
    </row>
    <row r="152" spans="1:13">
      <c r="B152" s="252"/>
    </row>
    <row r="153" spans="1:13">
      <c r="M153" s="250"/>
    </row>
    <row r="154" spans="1:13">
      <c r="A154" s="250"/>
    </row>
    <row r="155" spans="1:13">
      <c r="A155" s="250"/>
      <c r="B155" s="252"/>
    </row>
    <row r="179" spans="2:2">
      <c r="B179" s="252"/>
    </row>
  </sheetData>
  <sheetProtection algorithmName="SHA-512" hashValue="bI7xxJOov/WgSBLHoQnREBWmgmY0uQRAbTLiHAq3+6TDcCaRaPfFXZjKPA5TCScL9YJGlEHrp8XxJErDb9jYLw==" saltValue="wIbz9D9ukVPuH0cjKgq8zg==" spinCount="100000" sheet="1" objects="1" scenarios="1"/>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rgb="FFFF0000"/>
  </sheetPr>
  <dimension ref="A1:U1172"/>
  <sheetViews>
    <sheetView zoomScaleNormal="100" workbookViewId="0">
      <selection activeCell="H17" sqref="H17"/>
    </sheetView>
  </sheetViews>
  <sheetFormatPr defaultColWidth="8.88671875" defaultRowHeight="17.399999999999999"/>
  <cols>
    <col min="1" max="1" width="29.33203125" bestFit="1" customWidth="1"/>
    <col min="2" max="2" width="28.88671875" bestFit="1" customWidth="1"/>
    <col min="3" max="3" width="7.33203125" bestFit="1" customWidth="1"/>
    <col min="4" max="4" width="28.88671875" bestFit="1" customWidth="1"/>
    <col min="5" max="5" width="5.33203125" bestFit="1" customWidth="1"/>
    <col min="6" max="6" width="10.109375" customWidth="1"/>
    <col min="7" max="7" width="10.109375" style="220" customWidth="1"/>
    <col min="8" max="8" width="10.109375" customWidth="1"/>
    <col min="9" max="10" width="8.109375" customWidth="1"/>
    <col min="11" max="12" width="5.44140625" style="8" bestFit="1" customWidth="1"/>
    <col min="13" max="13" width="6" customWidth="1"/>
    <col min="14" max="14" width="28.88671875" bestFit="1" customWidth="1"/>
    <col min="16" max="16" width="11.33203125" style="220" bestFit="1" customWidth="1"/>
    <col min="17" max="17" width="15.44140625" customWidth="1"/>
    <col min="18" max="18" width="10.44140625" bestFit="1" customWidth="1"/>
    <col min="20" max="20" width="27.44140625" bestFit="1" customWidth="1"/>
    <col min="24" max="24" width="10.109375" customWidth="1"/>
  </cols>
  <sheetData>
    <row r="1" spans="1:21">
      <c r="A1" t="s">
        <v>4239</v>
      </c>
      <c r="B1" t="s">
        <v>4240</v>
      </c>
      <c r="C1" t="s">
        <v>4241</v>
      </c>
      <c r="D1" t="s">
        <v>4242</v>
      </c>
      <c r="E1" t="s">
        <v>4243</v>
      </c>
      <c r="F1" t="s">
        <v>4244</v>
      </c>
      <c r="K1" s="8" t="s">
        <v>5321</v>
      </c>
      <c r="L1" s="8" t="s">
        <v>5322</v>
      </c>
      <c r="T1" t="s">
        <v>4245</v>
      </c>
    </row>
    <row r="2" spans="1:21">
      <c r="A2" t="s">
        <v>4218</v>
      </c>
      <c r="B2" t="s">
        <v>4246</v>
      </c>
      <c r="C2" t="s">
        <v>5413</v>
      </c>
      <c r="D2" t="s">
        <v>4246</v>
      </c>
      <c r="E2" t="s">
        <v>5413</v>
      </c>
      <c r="K2" s="8">
        <v>1</v>
      </c>
      <c r="L2" s="8">
        <v>1</v>
      </c>
      <c r="T2" t="s">
        <v>4247</v>
      </c>
      <c r="U2">
        <f t="shared" ref="U2:U9" si="0">COUNTIF(J:J,T2)</f>
        <v>0</v>
      </c>
    </row>
    <row r="3" spans="1:21">
      <c r="A3" t="s">
        <v>4425</v>
      </c>
      <c r="B3" t="s">
        <v>4246</v>
      </c>
      <c r="C3" t="s">
        <v>4255</v>
      </c>
      <c r="D3" t="s">
        <v>4246</v>
      </c>
      <c r="E3" t="s">
        <v>4255</v>
      </c>
      <c r="K3" s="8">
        <v>2</v>
      </c>
      <c r="L3" s="8">
        <v>2</v>
      </c>
      <c r="T3" t="s">
        <v>4248</v>
      </c>
      <c r="U3">
        <f t="shared" si="0"/>
        <v>0</v>
      </c>
    </row>
    <row r="4" spans="1:21">
      <c r="A4" t="s">
        <v>4426</v>
      </c>
      <c r="B4" t="s">
        <v>4246</v>
      </c>
      <c r="C4" t="s">
        <v>4427</v>
      </c>
      <c r="D4" t="s">
        <v>4246</v>
      </c>
      <c r="E4" t="s">
        <v>4427</v>
      </c>
      <c r="K4" s="8">
        <v>3</v>
      </c>
      <c r="L4" s="8">
        <v>3</v>
      </c>
      <c r="T4" t="s">
        <v>4249</v>
      </c>
      <c r="U4">
        <f t="shared" si="0"/>
        <v>0</v>
      </c>
    </row>
    <row r="5" spans="1:21">
      <c r="A5" t="s">
        <v>4428</v>
      </c>
      <c r="B5" t="s">
        <v>4246</v>
      </c>
      <c r="C5" t="s">
        <v>4429</v>
      </c>
      <c r="D5" t="s">
        <v>4246</v>
      </c>
      <c r="E5" t="s">
        <v>4429</v>
      </c>
      <c r="K5" s="8">
        <v>4</v>
      </c>
      <c r="L5" s="8">
        <v>4</v>
      </c>
      <c r="T5" t="s">
        <v>4250</v>
      </c>
      <c r="U5">
        <f t="shared" si="0"/>
        <v>0</v>
      </c>
    </row>
    <row r="6" spans="1:21">
      <c r="A6" t="s">
        <v>20</v>
      </c>
      <c r="B6" t="s">
        <v>4246</v>
      </c>
      <c r="C6" t="s">
        <v>4257</v>
      </c>
      <c r="D6" t="s">
        <v>4246</v>
      </c>
      <c r="E6" t="s">
        <v>4257</v>
      </c>
      <c r="K6" s="8">
        <v>5</v>
      </c>
      <c r="L6" s="8">
        <v>5</v>
      </c>
      <c r="T6" t="s">
        <v>4251</v>
      </c>
      <c r="U6">
        <f t="shared" si="0"/>
        <v>0</v>
      </c>
    </row>
    <row r="7" spans="1:21">
      <c r="A7" t="s">
        <v>19</v>
      </c>
      <c r="B7" t="s">
        <v>4246</v>
      </c>
      <c r="C7" t="s">
        <v>4258</v>
      </c>
      <c r="D7" t="s">
        <v>4246</v>
      </c>
      <c r="E7" t="s">
        <v>4258</v>
      </c>
      <c r="K7" s="8">
        <v>6</v>
      </c>
      <c r="L7" s="8">
        <v>6</v>
      </c>
      <c r="T7" t="s">
        <v>4252</v>
      </c>
      <c r="U7">
        <f t="shared" si="0"/>
        <v>0</v>
      </c>
    </row>
    <row r="8" spans="1:21">
      <c r="A8" t="s">
        <v>21</v>
      </c>
      <c r="B8" t="s">
        <v>4246</v>
      </c>
      <c r="C8" t="s">
        <v>4259</v>
      </c>
      <c r="D8" t="s">
        <v>4246</v>
      </c>
      <c r="E8" t="s">
        <v>4259</v>
      </c>
      <c r="K8" s="8">
        <v>7</v>
      </c>
      <c r="L8" s="8">
        <v>7</v>
      </c>
      <c r="T8" t="s">
        <v>4253</v>
      </c>
      <c r="U8">
        <f t="shared" si="0"/>
        <v>0</v>
      </c>
    </row>
    <row r="9" spans="1:21">
      <c r="A9" t="s">
        <v>22</v>
      </c>
      <c r="B9" t="s">
        <v>4246</v>
      </c>
      <c r="C9" t="s">
        <v>4261</v>
      </c>
      <c r="D9" t="s">
        <v>4246</v>
      </c>
      <c r="E9" t="s">
        <v>4261</v>
      </c>
      <c r="K9" s="8">
        <v>8</v>
      </c>
      <c r="L9" s="8">
        <v>8</v>
      </c>
      <c r="T9" t="s">
        <v>4254</v>
      </c>
      <c r="U9">
        <f t="shared" si="0"/>
        <v>0</v>
      </c>
    </row>
    <row r="10" spans="1:21">
      <c r="A10" t="s">
        <v>4113</v>
      </c>
      <c r="B10" t="s">
        <v>4246</v>
      </c>
      <c r="C10" t="s">
        <v>5408</v>
      </c>
      <c r="D10" t="s">
        <v>4246</v>
      </c>
      <c r="E10" t="s">
        <v>5408</v>
      </c>
      <c r="K10" s="8">
        <v>9</v>
      </c>
      <c r="L10" s="8">
        <v>9</v>
      </c>
    </row>
    <row r="11" spans="1:21">
      <c r="A11" t="s">
        <v>4114</v>
      </c>
      <c r="B11" t="s">
        <v>4246</v>
      </c>
      <c r="C11" t="s">
        <v>5409</v>
      </c>
      <c r="D11" t="s">
        <v>4246</v>
      </c>
      <c r="E11" t="s">
        <v>5409</v>
      </c>
      <c r="K11" s="8">
        <v>10</v>
      </c>
      <c r="L11" s="8">
        <v>10</v>
      </c>
    </row>
    <row r="12" spans="1:21">
      <c r="A12" t="s">
        <v>4115</v>
      </c>
      <c r="B12" t="s">
        <v>4246</v>
      </c>
      <c r="C12" t="s">
        <v>5410</v>
      </c>
      <c r="D12" t="s">
        <v>4246</v>
      </c>
      <c r="E12" t="s">
        <v>5410</v>
      </c>
      <c r="K12" s="8">
        <v>11</v>
      </c>
      <c r="L12" s="8">
        <v>11</v>
      </c>
    </row>
    <row r="13" spans="1:21">
      <c r="A13" t="s">
        <v>4119</v>
      </c>
      <c r="B13" t="s">
        <v>4246</v>
      </c>
      <c r="C13" t="s">
        <v>5411</v>
      </c>
      <c r="D13" t="s">
        <v>4246</v>
      </c>
      <c r="E13" t="s">
        <v>5411</v>
      </c>
      <c r="K13" s="8">
        <v>12</v>
      </c>
      <c r="L13" s="8">
        <v>12</v>
      </c>
    </row>
    <row r="14" spans="1:21">
      <c r="A14" t="s">
        <v>23</v>
      </c>
      <c r="B14" t="s">
        <v>4246</v>
      </c>
      <c r="C14" t="s">
        <v>4271</v>
      </c>
      <c r="D14" t="s">
        <v>4246</v>
      </c>
      <c r="E14" t="s">
        <v>4271</v>
      </c>
      <c r="K14" s="8">
        <v>13</v>
      </c>
      <c r="L14" s="8">
        <v>13</v>
      </c>
      <c r="T14" t="s">
        <v>4260</v>
      </c>
      <c r="U14">
        <f t="shared" ref="U14:U23" si="1">COUNTIF(J:J,T14)</f>
        <v>0</v>
      </c>
    </row>
    <row r="15" spans="1:21">
      <c r="A15" t="s">
        <v>4430</v>
      </c>
      <c r="B15" t="s">
        <v>4246</v>
      </c>
      <c r="C15" t="s">
        <v>4298</v>
      </c>
      <c r="D15" t="s">
        <v>4246</v>
      </c>
      <c r="E15" t="s">
        <v>4298</v>
      </c>
      <c r="K15" s="8">
        <v>14</v>
      </c>
      <c r="L15" s="8">
        <v>14</v>
      </c>
      <c r="T15" t="s">
        <v>4262</v>
      </c>
      <c r="U15">
        <f t="shared" si="1"/>
        <v>0</v>
      </c>
    </row>
    <row r="16" spans="1:21">
      <c r="A16" t="s">
        <v>4431</v>
      </c>
      <c r="B16" t="s">
        <v>4246</v>
      </c>
      <c r="C16" t="s">
        <v>4432</v>
      </c>
      <c r="D16" t="s">
        <v>4246</v>
      </c>
      <c r="E16" t="s">
        <v>4432</v>
      </c>
      <c r="K16" s="8">
        <v>15</v>
      </c>
      <c r="L16" s="8">
        <v>15</v>
      </c>
      <c r="T16" t="s">
        <v>4264</v>
      </c>
      <c r="U16">
        <f t="shared" si="1"/>
        <v>0</v>
      </c>
    </row>
    <row r="17" spans="1:21">
      <c r="A17" t="s">
        <v>24</v>
      </c>
      <c r="B17" t="s">
        <v>4246</v>
      </c>
      <c r="C17" t="s">
        <v>4275</v>
      </c>
      <c r="D17" t="s">
        <v>4246</v>
      </c>
      <c r="E17" t="s">
        <v>4275</v>
      </c>
      <c r="K17" s="8">
        <v>16</v>
      </c>
      <c r="L17" s="8">
        <v>16</v>
      </c>
      <c r="T17" t="s">
        <v>4266</v>
      </c>
      <c r="U17">
        <f t="shared" si="1"/>
        <v>0</v>
      </c>
    </row>
    <row r="18" spans="1:21">
      <c r="A18" t="s">
        <v>4433</v>
      </c>
      <c r="B18" t="s">
        <v>4246</v>
      </c>
      <c r="C18" t="s">
        <v>4277</v>
      </c>
      <c r="D18" t="s">
        <v>4246</v>
      </c>
      <c r="E18" t="s">
        <v>4277</v>
      </c>
      <c r="K18" s="8">
        <v>17</v>
      </c>
      <c r="L18" s="8">
        <v>17</v>
      </c>
      <c r="T18" t="s">
        <v>4268</v>
      </c>
      <c r="U18">
        <f t="shared" si="1"/>
        <v>0</v>
      </c>
    </row>
    <row r="19" spans="1:21">
      <c r="A19" t="s">
        <v>4434</v>
      </c>
      <c r="B19" t="s">
        <v>4246</v>
      </c>
      <c r="C19" t="s">
        <v>4300</v>
      </c>
      <c r="D19" t="s">
        <v>4246</v>
      </c>
      <c r="E19" t="s">
        <v>4300</v>
      </c>
      <c r="K19" s="8">
        <v>18</v>
      </c>
      <c r="L19" s="8">
        <v>18</v>
      </c>
      <c r="T19" t="s">
        <v>4270</v>
      </c>
      <c r="U19">
        <f t="shared" si="1"/>
        <v>0</v>
      </c>
    </row>
    <row r="20" spans="1:21">
      <c r="A20" t="s">
        <v>4435</v>
      </c>
      <c r="B20" t="s">
        <v>4246</v>
      </c>
      <c r="C20" t="s">
        <v>4436</v>
      </c>
      <c r="D20" t="s">
        <v>4246</v>
      </c>
      <c r="E20" t="s">
        <v>4436</v>
      </c>
      <c r="K20" s="8">
        <v>19</v>
      </c>
      <c r="L20" s="8">
        <v>19</v>
      </c>
      <c r="T20" t="s">
        <v>4272</v>
      </c>
      <c r="U20">
        <f t="shared" si="1"/>
        <v>0</v>
      </c>
    </row>
    <row r="21" spans="1:21">
      <c r="A21" t="s">
        <v>4437</v>
      </c>
      <c r="B21" t="s">
        <v>4246</v>
      </c>
      <c r="C21" t="s">
        <v>4438</v>
      </c>
      <c r="D21" t="s">
        <v>4246</v>
      </c>
      <c r="E21" t="s">
        <v>4438</v>
      </c>
      <c r="K21" s="8">
        <v>20</v>
      </c>
      <c r="L21" s="8">
        <v>20</v>
      </c>
      <c r="T21" t="s">
        <v>4274</v>
      </c>
      <c r="U21">
        <f t="shared" si="1"/>
        <v>0</v>
      </c>
    </row>
    <row r="22" spans="1:21">
      <c r="A22" t="s">
        <v>114</v>
      </c>
      <c r="B22" t="s">
        <v>4246</v>
      </c>
      <c r="C22" t="s">
        <v>4279</v>
      </c>
      <c r="D22" t="s">
        <v>4246</v>
      </c>
      <c r="E22" t="s">
        <v>4279</v>
      </c>
      <c r="K22" s="8">
        <v>21</v>
      </c>
      <c r="L22" s="8">
        <v>21</v>
      </c>
      <c r="T22" t="s">
        <v>4276</v>
      </c>
      <c r="U22">
        <f t="shared" si="1"/>
        <v>0</v>
      </c>
    </row>
    <row r="23" spans="1:21">
      <c r="A23" t="s">
        <v>116</v>
      </c>
      <c r="B23" t="s">
        <v>4246</v>
      </c>
      <c r="C23" t="s">
        <v>4280</v>
      </c>
      <c r="D23" t="s">
        <v>4246</v>
      </c>
      <c r="E23" t="s">
        <v>4280</v>
      </c>
      <c r="K23" s="8">
        <v>22</v>
      </c>
      <c r="L23" s="8">
        <v>22</v>
      </c>
      <c r="T23" t="s">
        <v>4256</v>
      </c>
      <c r="U23">
        <f t="shared" si="1"/>
        <v>0</v>
      </c>
    </row>
    <row r="24" spans="1:21">
      <c r="A24" t="s">
        <v>31</v>
      </c>
      <c r="B24" t="s">
        <v>4246</v>
      </c>
      <c r="C24" t="s">
        <v>4281</v>
      </c>
      <c r="D24" t="s">
        <v>4246</v>
      </c>
      <c r="E24" t="s">
        <v>4281</v>
      </c>
      <c r="K24" s="8">
        <v>23</v>
      </c>
      <c r="L24" s="8">
        <v>23</v>
      </c>
    </row>
    <row r="25" spans="1:21">
      <c r="A25" t="s">
        <v>4439</v>
      </c>
      <c r="B25" t="s">
        <v>4246</v>
      </c>
      <c r="C25" t="s">
        <v>4305</v>
      </c>
      <c r="D25" t="s">
        <v>4246</v>
      </c>
      <c r="E25" t="s">
        <v>4305</v>
      </c>
      <c r="K25" s="8">
        <v>24</v>
      </c>
      <c r="L25" s="8">
        <v>24</v>
      </c>
    </row>
    <row r="26" spans="1:21">
      <c r="A26" t="s">
        <v>4440</v>
      </c>
      <c r="B26" t="s">
        <v>4246</v>
      </c>
      <c r="C26" t="s">
        <v>4441</v>
      </c>
      <c r="D26" t="s">
        <v>4246</v>
      </c>
      <c r="E26" t="s">
        <v>4441</v>
      </c>
      <c r="K26" s="8">
        <v>25</v>
      </c>
      <c r="L26" s="8">
        <v>25</v>
      </c>
    </row>
    <row r="27" spans="1:21">
      <c r="A27" t="s">
        <v>4</v>
      </c>
      <c r="B27" t="s">
        <v>4246</v>
      </c>
      <c r="C27" t="s">
        <v>4283</v>
      </c>
      <c r="D27" t="s">
        <v>4246</v>
      </c>
      <c r="E27" t="s">
        <v>4283</v>
      </c>
      <c r="K27" s="8">
        <v>26</v>
      </c>
      <c r="L27" s="8">
        <v>26</v>
      </c>
    </row>
    <row r="28" spans="1:21">
      <c r="A28" t="s">
        <v>33</v>
      </c>
      <c r="B28" t="s">
        <v>4246</v>
      </c>
      <c r="C28" t="s">
        <v>4284</v>
      </c>
      <c r="D28" t="s">
        <v>4246</v>
      </c>
      <c r="E28" t="s">
        <v>4284</v>
      </c>
      <c r="K28" s="8">
        <v>27</v>
      </c>
      <c r="L28" s="8">
        <v>27</v>
      </c>
    </row>
    <row r="29" spans="1:21">
      <c r="A29" t="s">
        <v>34</v>
      </c>
      <c r="B29" t="s">
        <v>4246</v>
      </c>
      <c r="C29" t="s">
        <v>4285</v>
      </c>
      <c r="D29" t="s">
        <v>4246</v>
      </c>
      <c r="E29" t="s">
        <v>4285</v>
      </c>
      <c r="K29" s="8">
        <v>28</v>
      </c>
      <c r="L29" s="8">
        <v>28</v>
      </c>
    </row>
    <row r="30" spans="1:21">
      <c r="A30" t="s">
        <v>35</v>
      </c>
      <c r="B30" t="s">
        <v>4246</v>
      </c>
      <c r="C30" t="s">
        <v>4286</v>
      </c>
      <c r="D30" t="s">
        <v>4246</v>
      </c>
      <c r="E30" t="s">
        <v>4286</v>
      </c>
      <c r="K30" s="8">
        <v>29</v>
      </c>
      <c r="L30" s="8">
        <v>29</v>
      </c>
    </row>
    <row r="31" spans="1:21">
      <c r="A31" t="s">
        <v>4094</v>
      </c>
      <c r="B31" t="s">
        <v>4246</v>
      </c>
      <c r="C31" t="s">
        <v>4287</v>
      </c>
      <c r="D31" t="s">
        <v>4246</v>
      </c>
      <c r="E31" t="s">
        <v>4287</v>
      </c>
      <c r="K31" s="8">
        <v>30</v>
      </c>
      <c r="L31" s="8">
        <v>30</v>
      </c>
    </row>
    <row r="32" spans="1:21">
      <c r="A32" t="s">
        <v>4442</v>
      </c>
      <c r="B32" t="s">
        <v>5405</v>
      </c>
      <c r="C32" t="s">
        <v>4444</v>
      </c>
      <c r="D32" t="s">
        <v>4443</v>
      </c>
      <c r="E32" t="s">
        <v>4444</v>
      </c>
      <c r="K32" s="8">
        <v>31</v>
      </c>
      <c r="L32" s="8">
        <v>1</v>
      </c>
    </row>
    <row r="33" spans="1:12">
      <c r="A33" t="s">
        <v>4445</v>
      </c>
      <c r="B33" t="s">
        <v>4443</v>
      </c>
      <c r="C33" t="s">
        <v>4446</v>
      </c>
      <c r="D33" t="s">
        <v>4443</v>
      </c>
      <c r="E33" t="s">
        <v>4446</v>
      </c>
      <c r="K33" s="8">
        <v>32</v>
      </c>
      <c r="L33" s="8">
        <v>2</v>
      </c>
    </row>
    <row r="34" spans="1:12">
      <c r="A34" t="s">
        <v>4447</v>
      </c>
      <c r="B34" t="s">
        <v>4443</v>
      </c>
      <c r="C34" t="s">
        <v>4448</v>
      </c>
      <c r="D34" t="s">
        <v>4443</v>
      </c>
      <c r="E34" t="s">
        <v>4448</v>
      </c>
      <c r="K34" s="8">
        <v>33</v>
      </c>
      <c r="L34" s="8">
        <v>3</v>
      </c>
    </row>
    <row r="35" spans="1:12">
      <c r="A35" t="s">
        <v>4449</v>
      </c>
      <c r="B35" t="s">
        <v>4443</v>
      </c>
      <c r="C35" t="s">
        <v>4450</v>
      </c>
      <c r="D35" t="s">
        <v>4443</v>
      </c>
      <c r="E35" t="s">
        <v>4450</v>
      </c>
      <c r="K35" s="8">
        <v>34</v>
      </c>
      <c r="L35" s="8">
        <v>4</v>
      </c>
    </row>
    <row r="36" spans="1:12">
      <c r="A36" t="s">
        <v>5108</v>
      </c>
      <c r="B36" t="s">
        <v>4443</v>
      </c>
      <c r="C36" t="s">
        <v>5106</v>
      </c>
      <c r="D36" t="s">
        <v>4443</v>
      </c>
      <c r="E36" t="s">
        <v>5106</v>
      </c>
      <c r="K36" s="8">
        <v>35</v>
      </c>
      <c r="L36" s="8">
        <v>5</v>
      </c>
    </row>
    <row r="37" spans="1:12">
      <c r="A37" t="s">
        <v>5110</v>
      </c>
      <c r="B37" t="s">
        <v>4443</v>
      </c>
      <c r="C37" t="s">
        <v>5107</v>
      </c>
      <c r="D37" t="s">
        <v>4443</v>
      </c>
      <c r="E37" t="s">
        <v>5107</v>
      </c>
      <c r="K37" s="8">
        <v>36</v>
      </c>
      <c r="L37" s="8">
        <v>6</v>
      </c>
    </row>
    <row r="38" spans="1:12">
      <c r="A38" t="s">
        <v>4451</v>
      </c>
      <c r="B38" t="s">
        <v>4443</v>
      </c>
      <c r="C38" t="s">
        <v>5109</v>
      </c>
      <c r="D38" t="s">
        <v>4443</v>
      </c>
      <c r="E38" t="s">
        <v>5109</v>
      </c>
      <c r="K38" s="8">
        <v>37</v>
      </c>
      <c r="L38" s="8">
        <v>7</v>
      </c>
    </row>
    <row r="39" spans="1:12">
      <c r="A39" t="s">
        <v>4452</v>
      </c>
      <c r="B39" t="s">
        <v>5406</v>
      </c>
      <c r="C39" t="s">
        <v>4255</v>
      </c>
      <c r="D39" t="s">
        <v>4453</v>
      </c>
      <c r="E39" t="s">
        <v>4255</v>
      </c>
      <c r="K39" s="8">
        <v>38</v>
      </c>
      <c r="L39" s="8">
        <v>1</v>
      </c>
    </row>
    <row r="40" spans="1:12">
      <c r="A40" t="s">
        <v>4454</v>
      </c>
      <c r="B40" t="s">
        <v>4453</v>
      </c>
      <c r="C40" t="s">
        <v>4257</v>
      </c>
      <c r="D40" t="s">
        <v>4453</v>
      </c>
      <c r="E40" t="s">
        <v>4257</v>
      </c>
      <c r="K40" s="8">
        <v>39</v>
      </c>
      <c r="L40" s="8">
        <v>2</v>
      </c>
    </row>
    <row r="41" spans="1:12">
      <c r="A41" t="s">
        <v>4455</v>
      </c>
      <c r="B41" t="s">
        <v>4453</v>
      </c>
      <c r="C41" t="s">
        <v>4258</v>
      </c>
      <c r="D41" t="s">
        <v>4453</v>
      </c>
      <c r="E41" t="s">
        <v>4258</v>
      </c>
      <c r="K41" s="8">
        <v>40</v>
      </c>
      <c r="L41" s="8">
        <v>3</v>
      </c>
    </row>
    <row r="42" spans="1:12">
      <c r="A42" t="s">
        <v>4456</v>
      </c>
      <c r="B42" t="s">
        <v>4453</v>
      </c>
      <c r="C42" t="s">
        <v>4259</v>
      </c>
      <c r="D42" t="s">
        <v>4453</v>
      </c>
      <c r="E42" t="s">
        <v>4259</v>
      </c>
      <c r="K42" s="8">
        <v>41</v>
      </c>
      <c r="L42" s="8">
        <v>4</v>
      </c>
    </row>
    <row r="43" spans="1:12">
      <c r="A43" t="s">
        <v>4457</v>
      </c>
      <c r="B43" t="s">
        <v>4453</v>
      </c>
      <c r="C43" t="s">
        <v>4261</v>
      </c>
      <c r="D43" t="s">
        <v>4453</v>
      </c>
      <c r="E43" t="s">
        <v>4261</v>
      </c>
      <c r="K43" s="8">
        <v>42</v>
      </c>
      <c r="L43" s="8">
        <v>5</v>
      </c>
    </row>
    <row r="44" spans="1:12">
      <c r="A44" t="s">
        <v>4458</v>
      </c>
      <c r="B44" t="s">
        <v>4453</v>
      </c>
      <c r="C44" t="s">
        <v>4263</v>
      </c>
      <c r="D44" t="s">
        <v>4453</v>
      </c>
      <c r="E44" t="s">
        <v>4263</v>
      </c>
      <c r="K44" s="8">
        <v>43</v>
      </c>
      <c r="L44" s="8">
        <v>6</v>
      </c>
    </row>
    <row r="45" spans="1:12">
      <c r="A45" t="s">
        <v>4459</v>
      </c>
      <c r="B45" t="s">
        <v>4453</v>
      </c>
      <c r="C45" t="s">
        <v>4265</v>
      </c>
      <c r="D45" t="s">
        <v>4453</v>
      </c>
      <c r="E45" t="s">
        <v>4265</v>
      </c>
      <c r="K45" s="8">
        <v>44</v>
      </c>
      <c r="L45" s="8">
        <v>7</v>
      </c>
    </row>
    <row r="46" spans="1:12">
      <c r="A46" t="s">
        <v>4460</v>
      </c>
      <c r="B46" t="s">
        <v>4453</v>
      </c>
      <c r="C46" t="s">
        <v>4267</v>
      </c>
      <c r="D46" t="s">
        <v>4453</v>
      </c>
      <c r="E46" t="s">
        <v>4267</v>
      </c>
      <c r="K46" s="8">
        <v>45</v>
      </c>
      <c r="L46" s="8">
        <v>8</v>
      </c>
    </row>
    <row r="47" spans="1:12">
      <c r="A47" t="s">
        <v>4461</v>
      </c>
      <c r="B47" t="s">
        <v>4453</v>
      </c>
      <c r="C47" t="s">
        <v>4269</v>
      </c>
      <c r="D47" t="s">
        <v>4453</v>
      </c>
      <c r="E47" t="s">
        <v>4269</v>
      </c>
      <c r="K47" s="8">
        <v>46</v>
      </c>
      <c r="L47" s="8">
        <v>9</v>
      </c>
    </row>
    <row r="48" spans="1:12">
      <c r="A48" t="s">
        <v>4462</v>
      </c>
      <c r="B48" t="s">
        <v>4453</v>
      </c>
      <c r="C48" t="s">
        <v>4271</v>
      </c>
      <c r="D48" t="s">
        <v>4453</v>
      </c>
      <c r="E48" t="s">
        <v>4271</v>
      </c>
      <c r="K48" s="8">
        <v>47</v>
      </c>
      <c r="L48" s="8">
        <v>10</v>
      </c>
    </row>
    <row r="49" spans="1:12">
      <c r="A49" t="s">
        <v>4463</v>
      </c>
      <c r="B49" t="s">
        <v>4453</v>
      </c>
      <c r="C49" t="s">
        <v>4273</v>
      </c>
      <c r="D49" t="s">
        <v>4453</v>
      </c>
      <c r="E49" t="s">
        <v>4273</v>
      </c>
      <c r="K49" s="8">
        <v>48</v>
      </c>
      <c r="L49" s="8">
        <v>11</v>
      </c>
    </row>
    <row r="50" spans="1:12">
      <c r="A50" t="s">
        <v>4464</v>
      </c>
      <c r="B50" t="s">
        <v>4453</v>
      </c>
      <c r="C50" t="s">
        <v>4275</v>
      </c>
      <c r="D50" t="s">
        <v>4453</v>
      </c>
      <c r="E50" t="s">
        <v>4275</v>
      </c>
      <c r="K50" s="8">
        <v>49</v>
      </c>
      <c r="L50" s="8">
        <v>12</v>
      </c>
    </row>
    <row r="51" spans="1:12">
      <c r="A51" t="s">
        <v>4465</v>
      </c>
      <c r="B51" t="s">
        <v>4453</v>
      </c>
      <c r="C51" t="s">
        <v>4277</v>
      </c>
      <c r="D51" t="s">
        <v>4453</v>
      </c>
      <c r="E51" t="s">
        <v>4277</v>
      </c>
      <c r="K51" s="8">
        <v>50</v>
      </c>
      <c r="L51" s="8">
        <v>13</v>
      </c>
    </row>
    <row r="52" spans="1:12">
      <c r="A52" t="s">
        <v>4466</v>
      </c>
      <c r="B52" t="s">
        <v>4453</v>
      </c>
      <c r="C52" t="s">
        <v>4278</v>
      </c>
      <c r="D52" t="s">
        <v>4453</v>
      </c>
      <c r="E52" t="s">
        <v>4278</v>
      </c>
      <c r="K52" s="8">
        <v>51</v>
      </c>
      <c r="L52" s="8">
        <v>14</v>
      </c>
    </row>
    <row r="53" spans="1:12">
      <c r="A53" t="s">
        <v>4467</v>
      </c>
      <c r="B53" t="s">
        <v>4453</v>
      </c>
      <c r="C53" t="s">
        <v>4279</v>
      </c>
      <c r="D53" t="s">
        <v>4453</v>
      </c>
      <c r="E53" t="s">
        <v>4279</v>
      </c>
      <c r="K53" s="8">
        <v>52</v>
      </c>
      <c r="L53" s="8">
        <v>15</v>
      </c>
    </row>
    <row r="54" spans="1:12">
      <c r="A54" t="s">
        <v>4468</v>
      </c>
      <c r="B54" t="s">
        <v>4453</v>
      </c>
      <c r="C54" t="s">
        <v>4280</v>
      </c>
      <c r="D54" t="s">
        <v>4453</v>
      </c>
      <c r="E54" t="s">
        <v>4280</v>
      </c>
      <c r="K54" s="8">
        <v>53</v>
      </c>
      <c r="L54" s="8">
        <v>16</v>
      </c>
    </row>
    <row r="55" spans="1:12">
      <c r="A55" t="s">
        <v>4469</v>
      </c>
      <c r="B55" t="s">
        <v>4453</v>
      </c>
      <c r="C55" t="s">
        <v>4281</v>
      </c>
      <c r="D55" t="s">
        <v>4453</v>
      </c>
      <c r="E55" t="s">
        <v>4281</v>
      </c>
      <c r="K55" s="8">
        <v>54</v>
      </c>
      <c r="L55" s="8">
        <v>17</v>
      </c>
    </row>
    <row r="56" spans="1:12">
      <c r="A56" t="s">
        <v>4470</v>
      </c>
      <c r="B56" t="s">
        <v>4453</v>
      </c>
      <c r="C56" t="s">
        <v>4282</v>
      </c>
      <c r="D56" t="s">
        <v>4453</v>
      </c>
      <c r="E56" t="s">
        <v>4282</v>
      </c>
      <c r="K56" s="8">
        <v>55</v>
      </c>
      <c r="L56" s="8">
        <v>18</v>
      </c>
    </row>
    <row r="57" spans="1:12">
      <c r="A57" t="s">
        <v>4471</v>
      </c>
      <c r="B57" t="s">
        <v>4453</v>
      </c>
      <c r="C57" t="s">
        <v>4283</v>
      </c>
      <c r="D57" t="s">
        <v>4453</v>
      </c>
      <c r="E57" t="s">
        <v>4283</v>
      </c>
      <c r="K57" s="8">
        <v>56</v>
      </c>
      <c r="L57" s="8">
        <v>19</v>
      </c>
    </row>
    <row r="58" spans="1:12">
      <c r="A58" t="s">
        <v>4472</v>
      </c>
      <c r="B58" t="s">
        <v>4453</v>
      </c>
      <c r="C58" t="s">
        <v>4284</v>
      </c>
      <c r="D58" t="s">
        <v>4453</v>
      </c>
      <c r="E58" t="s">
        <v>4284</v>
      </c>
      <c r="K58" s="8">
        <v>57</v>
      </c>
      <c r="L58" s="8">
        <v>20</v>
      </c>
    </row>
    <row r="59" spans="1:12">
      <c r="A59" t="s">
        <v>4473</v>
      </c>
      <c r="B59" t="s">
        <v>4453</v>
      </c>
      <c r="C59" t="s">
        <v>4285</v>
      </c>
      <c r="D59" t="s">
        <v>4453</v>
      </c>
      <c r="E59" t="s">
        <v>4285</v>
      </c>
      <c r="K59" s="8">
        <v>58</v>
      </c>
      <c r="L59" s="8">
        <v>21</v>
      </c>
    </row>
    <row r="60" spans="1:12">
      <c r="A60" t="s">
        <v>4474</v>
      </c>
      <c r="B60" t="s">
        <v>4453</v>
      </c>
      <c r="C60" t="s">
        <v>4286</v>
      </c>
      <c r="D60" t="s">
        <v>4453</v>
      </c>
      <c r="E60" t="s">
        <v>4286</v>
      </c>
      <c r="K60" s="8">
        <v>59</v>
      </c>
      <c r="L60" s="8">
        <v>22</v>
      </c>
    </row>
    <row r="61" spans="1:12">
      <c r="A61" t="s">
        <v>4475</v>
      </c>
      <c r="B61" t="s">
        <v>4453</v>
      </c>
      <c r="C61" t="s">
        <v>4287</v>
      </c>
      <c r="D61" t="s">
        <v>4453</v>
      </c>
      <c r="E61" t="s">
        <v>4287</v>
      </c>
      <c r="K61" s="8">
        <v>60</v>
      </c>
      <c r="L61" s="8">
        <v>23</v>
      </c>
    </row>
    <row r="62" spans="1:12">
      <c r="A62" t="s">
        <v>4476</v>
      </c>
      <c r="B62" t="s">
        <v>4453</v>
      </c>
      <c r="C62" t="s">
        <v>4477</v>
      </c>
      <c r="D62" t="s">
        <v>4453</v>
      </c>
      <c r="E62" t="s">
        <v>4477</v>
      </c>
      <c r="K62" s="8">
        <v>61</v>
      </c>
      <c r="L62" s="8">
        <v>24</v>
      </c>
    </row>
    <row r="63" spans="1:12">
      <c r="A63" t="s">
        <v>4478</v>
      </c>
      <c r="B63" t="s">
        <v>4453</v>
      </c>
      <c r="C63" t="s">
        <v>4479</v>
      </c>
      <c r="D63" t="s">
        <v>4453</v>
      </c>
      <c r="E63" t="s">
        <v>4479</v>
      </c>
      <c r="K63" s="8">
        <v>62</v>
      </c>
      <c r="L63" s="8">
        <v>25</v>
      </c>
    </row>
    <row r="64" spans="1:12">
      <c r="A64" t="s">
        <v>4480</v>
      </c>
      <c r="B64" t="s">
        <v>4453</v>
      </c>
      <c r="C64" t="s">
        <v>4481</v>
      </c>
      <c r="D64" t="s">
        <v>4453</v>
      </c>
      <c r="E64" t="s">
        <v>4481</v>
      </c>
      <c r="K64" s="8">
        <v>63</v>
      </c>
      <c r="L64" s="8">
        <v>26</v>
      </c>
    </row>
    <row r="65" spans="1:12">
      <c r="A65" t="s">
        <v>4482</v>
      </c>
      <c r="B65" t="s">
        <v>4453</v>
      </c>
      <c r="C65" t="s">
        <v>4483</v>
      </c>
      <c r="D65" t="s">
        <v>4453</v>
      </c>
      <c r="E65" t="s">
        <v>4483</v>
      </c>
      <c r="K65" s="8">
        <v>64</v>
      </c>
      <c r="L65" s="8">
        <v>27</v>
      </c>
    </row>
    <row r="66" spans="1:12">
      <c r="A66" t="s">
        <v>4484</v>
      </c>
      <c r="B66" t="s">
        <v>4453</v>
      </c>
      <c r="C66" t="s">
        <v>4485</v>
      </c>
      <c r="D66" t="s">
        <v>4453</v>
      </c>
      <c r="E66" t="s">
        <v>4485</v>
      </c>
      <c r="K66" s="8">
        <v>65</v>
      </c>
      <c r="L66" s="8">
        <v>28</v>
      </c>
    </row>
    <row r="67" spans="1:12">
      <c r="A67" t="s">
        <v>4486</v>
      </c>
      <c r="B67" t="s">
        <v>4453</v>
      </c>
      <c r="C67" t="s">
        <v>4487</v>
      </c>
      <c r="D67" t="s">
        <v>4453</v>
      </c>
      <c r="E67" t="s">
        <v>4487</v>
      </c>
      <c r="K67" s="8">
        <v>66</v>
      </c>
      <c r="L67" s="8">
        <v>29</v>
      </c>
    </row>
    <row r="68" spans="1:12">
      <c r="A68" t="s">
        <v>4488</v>
      </c>
      <c r="B68" t="s">
        <v>4453</v>
      </c>
      <c r="C68" t="s">
        <v>4489</v>
      </c>
      <c r="D68" t="s">
        <v>4453</v>
      </c>
      <c r="E68" t="s">
        <v>4489</v>
      </c>
      <c r="K68" s="8">
        <v>67</v>
      </c>
      <c r="L68" s="8">
        <v>30</v>
      </c>
    </row>
    <row r="69" spans="1:12">
      <c r="A69" t="s">
        <v>4490</v>
      </c>
      <c r="B69" t="s">
        <v>4453</v>
      </c>
      <c r="C69" t="s">
        <v>4288</v>
      </c>
      <c r="D69" t="s">
        <v>4453</v>
      </c>
      <c r="E69" t="s">
        <v>4288</v>
      </c>
      <c r="K69" s="8">
        <v>68</v>
      </c>
      <c r="L69" s="8">
        <v>1</v>
      </c>
    </row>
    <row r="70" spans="1:12">
      <c r="A70" t="s">
        <v>4491</v>
      </c>
      <c r="B70" t="s">
        <v>4453</v>
      </c>
      <c r="C70" t="s">
        <v>4289</v>
      </c>
      <c r="D70" t="s">
        <v>4453</v>
      </c>
      <c r="E70" t="s">
        <v>4289</v>
      </c>
      <c r="K70" s="8">
        <v>69</v>
      </c>
      <c r="L70" s="8">
        <v>2</v>
      </c>
    </row>
    <row r="71" spans="1:12">
      <c r="A71" t="s">
        <v>4492</v>
      </c>
      <c r="B71" t="s">
        <v>4453</v>
      </c>
      <c r="C71" t="s">
        <v>4290</v>
      </c>
      <c r="D71" t="s">
        <v>4453</v>
      </c>
      <c r="E71" t="s">
        <v>4290</v>
      </c>
      <c r="K71" s="8">
        <v>70</v>
      </c>
      <c r="L71" s="8">
        <v>3</v>
      </c>
    </row>
    <row r="72" spans="1:12">
      <c r="A72" t="s">
        <v>4493</v>
      </c>
      <c r="B72" t="s">
        <v>4453</v>
      </c>
      <c r="C72" t="s">
        <v>4291</v>
      </c>
      <c r="D72" t="s">
        <v>4453</v>
      </c>
      <c r="E72" t="s">
        <v>4291</v>
      </c>
      <c r="K72" s="8">
        <v>71</v>
      </c>
      <c r="L72" s="8">
        <v>4</v>
      </c>
    </row>
    <row r="73" spans="1:12">
      <c r="A73" t="s">
        <v>4494</v>
      </c>
      <c r="B73" t="s">
        <v>4453</v>
      </c>
      <c r="C73" t="s">
        <v>4292</v>
      </c>
      <c r="D73" t="s">
        <v>4453</v>
      </c>
      <c r="E73" t="s">
        <v>4292</v>
      </c>
      <c r="K73" s="8">
        <v>72</v>
      </c>
      <c r="L73" s="8">
        <v>5</v>
      </c>
    </row>
    <row r="74" spans="1:12">
      <c r="A74" t="s">
        <v>4495</v>
      </c>
      <c r="B74" t="s">
        <v>4453</v>
      </c>
      <c r="C74" t="s">
        <v>4293</v>
      </c>
      <c r="D74" t="s">
        <v>4453</v>
      </c>
      <c r="E74" t="s">
        <v>4293</v>
      </c>
      <c r="K74" s="8">
        <v>73</v>
      </c>
      <c r="L74" s="8">
        <v>6</v>
      </c>
    </row>
    <row r="75" spans="1:12">
      <c r="A75" t="s">
        <v>4496</v>
      </c>
      <c r="B75" t="s">
        <v>4453</v>
      </c>
      <c r="C75" t="s">
        <v>4294</v>
      </c>
      <c r="D75" t="s">
        <v>4453</v>
      </c>
      <c r="E75" t="s">
        <v>4294</v>
      </c>
      <c r="K75" s="8">
        <v>74</v>
      </c>
      <c r="L75" s="8">
        <v>7</v>
      </c>
    </row>
    <row r="76" spans="1:12">
      <c r="A76" t="s">
        <v>4497</v>
      </c>
      <c r="B76" t="s">
        <v>4453</v>
      </c>
      <c r="C76" t="s">
        <v>4295</v>
      </c>
      <c r="D76" t="s">
        <v>4453</v>
      </c>
      <c r="E76" t="s">
        <v>4295</v>
      </c>
      <c r="K76" s="8">
        <v>75</v>
      </c>
      <c r="L76" s="8">
        <v>8</v>
      </c>
    </row>
    <row r="77" spans="1:12">
      <c r="A77" t="s">
        <v>4498</v>
      </c>
      <c r="B77" t="s">
        <v>4453</v>
      </c>
      <c r="C77" t="s">
        <v>4296</v>
      </c>
      <c r="D77" t="s">
        <v>4453</v>
      </c>
      <c r="E77" t="s">
        <v>4296</v>
      </c>
      <c r="K77" s="8">
        <v>76</v>
      </c>
      <c r="L77" s="8">
        <v>9</v>
      </c>
    </row>
    <row r="78" spans="1:12">
      <c r="A78" t="s">
        <v>4499</v>
      </c>
      <c r="B78" t="s">
        <v>4453</v>
      </c>
      <c r="C78" t="s">
        <v>4297</v>
      </c>
      <c r="D78" t="s">
        <v>4453</v>
      </c>
      <c r="E78" t="s">
        <v>4297</v>
      </c>
      <c r="K78" s="8">
        <v>77</v>
      </c>
      <c r="L78" s="8">
        <v>10</v>
      </c>
    </row>
    <row r="79" spans="1:12">
      <c r="A79" t="s">
        <v>4500</v>
      </c>
      <c r="B79" t="s">
        <v>4453</v>
      </c>
      <c r="C79" t="s">
        <v>4298</v>
      </c>
      <c r="D79" t="s">
        <v>4453</v>
      </c>
      <c r="E79" t="s">
        <v>4298</v>
      </c>
      <c r="K79" s="8">
        <v>78</v>
      </c>
      <c r="L79" s="8">
        <v>11</v>
      </c>
    </row>
    <row r="80" spans="1:12">
      <c r="A80" t="s">
        <v>4501</v>
      </c>
      <c r="B80" t="s">
        <v>4453</v>
      </c>
      <c r="C80" t="s">
        <v>4299</v>
      </c>
      <c r="D80" t="s">
        <v>4453</v>
      </c>
      <c r="E80" t="s">
        <v>4299</v>
      </c>
      <c r="K80" s="8">
        <v>79</v>
      </c>
      <c r="L80" s="8">
        <v>12</v>
      </c>
    </row>
    <row r="81" spans="1:12">
      <c r="A81" t="s">
        <v>4502</v>
      </c>
      <c r="B81" t="s">
        <v>4453</v>
      </c>
      <c r="C81" t="s">
        <v>4300</v>
      </c>
      <c r="D81" t="s">
        <v>4453</v>
      </c>
      <c r="E81" t="s">
        <v>4300</v>
      </c>
      <c r="K81" s="8">
        <v>80</v>
      </c>
      <c r="L81" s="8">
        <v>13</v>
      </c>
    </row>
    <row r="82" spans="1:12">
      <c r="A82" t="s">
        <v>4503</v>
      </c>
      <c r="B82" t="s">
        <v>4453</v>
      </c>
      <c r="C82" t="s">
        <v>4301</v>
      </c>
      <c r="D82" t="s">
        <v>4453</v>
      </c>
      <c r="E82" t="s">
        <v>4301</v>
      </c>
      <c r="K82" s="8">
        <v>81</v>
      </c>
      <c r="L82" s="8">
        <v>14</v>
      </c>
    </row>
    <row r="83" spans="1:12">
      <c r="A83" t="s">
        <v>4504</v>
      </c>
      <c r="B83" t="s">
        <v>4453</v>
      </c>
      <c r="C83" t="s">
        <v>4302</v>
      </c>
      <c r="D83" t="s">
        <v>4453</v>
      </c>
      <c r="E83" t="s">
        <v>4302</v>
      </c>
      <c r="K83" s="8">
        <v>82</v>
      </c>
      <c r="L83" s="8">
        <v>15</v>
      </c>
    </row>
    <row r="84" spans="1:12">
      <c r="A84" t="s">
        <v>4505</v>
      </c>
      <c r="B84" t="s">
        <v>4453</v>
      </c>
      <c r="C84" t="s">
        <v>4303</v>
      </c>
      <c r="D84" t="s">
        <v>4453</v>
      </c>
      <c r="E84" t="s">
        <v>4303</v>
      </c>
      <c r="K84" s="8">
        <v>83</v>
      </c>
      <c r="L84" s="8">
        <v>16</v>
      </c>
    </row>
    <row r="85" spans="1:12">
      <c r="A85" t="s">
        <v>4506</v>
      </c>
      <c r="B85" t="s">
        <v>4453</v>
      </c>
      <c r="C85" t="s">
        <v>4304</v>
      </c>
      <c r="D85" t="s">
        <v>4453</v>
      </c>
      <c r="E85" t="s">
        <v>4304</v>
      </c>
      <c r="K85" s="8">
        <v>84</v>
      </c>
      <c r="L85" s="8">
        <v>17</v>
      </c>
    </row>
    <row r="86" spans="1:12">
      <c r="A86" t="s">
        <v>4507</v>
      </c>
      <c r="B86" t="s">
        <v>4453</v>
      </c>
      <c r="C86" t="s">
        <v>4305</v>
      </c>
      <c r="D86" t="s">
        <v>4453</v>
      </c>
      <c r="E86" t="s">
        <v>4305</v>
      </c>
      <c r="K86" s="8">
        <v>85</v>
      </c>
      <c r="L86" s="8">
        <v>18</v>
      </c>
    </row>
    <row r="87" spans="1:12">
      <c r="A87" t="s">
        <v>4508</v>
      </c>
      <c r="B87" t="s">
        <v>4453</v>
      </c>
      <c r="C87" t="s">
        <v>4306</v>
      </c>
      <c r="D87" t="s">
        <v>4453</v>
      </c>
      <c r="E87" t="s">
        <v>4306</v>
      </c>
      <c r="K87" s="8">
        <v>86</v>
      </c>
      <c r="L87" s="8">
        <v>19</v>
      </c>
    </row>
    <row r="88" spans="1:12">
      <c r="A88" t="s">
        <v>4509</v>
      </c>
      <c r="B88" t="s">
        <v>4453</v>
      </c>
      <c r="C88" t="s">
        <v>4307</v>
      </c>
      <c r="D88" t="s">
        <v>4453</v>
      </c>
      <c r="E88" t="s">
        <v>4307</v>
      </c>
      <c r="K88" s="8">
        <v>87</v>
      </c>
      <c r="L88" s="8">
        <v>20</v>
      </c>
    </row>
    <row r="89" spans="1:12">
      <c r="A89" t="s">
        <v>4510</v>
      </c>
      <c r="B89" t="s">
        <v>4453</v>
      </c>
      <c r="C89" t="s">
        <v>4308</v>
      </c>
      <c r="D89" t="s">
        <v>4453</v>
      </c>
      <c r="E89" t="s">
        <v>4308</v>
      </c>
      <c r="K89" s="8">
        <v>88</v>
      </c>
      <c r="L89" s="8">
        <v>21</v>
      </c>
    </row>
    <row r="90" spans="1:12">
      <c r="A90" t="s">
        <v>4511</v>
      </c>
      <c r="B90" t="s">
        <v>4453</v>
      </c>
      <c r="C90" t="s">
        <v>4309</v>
      </c>
      <c r="D90" t="s">
        <v>4453</v>
      </c>
      <c r="E90" t="s">
        <v>4309</v>
      </c>
      <c r="K90" s="8">
        <v>89</v>
      </c>
      <c r="L90" s="8">
        <v>22</v>
      </c>
    </row>
    <row r="91" spans="1:12">
      <c r="A91" t="s">
        <v>4512</v>
      </c>
      <c r="B91" t="s">
        <v>4453</v>
      </c>
      <c r="C91" t="s">
        <v>4310</v>
      </c>
      <c r="D91" t="s">
        <v>4453</v>
      </c>
      <c r="E91" t="s">
        <v>4310</v>
      </c>
      <c r="K91" s="8">
        <v>90</v>
      </c>
      <c r="L91" s="8">
        <v>23</v>
      </c>
    </row>
    <row r="92" spans="1:12">
      <c r="A92" t="s">
        <v>4513</v>
      </c>
      <c r="B92" t="s">
        <v>4453</v>
      </c>
      <c r="C92" t="s">
        <v>4514</v>
      </c>
      <c r="D92" t="s">
        <v>4453</v>
      </c>
      <c r="E92" t="s">
        <v>4514</v>
      </c>
      <c r="K92" s="8">
        <v>91</v>
      </c>
      <c r="L92" s="8">
        <v>24</v>
      </c>
    </row>
    <row r="93" spans="1:12">
      <c r="A93" t="s">
        <v>4515</v>
      </c>
      <c r="B93" t="s">
        <v>4453</v>
      </c>
      <c r="C93" t="s">
        <v>4516</v>
      </c>
      <c r="D93" t="s">
        <v>4453</v>
      </c>
      <c r="E93" t="s">
        <v>4516</v>
      </c>
      <c r="K93" s="8">
        <v>92</v>
      </c>
      <c r="L93" s="8">
        <v>25</v>
      </c>
    </row>
    <row r="94" spans="1:12">
      <c r="A94" t="s">
        <v>4517</v>
      </c>
      <c r="B94" t="s">
        <v>4453</v>
      </c>
      <c r="C94" t="s">
        <v>4518</v>
      </c>
      <c r="D94" t="s">
        <v>4453</v>
      </c>
      <c r="E94" t="s">
        <v>4518</v>
      </c>
      <c r="K94" s="8">
        <v>93</v>
      </c>
      <c r="L94" s="8">
        <v>26</v>
      </c>
    </row>
    <row r="95" spans="1:12">
      <c r="A95" t="s">
        <v>4519</v>
      </c>
      <c r="B95" t="s">
        <v>4453</v>
      </c>
      <c r="C95" t="s">
        <v>4520</v>
      </c>
      <c r="D95" t="s">
        <v>4453</v>
      </c>
      <c r="E95" t="s">
        <v>4520</v>
      </c>
      <c r="K95" s="8">
        <v>94</v>
      </c>
      <c r="L95" s="8">
        <v>27</v>
      </c>
    </row>
    <row r="96" spans="1:12">
      <c r="A96" t="s">
        <v>4521</v>
      </c>
      <c r="B96" t="s">
        <v>4453</v>
      </c>
      <c r="C96" t="s">
        <v>4522</v>
      </c>
      <c r="D96" t="s">
        <v>4453</v>
      </c>
      <c r="E96" t="s">
        <v>4522</v>
      </c>
      <c r="K96" s="8">
        <v>95</v>
      </c>
      <c r="L96" s="8">
        <v>28</v>
      </c>
    </row>
    <row r="97" spans="1:12">
      <c r="A97" t="s">
        <v>4523</v>
      </c>
      <c r="B97" t="s">
        <v>4453</v>
      </c>
      <c r="C97" t="s">
        <v>4524</v>
      </c>
      <c r="D97" t="s">
        <v>4453</v>
      </c>
      <c r="E97" t="s">
        <v>4524</v>
      </c>
      <c r="K97" s="8">
        <v>96</v>
      </c>
      <c r="L97" s="8">
        <v>29</v>
      </c>
    </row>
    <row r="98" spans="1:12">
      <c r="A98" t="s">
        <v>4525</v>
      </c>
      <c r="B98" t="s">
        <v>4453</v>
      </c>
      <c r="C98" t="s">
        <v>4526</v>
      </c>
      <c r="D98" t="s">
        <v>4453</v>
      </c>
      <c r="E98" t="s">
        <v>4526</v>
      </c>
      <c r="K98" s="8">
        <v>97</v>
      </c>
      <c r="L98" s="8">
        <v>30</v>
      </c>
    </row>
    <row r="99" spans="1:12">
      <c r="A99" t="s">
        <v>4527</v>
      </c>
      <c r="B99" t="s">
        <v>4453</v>
      </c>
      <c r="C99" t="s">
        <v>4528</v>
      </c>
      <c r="D99" t="s">
        <v>4453</v>
      </c>
      <c r="E99" t="s">
        <v>4528</v>
      </c>
      <c r="K99" s="8">
        <v>98</v>
      </c>
      <c r="L99" s="8">
        <v>1</v>
      </c>
    </row>
    <row r="100" spans="1:12">
      <c r="A100" t="s">
        <v>4529</v>
      </c>
      <c r="B100" t="s">
        <v>4453</v>
      </c>
      <c r="C100" t="s">
        <v>4530</v>
      </c>
      <c r="D100" t="s">
        <v>4453</v>
      </c>
      <c r="E100" t="s">
        <v>4530</v>
      </c>
      <c r="K100" s="8">
        <v>99</v>
      </c>
      <c r="L100" s="8">
        <v>2</v>
      </c>
    </row>
    <row r="101" spans="1:12">
      <c r="A101" t="s">
        <v>4531</v>
      </c>
      <c r="B101" t="s">
        <v>4453</v>
      </c>
      <c r="C101" t="s">
        <v>4532</v>
      </c>
      <c r="D101" t="s">
        <v>4453</v>
      </c>
      <c r="E101" t="s">
        <v>4532</v>
      </c>
      <c r="K101" s="8">
        <v>100</v>
      </c>
      <c r="L101" s="8">
        <v>3</v>
      </c>
    </row>
    <row r="102" spans="1:12">
      <c r="A102" t="s">
        <v>4533</v>
      </c>
      <c r="B102" t="s">
        <v>4453</v>
      </c>
      <c r="C102" t="s">
        <v>4534</v>
      </c>
      <c r="D102" t="s">
        <v>4453</v>
      </c>
      <c r="E102" t="s">
        <v>4534</v>
      </c>
      <c r="K102" s="8">
        <v>101</v>
      </c>
      <c r="L102" s="8">
        <v>4</v>
      </c>
    </row>
    <row r="103" spans="1:12">
      <c r="A103" t="s">
        <v>4535</v>
      </c>
      <c r="B103" t="s">
        <v>4453</v>
      </c>
      <c r="C103" t="s">
        <v>4536</v>
      </c>
      <c r="D103" t="s">
        <v>4453</v>
      </c>
      <c r="E103" t="s">
        <v>4536</v>
      </c>
      <c r="K103" s="8">
        <v>102</v>
      </c>
      <c r="L103" s="8">
        <v>5</v>
      </c>
    </row>
    <row r="104" spans="1:12">
      <c r="A104" t="s">
        <v>4537</v>
      </c>
      <c r="B104" t="s">
        <v>4453</v>
      </c>
      <c r="C104" t="s">
        <v>4538</v>
      </c>
      <c r="D104" t="s">
        <v>4453</v>
      </c>
      <c r="E104" t="s">
        <v>4538</v>
      </c>
      <c r="K104" s="8">
        <v>103</v>
      </c>
      <c r="L104" s="8">
        <v>6</v>
      </c>
    </row>
    <row r="105" spans="1:12">
      <c r="A105" t="s">
        <v>4539</v>
      </c>
      <c r="B105" t="s">
        <v>4453</v>
      </c>
      <c r="C105" t="s">
        <v>4540</v>
      </c>
      <c r="D105" t="s">
        <v>4453</v>
      </c>
      <c r="E105" t="s">
        <v>4540</v>
      </c>
      <c r="K105" s="8">
        <v>104</v>
      </c>
      <c r="L105" s="8">
        <v>7</v>
      </c>
    </row>
    <row r="106" spans="1:12">
      <c r="A106" t="s">
        <v>4541</v>
      </c>
      <c r="B106" t="s">
        <v>4453</v>
      </c>
      <c r="C106" t="s">
        <v>4542</v>
      </c>
      <c r="D106" t="s">
        <v>4453</v>
      </c>
      <c r="E106" t="s">
        <v>4542</v>
      </c>
      <c r="K106" s="8">
        <v>105</v>
      </c>
      <c r="L106" s="8">
        <v>8</v>
      </c>
    </row>
    <row r="107" spans="1:12">
      <c r="A107" t="s">
        <v>4543</v>
      </c>
      <c r="B107" t="s">
        <v>4453</v>
      </c>
      <c r="C107" t="s">
        <v>4544</v>
      </c>
      <c r="D107" t="s">
        <v>4453</v>
      </c>
      <c r="E107" t="s">
        <v>4544</v>
      </c>
      <c r="K107" s="8">
        <v>106</v>
      </c>
      <c r="L107" s="8">
        <v>9</v>
      </c>
    </row>
    <row r="108" spans="1:12">
      <c r="A108" t="s">
        <v>4545</v>
      </c>
      <c r="B108" t="s">
        <v>4453</v>
      </c>
      <c r="C108" t="s">
        <v>4546</v>
      </c>
      <c r="D108" t="s">
        <v>4453</v>
      </c>
      <c r="E108" t="s">
        <v>4546</v>
      </c>
      <c r="K108" s="8">
        <v>107</v>
      </c>
      <c r="L108" s="8">
        <v>10</v>
      </c>
    </row>
    <row r="109" spans="1:12">
      <c r="A109" t="s">
        <v>4547</v>
      </c>
      <c r="B109" t="s">
        <v>4453</v>
      </c>
      <c r="C109" t="s">
        <v>4548</v>
      </c>
      <c r="D109" t="s">
        <v>4453</v>
      </c>
      <c r="E109" t="s">
        <v>4548</v>
      </c>
      <c r="K109" s="8">
        <v>108</v>
      </c>
      <c r="L109" s="8">
        <v>11</v>
      </c>
    </row>
    <row r="110" spans="1:12">
      <c r="A110" t="s">
        <v>4549</v>
      </c>
      <c r="B110" t="s">
        <v>4453</v>
      </c>
      <c r="C110" t="s">
        <v>4550</v>
      </c>
      <c r="D110" t="s">
        <v>4453</v>
      </c>
      <c r="E110" t="s">
        <v>4550</v>
      </c>
      <c r="K110" s="8">
        <v>109</v>
      </c>
      <c r="L110" s="8">
        <v>12</v>
      </c>
    </row>
    <row r="111" spans="1:12">
      <c r="A111" t="s">
        <v>4551</v>
      </c>
      <c r="B111" t="s">
        <v>4453</v>
      </c>
      <c r="C111" t="s">
        <v>4552</v>
      </c>
      <c r="D111" t="s">
        <v>4453</v>
      </c>
      <c r="E111" t="s">
        <v>4552</v>
      </c>
      <c r="K111" s="8">
        <v>110</v>
      </c>
      <c r="L111" s="8">
        <v>13</v>
      </c>
    </row>
    <row r="112" spans="1:12">
      <c r="A112" t="s">
        <v>4553</v>
      </c>
      <c r="B112" t="s">
        <v>4453</v>
      </c>
      <c r="C112" t="s">
        <v>4554</v>
      </c>
      <c r="D112" t="s">
        <v>4453</v>
      </c>
      <c r="E112" t="s">
        <v>4554</v>
      </c>
      <c r="K112" s="8">
        <v>111</v>
      </c>
      <c r="L112" s="8">
        <v>14</v>
      </c>
    </row>
    <row r="113" spans="1:12">
      <c r="A113" t="s">
        <v>4555</v>
      </c>
      <c r="B113" t="s">
        <v>4453</v>
      </c>
      <c r="C113" t="s">
        <v>4556</v>
      </c>
      <c r="D113" t="s">
        <v>4453</v>
      </c>
      <c r="E113" t="s">
        <v>4556</v>
      </c>
      <c r="K113" s="8">
        <v>112</v>
      </c>
      <c r="L113" s="8">
        <v>15</v>
      </c>
    </row>
    <row r="114" spans="1:12">
      <c r="A114" t="s">
        <v>4557</v>
      </c>
      <c r="B114" t="s">
        <v>4453</v>
      </c>
      <c r="C114" t="s">
        <v>4558</v>
      </c>
      <c r="D114" t="s">
        <v>4453</v>
      </c>
      <c r="E114" t="s">
        <v>4558</v>
      </c>
      <c r="K114" s="8">
        <v>113</v>
      </c>
      <c r="L114" s="8">
        <v>16</v>
      </c>
    </row>
    <row r="115" spans="1:12">
      <c r="A115" t="s">
        <v>4559</v>
      </c>
      <c r="B115" t="s">
        <v>4453</v>
      </c>
      <c r="C115" t="s">
        <v>4560</v>
      </c>
      <c r="D115" t="s">
        <v>4453</v>
      </c>
      <c r="E115" t="s">
        <v>4560</v>
      </c>
      <c r="K115" s="8">
        <v>114</v>
      </c>
      <c r="L115" s="8">
        <v>17</v>
      </c>
    </row>
    <row r="116" spans="1:12">
      <c r="A116" t="s">
        <v>4561</v>
      </c>
      <c r="B116" t="s">
        <v>4453</v>
      </c>
      <c r="C116" t="s">
        <v>4562</v>
      </c>
      <c r="D116" t="s">
        <v>4453</v>
      </c>
      <c r="E116" t="s">
        <v>4562</v>
      </c>
      <c r="K116" s="8">
        <v>115</v>
      </c>
      <c r="L116" s="8">
        <v>18</v>
      </c>
    </row>
    <row r="117" spans="1:12">
      <c r="A117" t="s">
        <v>4563</v>
      </c>
      <c r="B117" t="s">
        <v>4453</v>
      </c>
      <c r="C117" t="s">
        <v>4564</v>
      </c>
      <c r="D117" t="s">
        <v>4453</v>
      </c>
      <c r="E117" t="s">
        <v>4564</v>
      </c>
      <c r="K117" s="8">
        <v>116</v>
      </c>
      <c r="L117" s="8">
        <v>19</v>
      </c>
    </row>
    <row r="118" spans="1:12">
      <c r="A118" t="s">
        <v>4565</v>
      </c>
      <c r="B118" t="s">
        <v>4453</v>
      </c>
      <c r="C118" t="s">
        <v>4566</v>
      </c>
      <c r="D118" t="s">
        <v>4453</v>
      </c>
      <c r="E118" t="s">
        <v>4566</v>
      </c>
      <c r="K118" s="8">
        <v>117</v>
      </c>
      <c r="L118" s="8">
        <v>20</v>
      </c>
    </row>
    <row r="119" spans="1:12">
      <c r="A119" t="s">
        <v>4567</v>
      </c>
      <c r="B119" t="s">
        <v>4453</v>
      </c>
      <c r="C119" t="s">
        <v>4568</v>
      </c>
      <c r="D119" t="s">
        <v>4453</v>
      </c>
      <c r="E119" t="s">
        <v>4568</v>
      </c>
      <c r="K119" s="8">
        <v>118</v>
      </c>
      <c r="L119" s="8">
        <v>1</v>
      </c>
    </row>
    <row r="120" spans="1:12">
      <c r="A120" t="s">
        <v>4569</v>
      </c>
      <c r="B120" t="s">
        <v>4453</v>
      </c>
      <c r="C120" t="s">
        <v>4570</v>
      </c>
      <c r="D120" t="s">
        <v>4453</v>
      </c>
      <c r="E120" t="s">
        <v>4570</v>
      </c>
      <c r="K120" s="8">
        <v>119</v>
      </c>
      <c r="L120" s="8">
        <v>2</v>
      </c>
    </row>
    <row r="121" spans="1:12">
      <c r="A121" t="s">
        <v>4571</v>
      </c>
      <c r="B121" t="s">
        <v>4453</v>
      </c>
      <c r="C121" t="s">
        <v>4572</v>
      </c>
      <c r="D121" t="s">
        <v>4453</v>
      </c>
      <c r="E121" t="s">
        <v>4572</v>
      </c>
      <c r="K121" s="8">
        <v>120</v>
      </c>
      <c r="L121" s="8">
        <v>3</v>
      </c>
    </row>
    <row r="122" spans="1:12">
      <c r="A122" t="s">
        <v>4573</v>
      </c>
      <c r="B122" t="s">
        <v>4453</v>
      </c>
      <c r="C122" t="s">
        <v>4311</v>
      </c>
      <c r="D122" t="s">
        <v>4453</v>
      </c>
      <c r="E122" t="s">
        <v>4311</v>
      </c>
      <c r="K122" s="8">
        <v>121</v>
      </c>
      <c r="L122" s="8">
        <v>4</v>
      </c>
    </row>
    <row r="123" spans="1:12">
      <c r="A123" t="s">
        <v>4574</v>
      </c>
      <c r="B123" t="s">
        <v>4453</v>
      </c>
      <c r="C123" t="s">
        <v>4312</v>
      </c>
      <c r="D123" t="s">
        <v>4453</v>
      </c>
      <c r="E123" t="s">
        <v>4312</v>
      </c>
      <c r="K123" s="8">
        <v>122</v>
      </c>
      <c r="L123" s="8">
        <v>5</v>
      </c>
    </row>
    <row r="124" spans="1:12">
      <c r="A124" t="s">
        <v>4575</v>
      </c>
      <c r="B124" t="s">
        <v>4453</v>
      </c>
      <c r="C124" t="s">
        <v>4313</v>
      </c>
      <c r="D124" t="s">
        <v>4453</v>
      </c>
      <c r="E124" t="s">
        <v>4313</v>
      </c>
      <c r="K124" s="8">
        <v>123</v>
      </c>
      <c r="L124" s="8">
        <v>6</v>
      </c>
    </row>
    <row r="125" spans="1:12">
      <c r="A125" t="s">
        <v>4576</v>
      </c>
      <c r="B125" t="s">
        <v>4453</v>
      </c>
      <c r="C125" t="s">
        <v>4314</v>
      </c>
      <c r="D125" t="s">
        <v>4453</v>
      </c>
      <c r="E125" t="s">
        <v>4314</v>
      </c>
      <c r="K125" s="8">
        <v>124</v>
      </c>
      <c r="L125" s="8">
        <v>7</v>
      </c>
    </row>
    <row r="126" spans="1:12">
      <c r="A126" t="s">
        <v>4577</v>
      </c>
      <c r="B126" t="s">
        <v>4453</v>
      </c>
      <c r="C126" t="s">
        <v>4578</v>
      </c>
      <c r="D126" t="s">
        <v>4453</v>
      </c>
      <c r="E126" t="s">
        <v>4578</v>
      </c>
      <c r="K126" s="8">
        <v>125</v>
      </c>
      <c r="L126" s="8">
        <v>8</v>
      </c>
    </row>
    <row r="127" spans="1:12">
      <c r="A127" t="s">
        <v>4579</v>
      </c>
      <c r="B127" t="s">
        <v>4453</v>
      </c>
      <c r="C127" t="s">
        <v>4580</v>
      </c>
      <c r="D127" t="s">
        <v>4453</v>
      </c>
      <c r="E127" t="s">
        <v>4580</v>
      </c>
      <c r="K127" s="8">
        <v>126</v>
      </c>
      <c r="L127" s="8">
        <v>9</v>
      </c>
    </row>
    <row r="128" spans="1:12">
      <c r="A128" t="s">
        <v>4581</v>
      </c>
      <c r="B128" t="s">
        <v>4453</v>
      </c>
      <c r="C128" t="s">
        <v>4582</v>
      </c>
      <c r="D128" t="s">
        <v>4453</v>
      </c>
      <c r="E128" t="s">
        <v>4582</v>
      </c>
      <c r="K128" s="8">
        <v>127</v>
      </c>
      <c r="L128" s="8">
        <v>10</v>
      </c>
    </row>
    <row r="129" spans="1:12">
      <c r="A129" t="s">
        <v>4583</v>
      </c>
      <c r="B129" t="s">
        <v>4453</v>
      </c>
      <c r="C129" t="s">
        <v>4584</v>
      </c>
      <c r="D129" t="s">
        <v>4453</v>
      </c>
      <c r="E129" t="s">
        <v>4584</v>
      </c>
      <c r="K129" s="8">
        <v>128</v>
      </c>
      <c r="L129" s="8">
        <v>11</v>
      </c>
    </row>
    <row r="130" spans="1:12">
      <c r="A130" t="s">
        <v>4585</v>
      </c>
      <c r="B130" t="s">
        <v>4453</v>
      </c>
      <c r="C130" t="s">
        <v>4586</v>
      </c>
      <c r="D130" t="s">
        <v>4453</v>
      </c>
      <c r="E130" t="s">
        <v>4586</v>
      </c>
      <c r="K130" s="8">
        <v>129</v>
      </c>
      <c r="L130" s="8">
        <v>12</v>
      </c>
    </row>
    <row r="131" spans="1:12">
      <c r="A131" t="s">
        <v>4587</v>
      </c>
      <c r="B131" t="s">
        <v>4453</v>
      </c>
      <c r="C131" t="s">
        <v>4588</v>
      </c>
      <c r="D131" t="s">
        <v>4453</v>
      </c>
      <c r="E131" t="s">
        <v>4588</v>
      </c>
      <c r="K131" s="8">
        <v>130</v>
      </c>
      <c r="L131" s="8">
        <v>13</v>
      </c>
    </row>
    <row r="132" spans="1:12">
      <c r="A132" t="s">
        <v>4589</v>
      </c>
      <c r="B132" t="s">
        <v>4453</v>
      </c>
      <c r="C132" t="s">
        <v>4590</v>
      </c>
      <c r="D132" t="s">
        <v>4453</v>
      </c>
      <c r="E132" t="s">
        <v>4590</v>
      </c>
      <c r="K132" s="8">
        <v>131</v>
      </c>
      <c r="L132" s="8">
        <v>14</v>
      </c>
    </row>
    <row r="133" spans="1:12">
      <c r="A133" t="s">
        <v>4591</v>
      </c>
      <c r="B133" t="s">
        <v>4453</v>
      </c>
      <c r="C133" t="s">
        <v>4592</v>
      </c>
      <c r="D133" t="s">
        <v>4453</v>
      </c>
      <c r="E133" t="s">
        <v>4592</v>
      </c>
      <c r="K133" s="8">
        <v>132</v>
      </c>
      <c r="L133" s="8">
        <v>15</v>
      </c>
    </row>
    <row r="134" spans="1:12">
      <c r="A134" t="s">
        <v>4593</v>
      </c>
      <c r="B134" t="s">
        <v>4453</v>
      </c>
      <c r="C134" t="s">
        <v>4594</v>
      </c>
      <c r="D134" t="s">
        <v>4453</v>
      </c>
      <c r="E134" t="s">
        <v>4594</v>
      </c>
      <c r="K134" s="8">
        <v>133</v>
      </c>
      <c r="L134" s="8">
        <v>16</v>
      </c>
    </row>
    <row r="135" spans="1:12">
      <c r="A135" t="s">
        <v>4595</v>
      </c>
      <c r="B135" t="s">
        <v>4453</v>
      </c>
      <c r="C135" t="s">
        <v>4596</v>
      </c>
      <c r="D135" t="s">
        <v>4453</v>
      </c>
      <c r="E135" t="s">
        <v>4596</v>
      </c>
      <c r="K135" s="8">
        <v>134</v>
      </c>
      <c r="L135" s="8">
        <v>17</v>
      </c>
    </row>
    <row r="136" spans="1:12">
      <c r="A136" t="s">
        <v>4597</v>
      </c>
      <c r="B136" t="s">
        <v>4453</v>
      </c>
      <c r="C136" t="s">
        <v>4598</v>
      </c>
      <c r="D136" t="s">
        <v>4453</v>
      </c>
      <c r="E136" t="s">
        <v>4598</v>
      </c>
      <c r="K136" s="8">
        <v>135</v>
      </c>
      <c r="L136" s="8">
        <v>18</v>
      </c>
    </row>
    <row r="137" spans="1:12">
      <c r="A137" t="s">
        <v>4599</v>
      </c>
      <c r="B137" t="s">
        <v>4453</v>
      </c>
      <c r="C137" t="s">
        <v>4600</v>
      </c>
      <c r="D137" t="s">
        <v>4453</v>
      </c>
      <c r="E137" t="s">
        <v>4600</v>
      </c>
      <c r="K137" s="8">
        <v>136</v>
      </c>
      <c r="L137" s="8">
        <v>19</v>
      </c>
    </row>
    <row r="138" spans="1:12">
      <c r="A138" t="s">
        <v>4601</v>
      </c>
      <c r="B138" t="s">
        <v>4453</v>
      </c>
      <c r="C138" t="s">
        <v>4602</v>
      </c>
      <c r="D138" t="s">
        <v>4453</v>
      </c>
      <c r="E138" t="s">
        <v>4602</v>
      </c>
      <c r="K138" s="8">
        <v>137</v>
      </c>
      <c r="L138" s="8">
        <v>20</v>
      </c>
    </row>
    <row r="139" spans="1:12">
      <c r="A139" t="s">
        <v>4603</v>
      </c>
      <c r="B139" t="s">
        <v>4453</v>
      </c>
      <c r="C139" t="s">
        <v>4604</v>
      </c>
      <c r="D139" t="s">
        <v>4453</v>
      </c>
      <c r="E139" t="s">
        <v>4604</v>
      </c>
      <c r="K139" s="8">
        <v>138</v>
      </c>
      <c r="L139" s="8">
        <v>1</v>
      </c>
    </row>
    <row r="140" spans="1:12">
      <c r="A140" t="s">
        <v>4605</v>
      </c>
      <c r="B140" t="s">
        <v>4453</v>
      </c>
      <c r="C140" t="s">
        <v>4606</v>
      </c>
      <c r="D140" t="s">
        <v>4453</v>
      </c>
      <c r="E140" t="s">
        <v>4606</v>
      </c>
      <c r="K140" s="8">
        <v>139</v>
      </c>
      <c r="L140" s="8">
        <v>2</v>
      </c>
    </row>
    <row r="141" spans="1:12">
      <c r="A141" t="s">
        <v>4607</v>
      </c>
      <c r="B141" t="s">
        <v>4453</v>
      </c>
      <c r="C141" t="s">
        <v>4608</v>
      </c>
      <c r="D141" t="s">
        <v>4453</v>
      </c>
      <c r="E141" t="s">
        <v>4608</v>
      </c>
      <c r="K141" s="8">
        <v>140</v>
      </c>
      <c r="L141" s="8">
        <v>3</v>
      </c>
    </row>
    <row r="142" spans="1:12">
      <c r="A142" t="s">
        <v>4609</v>
      </c>
      <c r="B142" t="s">
        <v>4453</v>
      </c>
      <c r="C142" t="s">
        <v>4315</v>
      </c>
      <c r="D142" t="s">
        <v>4453</v>
      </c>
      <c r="E142" t="s">
        <v>4315</v>
      </c>
      <c r="K142" s="8">
        <v>141</v>
      </c>
      <c r="L142" s="8">
        <v>4</v>
      </c>
    </row>
    <row r="143" spans="1:12">
      <c r="A143" t="s">
        <v>4610</v>
      </c>
      <c r="B143" t="s">
        <v>4453</v>
      </c>
      <c r="C143" t="s">
        <v>4316</v>
      </c>
      <c r="D143" t="s">
        <v>4453</v>
      </c>
      <c r="E143" t="s">
        <v>4316</v>
      </c>
      <c r="K143" s="8">
        <v>142</v>
      </c>
      <c r="L143" s="8">
        <v>5</v>
      </c>
    </row>
    <row r="144" spans="1:12">
      <c r="A144" t="s">
        <v>4611</v>
      </c>
      <c r="B144" t="s">
        <v>4453</v>
      </c>
      <c r="C144" t="s">
        <v>4317</v>
      </c>
      <c r="D144" t="s">
        <v>4453</v>
      </c>
      <c r="E144" t="s">
        <v>4317</v>
      </c>
      <c r="K144" s="8">
        <v>143</v>
      </c>
      <c r="L144" s="8">
        <v>6</v>
      </c>
    </row>
    <row r="145" spans="1:12">
      <c r="A145" t="s">
        <v>4612</v>
      </c>
      <c r="B145" t="s">
        <v>4453</v>
      </c>
      <c r="C145" t="s">
        <v>4318</v>
      </c>
      <c r="D145" t="s">
        <v>4453</v>
      </c>
      <c r="E145" t="s">
        <v>4318</v>
      </c>
      <c r="K145" s="8">
        <v>144</v>
      </c>
      <c r="L145" s="8">
        <v>7</v>
      </c>
    </row>
    <row r="146" spans="1:12">
      <c r="A146" t="s">
        <v>4613</v>
      </c>
      <c r="B146" t="s">
        <v>4453</v>
      </c>
      <c r="C146" t="s">
        <v>4614</v>
      </c>
      <c r="D146" t="s">
        <v>4453</v>
      </c>
      <c r="E146" t="s">
        <v>4614</v>
      </c>
      <c r="K146" s="8">
        <v>145</v>
      </c>
      <c r="L146" s="8">
        <v>8</v>
      </c>
    </row>
    <row r="147" spans="1:12">
      <c r="A147" t="s">
        <v>4615</v>
      </c>
      <c r="B147" t="s">
        <v>4453</v>
      </c>
      <c r="C147" t="s">
        <v>4616</v>
      </c>
      <c r="D147" t="s">
        <v>4453</v>
      </c>
      <c r="E147" t="s">
        <v>4616</v>
      </c>
      <c r="K147" s="8">
        <v>146</v>
      </c>
      <c r="L147" s="8">
        <v>9</v>
      </c>
    </row>
    <row r="148" spans="1:12">
      <c r="A148" t="s">
        <v>4617</v>
      </c>
      <c r="B148" t="s">
        <v>4453</v>
      </c>
      <c r="C148" t="s">
        <v>4618</v>
      </c>
      <c r="D148" t="s">
        <v>4453</v>
      </c>
      <c r="E148" t="s">
        <v>4618</v>
      </c>
      <c r="K148" s="8">
        <v>147</v>
      </c>
      <c r="L148" s="8">
        <v>10</v>
      </c>
    </row>
    <row r="149" spans="1:12">
      <c r="A149" t="s">
        <v>4619</v>
      </c>
      <c r="B149" t="s">
        <v>4453</v>
      </c>
      <c r="C149" t="s">
        <v>4620</v>
      </c>
      <c r="D149" t="s">
        <v>4453</v>
      </c>
      <c r="E149" t="s">
        <v>4620</v>
      </c>
      <c r="K149" s="8">
        <v>148</v>
      </c>
      <c r="L149" s="8">
        <v>11</v>
      </c>
    </row>
    <row r="150" spans="1:12">
      <c r="A150" t="s">
        <v>4621</v>
      </c>
      <c r="B150" t="s">
        <v>4453</v>
      </c>
      <c r="C150" t="s">
        <v>4622</v>
      </c>
      <c r="D150" t="s">
        <v>4453</v>
      </c>
      <c r="E150" t="s">
        <v>4622</v>
      </c>
      <c r="K150" s="8">
        <v>149</v>
      </c>
      <c r="L150" s="8">
        <v>12</v>
      </c>
    </row>
    <row r="151" spans="1:12">
      <c r="A151" t="s">
        <v>4623</v>
      </c>
      <c r="B151" t="s">
        <v>4453</v>
      </c>
      <c r="C151" t="s">
        <v>4624</v>
      </c>
      <c r="D151" t="s">
        <v>4453</v>
      </c>
      <c r="E151" t="s">
        <v>4624</v>
      </c>
      <c r="K151" s="8">
        <v>150</v>
      </c>
      <c r="L151" s="8">
        <v>13</v>
      </c>
    </row>
    <row r="152" spans="1:12">
      <c r="A152" t="s">
        <v>4625</v>
      </c>
      <c r="B152" t="s">
        <v>4453</v>
      </c>
      <c r="C152" t="s">
        <v>4626</v>
      </c>
      <c r="D152" t="s">
        <v>4453</v>
      </c>
      <c r="E152" t="s">
        <v>4626</v>
      </c>
      <c r="K152" s="8">
        <v>151</v>
      </c>
      <c r="L152" s="8">
        <v>14</v>
      </c>
    </row>
    <row r="153" spans="1:12">
      <c r="A153" t="s">
        <v>4627</v>
      </c>
      <c r="B153" t="s">
        <v>4453</v>
      </c>
      <c r="C153" t="s">
        <v>4628</v>
      </c>
      <c r="D153" t="s">
        <v>4453</v>
      </c>
      <c r="E153" t="s">
        <v>4628</v>
      </c>
      <c r="K153" s="8">
        <v>152</v>
      </c>
      <c r="L153" s="8">
        <v>15</v>
      </c>
    </row>
    <row r="154" spans="1:12">
      <c r="A154" t="s">
        <v>4629</v>
      </c>
      <c r="B154" t="s">
        <v>4453</v>
      </c>
      <c r="C154" t="s">
        <v>4630</v>
      </c>
      <c r="D154" t="s">
        <v>4453</v>
      </c>
      <c r="E154" t="s">
        <v>4630</v>
      </c>
      <c r="K154" s="8">
        <v>153</v>
      </c>
      <c r="L154" s="8">
        <v>16</v>
      </c>
    </row>
    <row r="155" spans="1:12">
      <c r="A155" t="s">
        <v>4631</v>
      </c>
      <c r="B155" t="s">
        <v>4453</v>
      </c>
      <c r="C155" t="s">
        <v>4632</v>
      </c>
      <c r="D155" t="s">
        <v>4453</v>
      </c>
      <c r="E155" t="s">
        <v>4632</v>
      </c>
      <c r="K155" s="8">
        <v>154</v>
      </c>
      <c r="L155" s="8">
        <v>17</v>
      </c>
    </row>
    <row r="156" spans="1:12">
      <c r="A156" t="s">
        <v>4633</v>
      </c>
      <c r="B156" t="s">
        <v>4453</v>
      </c>
      <c r="C156" t="s">
        <v>4634</v>
      </c>
      <c r="D156" t="s">
        <v>4453</v>
      </c>
      <c r="E156" t="s">
        <v>4634</v>
      </c>
      <c r="K156" s="8">
        <v>155</v>
      </c>
      <c r="L156" s="8">
        <v>18</v>
      </c>
    </row>
    <row r="157" spans="1:12">
      <c r="A157" t="s">
        <v>4635</v>
      </c>
      <c r="B157" t="s">
        <v>4453</v>
      </c>
      <c r="C157" t="s">
        <v>4636</v>
      </c>
      <c r="D157" t="s">
        <v>4453</v>
      </c>
      <c r="E157" t="s">
        <v>4636</v>
      </c>
      <c r="K157" s="8">
        <v>156</v>
      </c>
      <c r="L157" s="8">
        <v>19</v>
      </c>
    </row>
    <row r="158" spans="1:12">
      <c r="A158" t="s">
        <v>4637</v>
      </c>
      <c r="B158" t="s">
        <v>4453</v>
      </c>
      <c r="C158" t="s">
        <v>4638</v>
      </c>
      <c r="D158" t="s">
        <v>4453</v>
      </c>
      <c r="E158" t="s">
        <v>4638</v>
      </c>
      <c r="K158" s="8">
        <v>157</v>
      </c>
      <c r="L158" s="8">
        <v>20</v>
      </c>
    </row>
    <row r="159" spans="1:12">
      <c r="A159" t="s">
        <v>4639</v>
      </c>
      <c r="B159" t="s">
        <v>4453</v>
      </c>
      <c r="C159" t="s">
        <v>4640</v>
      </c>
      <c r="D159" t="s">
        <v>4453</v>
      </c>
      <c r="E159" t="s">
        <v>4640</v>
      </c>
      <c r="K159" s="8">
        <v>158</v>
      </c>
      <c r="L159" s="8">
        <v>1</v>
      </c>
    </row>
    <row r="160" spans="1:12">
      <c r="A160" t="s">
        <v>4641</v>
      </c>
      <c r="B160" t="s">
        <v>4453</v>
      </c>
      <c r="C160" t="s">
        <v>4642</v>
      </c>
      <c r="D160" t="s">
        <v>4453</v>
      </c>
      <c r="E160" t="s">
        <v>4642</v>
      </c>
      <c r="K160" s="8">
        <v>159</v>
      </c>
      <c r="L160" s="8">
        <v>2</v>
      </c>
    </row>
    <row r="161" spans="1:12">
      <c r="A161" t="s">
        <v>4643</v>
      </c>
      <c r="B161" t="s">
        <v>4453</v>
      </c>
      <c r="C161" t="s">
        <v>4644</v>
      </c>
      <c r="D161" t="s">
        <v>4453</v>
      </c>
      <c r="E161" t="s">
        <v>4644</v>
      </c>
      <c r="K161" s="8">
        <v>160</v>
      </c>
      <c r="L161" s="8">
        <v>3</v>
      </c>
    </row>
    <row r="162" spans="1:12">
      <c r="A162" t="s">
        <v>4645</v>
      </c>
      <c r="B162" t="s">
        <v>4453</v>
      </c>
      <c r="C162" t="s">
        <v>4646</v>
      </c>
      <c r="D162" t="s">
        <v>4453</v>
      </c>
      <c r="E162" t="s">
        <v>4646</v>
      </c>
      <c r="K162" s="8">
        <v>161</v>
      </c>
      <c r="L162" s="8">
        <v>4</v>
      </c>
    </row>
    <row r="163" spans="1:12">
      <c r="A163" t="s">
        <v>4647</v>
      </c>
      <c r="B163" t="s">
        <v>4453</v>
      </c>
      <c r="C163" t="s">
        <v>4648</v>
      </c>
      <c r="D163" t="s">
        <v>4453</v>
      </c>
      <c r="E163" t="s">
        <v>4648</v>
      </c>
      <c r="K163" s="8">
        <v>162</v>
      </c>
      <c r="L163" s="8">
        <v>5</v>
      </c>
    </row>
    <row r="164" spans="1:12">
      <c r="A164" t="s">
        <v>4649</v>
      </c>
      <c r="B164" t="s">
        <v>4453</v>
      </c>
      <c r="C164" t="s">
        <v>4650</v>
      </c>
      <c r="D164" t="s">
        <v>4453</v>
      </c>
      <c r="E164" t="s">
        <v>4650</v>
      </c>
      <c r="K164" s="8">
        <v>163</v>
      </c>
      <c r="L164" s="8">
        <v>6</v>
      </c>
    </row>
    <row r="165" spans="1:12">
      <c r="A165" t="s">
        <v>4651</v>
      </c>
      <c r="B165" t="s">
        <v>4453</v>
      </c>
      <c r="C165" t="s">
        <v>4652</v>
      </c>
      <c r="D165" t="s">
        <v>4453</v>
      </c>
      <c r="E165" t="s">
        <v>4652</v>
      </c>
      <c r="K165" s="8">
        <v>164</v>
      </c>
      <c r="L165" s="8">
        <v>7</v>
      </c>
    </row>
    <row r="166" spans="1:12">
      <c r="A166" t="s">
        <v>4653</v>
      </c>
      <c r="B166" t="s">
        <v>4453</v>
      </c>
      <c r="C166" t="s">
        <v>4654</v>
      </c>
      <c r="D166" t="s">
        <v>4453</v>
      </c>
      <c r="E166" t="s">
        <v>4654</v>
      </c>
      <c r="K166" s="8">
        <v>165</v>
      </c>
      <c r="L166" s="8">
        <v>8</v>
      </c>
    </row>
    <row r="167" spans="1:12">
      <c r="A167" t="s">
        <v>4655</v>
      </c>
      <c r="B167" t="s">
        <v>4453</v>
      </c>
      <c r="C167" t="s">
        <v>4656</v>
      </c>
      <c r="D167" t="s">
        <v>4453</v>
      </c>
      <c r="E167" t="s">
        <v>4656</v>
      </c>
      <c r="K167" s="8">
        <v>166</v>
      </c>
      <c r="L167" s="8">
        <v>9</v>
      </c>
    </row>
    <row r="168" spans="1:12">
      <c r="A168" t="s">
        <v>4657</v>
      </c>
      <c r="B168" t="s">
        <v>4453</v>
      </c>
      <c r="C168" t="s">
        <v>4658</v>
      </c>
      <c r="D168" t="s">
        <v>4453</v>
      </c>
      <c r="E168" t="s">
        <v>4658</v>
      </c>
      <c r="K168" s="8">
        <v>167</v>
      </c>
      <c r="L168" s="8">
        <v>10</v>
      </c>
    </row>
    <row r="169" spans="1:12">
      <c r="A169" t="s">
        <v>4659</v>
      </c>
      <c r="B169" t="s">
        <v>4453</v>
      </c>
      <c r="C169" t="s">
        <v>4660</v>
      </c>
      <c r="D169" t="s">
        <v>4453</v>
      </c>
      <c r="E169" t="s">
        <v>4660</v>
      </c>
      <c r="K169" s="8">
        <v>168</v>
      </c>
      <c r="L169" s="8">
        <v>1</v>
      </c>
    </row>
    <row r="170" spans="1:12">
      <c r="A170" t="s">
        <v>4661</v>
      </c>
      <c r="B170" t="s">
        <v>4453</v>
      </c>
      <c r="C170" t="s">
        <v>4662</v>
      </c>
      <c r="D170" t="s">
        <v>4453</v>
      </c>
      <c r="E170" t="s">
        <v>4662</v>
      </c>
      <c r="K170" s="8">
        <v>169</v>
      </c>
      <c r="L170" s="8">
        <v>2</v>
      </c>
    </row>
    <row r="171" spans="1:12">
      <c r="A171" t="s">
        <v>4663</v>
      </c>
      <c r="B171" t="s">
        <v>4453</v>
      </c>
      <c r="C171" t="s">
        <v>4664</v>
      </c>
      <c r="D171" t="s">
        <v>4453</v>
      </c>
      <c r="E171" t="s">
        <v>4664</v>
      </c>
      <c r="K171" s="8">
        <v>170</v>
      </c>
      <c r="L171" s="8">
        <v>3</v>
      </c>
    </row>
    <row r="172" spans="1:12">
      <c r="A172" t="s">
        <v>4665</v>
      </c>
      <c r="B172" t="s">
        <v>4453</v>
      </c>
      <c r="C172" t="s">
        <v>4666</v>
      </c>
      <c r="D172" t="s">
        <v>4453</v>
      </c>
      <c r="E172" t="s">
        <v>4666</v>
      </c>
      <c r="K172" s="8">
        <v>171</v>
      </c>
      <c r="L172" s="8">
        <v>4</v>
      </c>
    </row>
    <row r="173" spans="1:12">
      <c r="A173" t="s">
        <v>4667</v>
      </c>
      <c r="B173" t="s">
        <v>4453</v>
      </c>
      <c r="C173" t="s">
        <v>4668</v>
      </c>
      <c r="D173" t="s">
        <v>4453</v>
      </c>
      <c r="E173" t="s">
        <v>4668</v>
      </c>
      <c r="K173" s="8">
        <v>172</v>
      </c>
      <c r="L173" s="8">
        <v>5</v>
      </c>
    </row>
    <row r="174" spans="1:12">
      <c r="A174" t="s">
        <v>4669</v>
      </c>
      <c r="B174" t="s">
        <v>4453</v>
      </c>
      <c r="C174" t="s">
        <v>4670</v>
      </c>
      <c r="D174" t="s">
        <v>4453</v>
      </c>
      <c r="E174" t="s">
        <v>4670</v>
      </c>
      <c r="K174" s="8">
        <v>173</v>
      </c>
      <c r="L174" s="8">
        <v>6</v>
      </c>
    </row>
    <row r="175" spans="1:12">
      <c r="A175" t="s">
        <v>4671</v>
      </c>
      <c r="B175" t="s">
        <v>4453</v>
      </c>
      <c r="C175" t="s">
        <v>4672</v>
      </c>
      <c r="D175" t="s">
        <v>4453</v>
      </c>
      <c r="E175" t="s">
        <v>4672</v>
      </c>
      <c r="K175" s="8">
        <v>174</v>
      </c>
      <c r="L175" s="8">
        <v>7</v>
      </c>
    </row>
    <row r="176" spans="1:12">
      <c r="A176" t="s">
        <v>4673</v>
      </c>
      <c r="B176" t="s">
        <v>4453</v>
      </c>
      <c r="C176" t="s">
        <v>4674</v>
      </c>
      <c r="D176" t="s">
        <v>4453</v>
      </c>
      <c r="E176" t="s">
        <v>4674</v>
      </c>
      <c r="K176" s="8">
        <v>175</v>
      </c>
      <c r="L176" s="8">
        <v>8</v>
      </c>
    </row>
    <row r="177" spans="1:12">
      <c r="A177" t="s">
        <v>4675</v>
      </c>
      <c r="B177" t="s">
        <v>4453</v>
      </c>
      <c r="C177" t="s">
        <v>4676</v>
      </c>
      <c r="D177" t="s">
        <v>4453</v>
      </c>
      <c r="E177" t="s">
        <v>4676</v>
      </c>
      <c r="K177" s="8">
        <v>176</v>
      </c>
      <c r="L177" s="8">
        <v>9</v>
      </c>
    </row>
    <row r="178" spans="1:12">
      <c r="A178" t="s">
        <v>4677</v>
      </c>
      <c r="B178" t="s">
        <v>4453</v>
      </c>
      <c r="C178" t="s">
        <v>4678</v>
      </c>
      <c r="D178" t="s">
        <v>4453</v>
      </c>
      <c r="E178" t="s">
        <v>4678</v>
      </c>
      <c r="K178" s="8">
        <v>177</v>
      </c>
      <c r="L178" s="8">
        <v>10</v>
      </c>
    </row>
    <row r="179" spans="1:12">
      <c r="A179" t="s">
        <v>4679</v>
      </c>
      <c r="B179" t="s">
        <v>4453</v>
      </c>
      <c r="C179" t="s">
        <v>4680</v>
      </c>
      <c r="D179" t="s">
        <v>4453</v>
      </c>
      <c r="E179" t="s">
        <v>4680</v>
      </c>
      <c r="K179" s="8">
        <v>178</v>
      </c>
      <c r="L179" s="8">
        <v>1</v>
      </c>
    </row>
    <row r="180" spans="1:12">
      <c r="A180" t="s">
        <v>4681</v>
      </c>
      <c r="B180" t="s">
        <v>4453</v>
      </c>
      <c r="C180" t="s">
        <v>4682</v>
      </c>
      <c r="D180" t="s">
        <v>4453</v>
      </c>
      <c r="E180" t="s">
        <v>4682</v>
      </c>
      <c r="K180" s="8">
        <v>179</v>
      </c>
      <c r="L180" s="8">
        <v>2</v>
      </c>
    </row>
    <row r="181" spans="1:12">
      <c r="A181" t="s">
        <v>4683</v>
      </c>
      <c r="B181" t="s">
        <v>4453</v>
      </c>
      <c r="C181" t="s">
        <v>4684</v>
      </c>
      <c r="D181" t="s">
        <v>4453</v>
      </c>
      <c r="E181" t="s">
        <v>4684</v>
      </c>
      <c r="K181" s="8">
        <v>180</v>
      </c>
      <c r="L181" s="8">
        <v>3</v>
      </c>
    </row>
    <row r="182" spans="1:12">
      <c r="A182" t="s">
        <v>4685</v>
      </c>
      <c r="B182" t="s">
        <v>4453</v>
      </c>
      <c r="C182" t="s">
        <v>4686</v>
      </c>
      <c r="D182" t="s">
        <v>4453</v>
      </c>
      <c r="E182" t="s">
        <v>4686</v>
      </c>
      <c r="K182" s="8">
        <v>181</v>
      </c>
      <c r="L182" s="8">
        <v>4</v>
      </c>
    </row>
    <row r="183" spans="1:12">
      <c r="A183" t="s">
        <v>4687</v>
      </c>
      <c r="B183" t="s">
        <v>4453</v>
      </c>
      <c r="C183" t="s">
        <v>4688</v>
      </c>
      <c r="D183" t="s">
        <v>4453</v>
      </c>
      <c r="E183" t="s">
        <v>4688</v>
      </c>
      <c r="K183" s="8">
        <v>182</v>
      </c>
      <c r="L183" s="8">
        <v>5</v>
      </c>
    </row>
    <row r="184" spans="1:12">
      <c r="A184" t="s">
        <v>4689</v>
      </c>
      <c r="B184" t="s">
        <v>4453</v>
      </c>
      <c r="C184" t="s">
        <v>4690</v>
      </c>
      <c r="D184" t="s">
        <v>4453</v>
      </c>
      <c r="E184" t="s">
        <v>4690</v>
      </c>
      <c r="K184" s="8">
        <v>183</v>
      </c>
      <c r="L184" s="8">
        <v>6</v>
      </c>
    </row>
    <row r="185" spans="1:12">
      <c r="A185" t="s">
        <v>4691</v>
      </c>
      <c r="B185" t="s">
        <v>4453</v>
      </c>
      <c r="C185" t="s">
        <v>4692</v>
      </c>
      <c r="D185" t="s">
        <v>4453</v>
      </c>
      <c r="E185" t="s">
        <v>4692</v>
      </c>
      <c r="K185" s="8">
        <v>184</v>
      </c>
      <c r="L185" s="8">
        <v>7</v>
      </c>
    </row>
    <row r="186" spans="1:12">
      <c r="A186" t="s">
        <v>4693</v>
      </c>
      <c r="B186" t="s">
        <v>4453</v>
      </c>
      <c r="C186" t="s">
        <v>4694</v>
      </c>
      <c r="D186" t="s">
        <v>4453</v>
      </c>
      <c r="E186" t="s">
        <v>4694</v>
      </c>
      <c r="K186" s="8">
        <v>185</v>
      </c>
      <c r="L186" s="8">
        <v>8</v>
      </c>
    </row>
    <row r="187" spans="1:12">
      <c r="A187" t="s">
        <v>4695</v>
      </c>
      <c r="B187" t="s">
        <v>4453</v>
      </c>
      <c r="C187" t="s">
        <v>4696</v>
      </c>
      <c r="D187" t="s">
        <v>4453</v>
      </c>
      <c r="E187" t="s">
        <v>4696</v>
      </c>
      <c r="K187" s="8">
        <v>186</v>
      </c>
      <c r="L187" s="8">
        <v>9</v>
      </c>
    </row>
    <row r="188" spans="1:12">
      <c r="A188" t="s">
        <v>4697</v>
      </c>
      <c r="B188" t="s">
        <v>4453</v>
      </c>
      <c r="C188" t="s">
        <v>4698</v>
      </c>
      <c r="D188" t="s">
        <v>4453</v>
      </c>
      <c r="E188" t="s">
        <v>4698</v>
      </c>
      <c r="K188" s="8">
        <v>187</v>
      </c>
      <c r="L188" s="8">
        <v>10</v>
      </c>
    </row>
    <row r="189" spans="1:12">
      <c r="A189" t="s">
        <v>4699</v>
      </c>
      <c r="B189" t="s">
        <v>4453</v>
      </c>
      <c r="C189" t="s">
        <v>4700</v>
      </c>
      <c r="D189" t="s">
        <v>4453</v>
      </c>
      <c r="E189" t="s">
        <v>4700</v>
      </c>
      <c r="K189" s="8">
        <v>188</v>
      </c>
      <c r="L189" s="8">
        <v>1</v>
      </c>
    </row>
    <row r="190" spans="1:12">
      <c r="A190" t="s">
        <v>4701</v>
      </c>
      <c r="B190" t="s">
        <v>4453</v>
      </c>
      <c r="C190" t="s">
        <v>4702</v>
      </c>
      <c r="D190" t="s">
        <v>4453</v>
      </c>
      <c r="E190" t="s">
        <v>4702</v>
      </c>
      <c r="K190" s="8">
        <v>189</v>
      </c>
      <c r="L190" s="8">
        <v>2</v>
      </c>
    </row>
    <row r="191" spans="1:12">
      <c r="A191" t="s">
        <v>4703</v>
      </c>
      <c r="B191" t="s">
        <v>4453</v>
      </c>
      <c r="C191" t="s">
        <v>4704</v>
      </c>
      <c r="D191" t="s">
        <v>4453</v>
      </c>
      <c r="E191" t="s">
        <v>4704</v>
      </c>
      <c r="K191" s="8">
        <v>190</v>
      </c>
      <c r="L191" s="8">
        <v>3</v>
      </c>
    </row>
    <row r="192" spans="1:12">
      <c r="A192" t="s">
        <v>4705</v>
      </c>
      <c r="B192" t="s">
        <v>4453</v>
      </c>
      <c r="C192" t="s">
        <v>4706</v>
      </c>
      <c r="D192" t="s">
        <v>4453</v>
      </c>
      <c r="E192" t="s">
        <v>4706</v>
      </c>
      <c r="K192" s="8">
        <v>191</v>
      </c>
      <c r="L192" s="8">
        <v>4</v>
      </c>
    </row>
    <row r="193" spans="1:12">
      <c r="A193" t="s">
        <v>4707</v>
      </c>
      <c r="B193" t="s">
        <v>4453</v>
      </c>
      <c r="C193" t="s">
        <v>4708</v>
      </c>
      <c r="D193" t="s">
        <v>4453</v>
      </c>
      <c r="E193" t="s">
        <v>4708</v>
      </c>
      <c r="K193" s="8">
        <v>192</v>
      </c>
      <c r="L193" s="8">
        <v>5</v>
      </c>
    </row>
    <row r="194" spans="1:12">
      <c r="A194" t="s">
        <v>4709</v>
      </c>
      <c r="B194" t="s">
        <v>4453</v>
      </c>
      <c r="C194" t="s">
        <v>4710</v>
      </c>
      <c r="D194" t="s">
        <v>4453</v>
      </c>
      <c r="E194" t="s">
        <v>4710</v>
      </c>
      <c r="K194" s="8">
        <v>193</v>
      </c>
      <c r="L194" s="8">
        <v>6</v>
      </c>
    </row>
    <row r="195" spans="1:12">
      <c r="A195" t="s">
        <v>4711</v>
      </c>
      <c r="B195" t="s">
        <v>4453</v>
      </c>
      <c r="C195" t="s">
        <v>4712</v>
      </c>
      <c r="D195" t="s">
        <v>4453</v>
      </c>
      <c r="E195" t="s">
        <v>4712</v>
      </c>
      <c r="K195" s="8">
        <v>194</v>
      </c>
      <c r="L195" s="8">
        <v>7</v>
      </c>
    </row>
    <row r="196" spans="1:12">
      <c r="A196" t="s">
        <v>4713</v>
      </c>
      <c r="B196" t="s">
        <v>4453</v>
      </c>
      <c r="C196" t="s">
        <v>4714</v>
      </c>
      <c r="D196" t="s">
        <v>4453</v>
      </c>
      <c r="E196" t="s">
        <v>4714</v>
      </c>
      <c r="K196" s="8">
        <v>195</v>
      </c>
      <c r="L196" s="8">
        <v>8</v>
      </c>
    </row>
    <row r="197" spans="1:12">
      <c r="A197" t="s">
        <v>4715</v>
      </c>
      <c r="B197" t="s">
        <v>4453</v>
      </c>
      <c r="C197" t="s">
        <v>4716</v>
      </c>
      <c r="D197" t="s">
        <v>4453</v>
      </c>
      <c r="E197" t="s">
        <v>4716</v>
      </c>
      <c r="K197" s="8">
        <v>196</v>
      </c>
      <c r="L197" s="8">
        <v>9</v>
      </c>
    </row>
    <row r="198" spans="1:12">
      <c r="A198" t="s">
        <v>4717</v>
      </c>
      <c r="B198" t="s">
        <v>4453</v>
      </c>
      <c r="C198" t="s">
        <v>4718</v>
      </c>
      <c r="D198" t="s">
        <v>4453</v>
      </c>
      <c r="E198" t="s">
        <v>4718</v>
      </c>
      <c r="K198" s="8">
        <v>197</v>
      </c>
      <c r="L198" s="8">
        <v>10</v>
      </c>
    </row>
    <row r="199" spans="1:12">
      <c r="A199" t="s">
        <v>4719</v>
      </c>
      <c r="B199" t="s">
        <v>5407</v>
      </c>
      <c r="C199" t="s">
        <v>4721</v>
      </c>
      <c r="D199" t="s">
        <v>4720</v>
      </c>
      <c r="E199" t="s">
        <v>4721</v>
      </c>
      <c r="K199" s="8">
        <v>198</v>
      </c>
      <c r="L199" s="8">
        <v>1</v>
      </c>
    </row>
    <row r="200" spans="1:12">
      <c r="A200" t="s">
        <v>4722</v>
      </c>
      <c r="B200" t="s">
        <v>4720</v>
      </c>
      <c r="C200" t="s">
        <v>4723</v>
      </c>
      <c r="D200" t="s">
        <v>4720</v>
      </c>
      <c r="E200" t="s">
        <v>4723</v>
      </c>
      <c r="K200" s="8">
        <v>199</v>
      </c>
      <c r="L200" s="8">
        <v>2</v>
      </c>
    </row>
    <row r="201" spans="1:12">
      <c r="A201" t="s">
        <v>4724</v>
      </c>
      <c r="B201" t="s">
        <v>4720</v>
      </c>
      <c r="C201" t="s">
        <v>4725</v>
      </c>
      <c r="D201" t="s">
        <v>4720</v>
      </c>
      <c r="E201" t="s">
        <v>4725</v>
      </c>
      <c r="K201" s="8">
        <v>200</v>
      </c>
      <c r="L201" s="8">
        <v>3</v>
      </c>
    </row>
    <row r="202" spans="1:12">
      <c r="A202" t="s">
        <v>4726</v>
      </c>
      <c r="B202" t="s">
        <v>4720</v>
      </c>
      <c r="C202" t="s">
        <v>4727</v>
      </c>
      <c r="D202" t="s">
        <v>4720</v>
      </c>
      <c r="E202" t="s">
        <v>4727</v>
      </c>
      <c r="K202" s="8">
        <v>201</v>
      </c>
      <c r="L202" s="8">
        <v>4</v>
      </c>
    </row>
    <row r="203" spans="1:12">
      <c r="A203" t="s">
        <v>4728</v>
      </c>
      <c r="B203" t="s">
        <v>4720</v>
      </c>
      <c r="C203" t="s">
        <v>4729</v>
      </c>
      <c r="D203" t="s">
        <v>4720</v>
      </c>
      <c r="E203" t="s">
        <v>4729</v>
      </c>
      <c r="K203" s="8">
        <v>202</v>
      </c>
      <c r="L203" s="8">
        <v>5</v>
      </c>
    </row>
    <row r="204" spans="1:12">
      <c r="A204" t="s">
        <v>4730</v>
      </c>
      <c r="B204" t="s">
        <v>4720</v>
      </c>
      <c r="C204" t="s">
        <v>4731</v>
      </c>
      <c r="D204" t="s">
        <v>4720</v>
      </c>
      <c r="E204" t="s">
        <v>4731</v>
      </c>
      <c r="K204" s="8">
        <v>203</v>
      </c>
      <c r="L204" s="8">
        <v>6</v>
      </c>
    </row>
    <row r="205" spans="1:12">
      <c r="A205" t="s">
        <v>4732</v>
      </c>
      <c r="B205" t="s">
        <v>4720</v>
      </c>
      <c r="C205" t="s">
        <v>4733</v>
      </c>
      <c r="D205" t="s">
        <v>4720</v>
      </c>
      <c r="E205" t="s">
        <v>4733</v>
      </c>
      <c r="K205" s="8">
        <v>204</v>
      </c>
      <c r="L205" s="8">
        <v>7</v>
      </c>
    </row>
    <row r="206" spans="1:12">
      <c r="A206" t="s">
        <v>4734</v>
      </c>
      <c r="B206" t="s">
        <v>4720</v>
      </c>
      <c r="C206" t="s">
        <v>4735</v>
      </c>
      <c r="D206" t="s">
        <v>4720</v>
      </c>
      <c r="E206" t="s">
        <v>4735</v>
      </c>
      <c r="K206" s="8">
        <v>205</v>
      </c>
      <c r="L206" s="8">
        <v>8</v>
      </c>
    </row>
    <row r="207" spans="1:12">
      <c r="A207" t="s">
        <v>4736</v>
      </c>
      <c r="B207" t="s">
        <v>4720</v>
      </c>
      <c r="C207" t="s">
        <v>4737</v>
      </c>
      <c r="D207" t="s">
        <v>4720</v>
      </c>
      <c r="E207" t="s">
        <v>4737</v>
      </c>
      <c r="K207" s="8">
        <v>206</v>
      </c>
      <c r="L207" s="8">
        <v>9</v>
      </c>
    </row>
    <row r="208" spans="1:12">
      <c r="A208" t="s">
        <v>4738</v>
      </c>
      <c r="B208" t="s">
        <v>4720</v>
      </c>
      <c r="C208" t="s">
        <v>4739</v>
      </c>
      <c r="D208" t="s">
        <v>4720</v>
      </c>
      <c r="E208" t="s">
        <v>4739</v>
      </c>
      <c r="K208" s="8">
        <v>207</v>
      </c>
      <c r="L208" s="8">
        <v>10</v>
      </c>
    </row>
    <row r="209" spans="1:12">
      <c r="A209" t="s">
        <v>4740</v>
      </c>
      <c r="B209" t="s">
        <v>4720</v>
      </c>
      <c r="C209" t="s">
        <v>4741</v>
      </c>
      <c r="D209" t="s">
        <v>4720</v>
      </c>
      <c r="E209" t="s">
        <v>4741</v>
      </c>
      <c r="K209" s="8">
        <v>208</v>
      </c>
      <c r="L209" s="8">
        <v>1</v>
      </c>
    </row>
    <row r="210" spans="1:12">
      <c r="A210" t="s">
        <v>4742</v>
      </c>
      <c r="B210" t="s">
        <v>4720</v>
      </c>
      <c r="C210" t="s">
        <v>4743</v>
      </c>
      <c r="D210" t="s">
        <v>4720</v>
      </c>
      <c r="E210" t="s">
        <v>4743</v>
      </c>
      <c r="K210" s="8">
        <v>209</v>
      </c>
      <c r="L210" s="8">
        <v>2</v>
      </c>
    </row>
    <row r="211" spans="1:12">
      <c r="A211" t="s">
        <v>4744</v>
      </c>
      <c r="B211" t="s">
        <v>4720</v>
      </c>
      <c r="C211" t="s">
        <v>4745</v>
      </c>
      <c r="D211" t="s">
        <v>4720</v>
      </c>
      <c r="E211" t="s">
        <v>4745</v>
      </c>
      <c r="K211" s="8">
        <v>210</v>
      </c>
      <c r="L211" s="8">
        <v>3</v>
      </c>
    </row>
    <row r="212" spans="1:12">
      <c r="A212" t="s">
        <v>4746</v>
      </c>
      <c r="B212" t="s">
        <v>4720</v>
      </c>
      <c r="C212" t="s">
        <v>4747</v>
      </c>
      <c r="D212" t="s">
        <v>4720</v>
      </c>
      <c r="E212" t="s">
        <v>4747</v>
      </c>
      <c r="K212" s="8">
        <v>211</v>
      </c>
      <c r="L212" s="8">
        <v>4</v>
      </c>
    </row>
    <row r="213" spans="1:12">
      <c r="A213" t="s">
        <v>4748</v>
      </c>
      <c r="B213" t="s">
        <v>4720</v>
      </c>
      <c r="C213" t="s">
        <v>4749</v>
      </c>
      <c r="D213" t="s">
        <v>4720</v>
      </c>
      <c r="E213" t="s">
        <v>4749</v>
      </c>
      <c r="K213" s="8">
        <v>212</v>
      </c>
      <c r="L213" s="8">
        <v>5</v>
      </c>
    </row>
    <row r="214" spans="1:12">
      <c r="A214" t="s">
        <v>4750</v>
      </c>
      <c r="B214" t="s">
        <v>4720</v>
      </c>
      <c r="C214" t="s">
        <v>4751</v>
      </c>
      <c r="D214" t="s">
        <v>4720</v>
      </c>
      <c r="E214" t="s">
        <v>4751</v>
      </c>
      <c r="K214" s="8">
        <v>213</v>
      </c>
      <c r="L214" s="8">
        <v>6</v>
      </c>
    </row>
    <row r="215" spans="1:12">
      <c r="A215" t="s">
        <v>4752</v>
      </c>
      <c r="B215" t="s">
        <v>4720</v>
      </c>
      <c r="C215" t="s">
        <v>4753</v>
      </c>
      <c r="D215" t="s">
        <v>4720</v>
      </c>
      <c r="E215" t="s">
        <v>4753</v>
      </c>
      <c r="K215" s="8">
        <v>214</v>
      </c>
      <c r="L215" s="8">
        <v>7</v>
      </c>
    </row>
    <row r="216" spans="1:12">
      <c r="A216" t="s">
        <v>4754</v>
      </c>
      <c r="B216" t="s">
        <v>4720</v>
      </c>
      <c r="C216" t="s">
        <v>4755</v>
      </c>
      <c r="D216" t="s">
        <v>4720</v>
      </c>
      <c r="E216" t="s">
        <v>4755</v>
      </c>
      <c r="K216" s="8">
        <v>215</v>
      </c>
      <c r="L216" s="8">
        <v>8</v>
      </c>
    </row>
    <row r="217" spans="1:12">
      <c r="A217" t="s">
        <v>4756</v>
      </c>
      <c r="B217" t="s">
        <v>4720</v>
      </c>
      <c r="C217" t="s">
        <v>4757</v>
      </c>
      <c r="D217" t="s">
        <v>4720</v>
      </c>
      <c r="E217" t="s">
        <v>4757</v>
      </c>
      <c r="K217" s="8">
        <v>216</v>
      </c>
      <c r="L217" s="8">
        <v>9</v>
      </c>
    </row>
    <row r="218" spans="1:12">
      <c r="A218" t="s">
        <v>4758</v>
      </c>
      <c r="B218" t="s">
        <v>4720</v>
      </c>
      <c r="C218" t="s">
        <v>4759</v>
      </c>
      <c r="D218" t="s">
        <v>4720</v>
      </c>
      <c r="E218" t="s">
        <v>4759</v>
      </c>
      <c r="K218" s="8">
        <v>217</v>
      </c>
      <c r="L218" s="8">
        <v>10</v>
      </c>
    </row>
    <row r="219" spans="1:12">
      <c r="A219" t="s">
        <v>4760</v>
      </c>
      <c r="B219" t="s">
        <v>4720</v>
      </c>
      <c r="C219" t="s">
        <v>4761</v>
      </c>
      <c r="D219" t="s">
        <v>4720</v>
      </c>
      <c r="E219" t="s">
        <v>4761</v>
      </c>
      <c r="K219" s="8">
        <v>218</v>
      </c>
      <c r="L219" s="8">
        <v>1</v>
      </c>
    </row>
    <row r="220" spans="1:12">
      <c r="A220" t="s">
        <v>4762</v>
      </c>
      <c r="B220" t="s">
        <v>4720</v>
      </c>
      <c r="C220" t="s">
        <v>4763</v>
      </c>
      <c r="D220" t="s">
        <v>4720</v>
      </c>
      <c r="E220" t="s">
        <v>4763</v>
      </c>
      <c r="K220" s="8">
        <v>219</v>
      </c>
      <c r="L220" s="8">
        <v>2</v>
      </c>
    </row>
    <row r="221" spans="1:12">
      <c r="A221" t="s">
        <v>4764</v>
      </c>
      <c r="B221" t="s">
        <v>4720</v>
      </c>
      <c r="C221" t="s">
        <v>4765</v>
      </c>
      <c r="D221" t="s">
        <v>4720</v>
      </c>
      <c r="E221" t="s">
        <v>4765</v>
      </c>
      <c r="K221" s="8">
        <v>220</v>
      </c>
      <c r="L221" s="8">
        <v>3</v>
      </c>
    </row>
    <row r="222" spans="1:12">
      <c r="A222" t="s">
        <v>4766</v>
      </c>
      <c r="B222" t="s">
        <v>4720</v>
      </c>
      <c r="C222" t="s">
        <v>4767</v>
      </c>
      <c r="D222" t="s">
        <v>4720</v>
      </c>
      <c r="E222" t="s">
        <v>4767</v>
      </c>
      <c r="K222" s="8">
        <v>221</v>
      </c>
      <c r="L222" s="8">
        <v>4</v>
      </c>
    </row>
    <row r="223" spans="1:12">
      <c r="A223" t="s">
        <v>4768</v>
      </c>
      <c r="B223" t="s">
        <v>4720</v>
      </c>
      <c r="C223" t="s">
        <v>4769</v>
      </c>
      <c r="D223" t="s">
        <v>4720</v>
      </c>
      <c r="E223" t="s">
        <v>4769</v>
      </c>
      <c r="K223" s="8">
        <v>222</v>
      </c>
      <c r="L223" s="8">
        <v>5</v>
      </c>
    </row>
    <row r="224" spans="1:12">
      <c r="A224" t="s">
        <v>4770</v>
      </c>
      <c r="B224" t="s">
        <v>4720</v>
      </c>
      <c r="C224" t="s">
        <v>4771</v>
      </c>
      <c r="D224" t="s">
        <v>4720</v>
      </c>
      <c r="E224" t="s">
        <v>4771</v>
      </c>
      <c r="K224" s="8">
        <v>223</v>
      </c>
      <c r="L224" s="8">
        <v>6</v>
      </c>
    </row>
    <row r="225" spans="1:12">
      <c r="A225" t="s">
        <v>4772</v>
      </c>
      <c r="B225" t="s">
        <v>4720</v>
      </c>
      <c r="C225" t="s">
        <v>4773</v>
      </c>
      <c r="D225" t="s">
        <v>4720</v>
      </c>
      <c r="E225" t="s">
        <v>4773</v>
      </c>
      <c r="K225" s="8">
        <v>224</v>
      </c>
      <c r="L225" s="8">
        <v>7</v>
      </c>
    </row>
    <row r="226" spans="1:12">
      <c r="A226" t="s">
        <v>4774</v>
      </c>
      <c r="B226" t="s">
        <v>4720</v>
      </c>
      <c r="C226" t="s">
        <v>4775</v>
      </c>
      <c r="D226" t="s">
        <v>4720</v>
      </c>
      <c r="E226" t="s">
        <v>4775</v>
      </c>
      <c r="K226" s="8">
        <v>225</v>
      </c>
      <c r="L226" s="8">
        <v>8</v>
      </c>
    </row>
    <row r="227" spans="1:12">
      <c r="A227" t="s">
        <v>4776</v>
      </c>
      <c r="B227" t="s">
        <v>4720</v>
      </c>
      <c r="C227" t="s">
        <v>4777</v>
      </c>
      <c r="D227" t="s">
        <v>4720</v>
      </c>
      <c r="E227" t="s">
        <v>4777</v>
      </c>
      <c r="K227" s="8">
        <v>226</v>
      </c>
      <c r="L227" s="8">
        <v>9</v>
      </c>
    </row>
    <row r="228" spans="1:12">
      <c r="A228" t="s">
        <v>4778</v>
      </c>
      <c r="B228" t="s">
        <v>4720</v>
      </c>
      <c r="C228" t="s">
        <v>4779</v>
      </c>
      <c r="D228" t="s">
        <v>4720</v>
      </c>
      <c r="E228" t="s">
        <v>4779</v>
      </c>
      <c r="K228" s="8">
        <v>227</v>
      </c>
      <c r="L228" s="8">
        <v>10</v>
      </c>
    </row>
    <row r="229" spans="1:12">
      <c r="A229" t="s">
        <v>4780</v>
      </c>
      <c r="B229" t="s">
        <v>4720</v>
      </c>
      <c r="C229" t="s">
        <v>4781</v>
      </c>
      <c r="D229" t="s">
        <v>4720</v>
      </c>
      <c r="E229" t="s">
        <v>4781</v>
      </c>
      <c r="K229" s="8">
        <v>228</v>
      </c>
      <c r="L229" s="8">
        <v>1</v>
      </c>
    </row>
    <row r="230" spans="1:12">
      <c r="A230" t="s">
        <v>4782</v>
      </c>
      <c r="B230" t="s">
        <v>4720</v>
      </c>
      <c r="C230" t="s">
        <v>4783</v>
      </c>
      <c r="D230" t="s">
        <v>4720</v>
      </c>
      <c r="E230" t="s">
        <v>4783</v>
      </c>
      <c r="K230" s="8">
        <v>229</v>
      </c>
      <c r="L230" s="8">
        <v>2</v>
      </c>
    </row>
    <row r="231" spans="1:12">
      <c r="A231" t="s">
        <v>4784</v>
      </c>
      <c r="B231" t="s">
        <v>4720</v>
      </c>
      <c r="C231" t="s">
        <v>4785</v>
      </c>
      <c r="D231" t="s">
        <v>4720</v>
      </c>
      <c r="E231" t="s">
        <v>4785</v>
      </c>
      <c r="K231" s="8">
        <v>230</v>
      </c>
      <c r="L231" s="8">
        <v>3</v>
      </c>
    </row>
    <row r="232" spans="1:12">
      <c r="A232" t="s">
        <v>4786</v>
      </c>
      <c r="B232" t="s">
        <v>4720</v>
      </c>
      <c r="C232" t="s">
        <v>4787</v>
      </c>
      <c r="D232" t="s">
        <v>4720</v>
      </c>
      <c r="E232" t="s">
        <v>4787</v>
      </c>
      <c r="K232" s="8">
        <v>231</v>
      </c>
      <c r="L232" s="8">
        <v>4</v>
      </c>
    </row>
    <row r="233" spans="1:12">
      <c r="A233" t="s">
        <v>4788</v>
      </c>
      <c r="B233" t="s">
        <v>4720</v>
      </c>
      <c r="C233" t="s">
        <v>4789</v>
      </c>
      <c r="D233" t="s">
        <v>4720</v>
      </c>
      <c r="E233" t="s">
        <v>4789</v>
      </c>
      <c r="K233" s="8">
        <v>232</v>
      </c>
      <c r="L233" s="8">
        <v>5</v>
      </c>
    </row>
    <row r="234" spans="1:12">
      <c r="A234" t="s">
        <v>4790</v>
      </c>
      <c r="B234" t="s">
        <v>4720</v>
      </c>
      <c r="C234" t="s">
        <v>4791</v>
      </c>
      <c r="D234" t="s">
        <v>4720</v>
      </c>
      <c r="E234" t="s">
        <v>4791</v>
      </c>
      <c r="K234" s="8">
        <v>233</v>
      </c>
      <c r="L234" s="8">
        <v>6</v>
      </c>
    </row>
    <row r="235" spans="1:12">
      <c r="A235" t="s">
        <v>4792</v>
      </c>
      <c r="B235" t="s">
        <v>4720</v>
      </c>
      <c r="C235" t="s">
        <v>4793</v>
      </c>
      <c r="D235" t="s">
        <v>4720</v>
      </c>
      <c r="E235" t="s">
        <v>4793</v>
      </c>
      <c r="K235" s="8">
        <v>234</v>
      </c>
      <c r="L235" s="8">
        <v>7</v>
      </c>
    </row>
    <row r="236" spans="1:12">
      <c r="A236" t="s">
        <v>4794</v>
      </c>
      <c r="B236" t="s">
        <v>4720</v>
      </c>
      <c r="C236" t="s">
        <v>4795</v>
      </c>
      <c r="D236" t="s">
        <v>4720</v>
      </c>
      <c r="E236" t="s">
        <v>4795</v>
      </c>
      <c r="K236" s="8">
        <v>235</v>
      </c>
      <c r="L236" s="8">
        <v>8</v>
      </c>
    </row>
    <row r="237" spans="1:12">
      <c r="A237" t="s">
        <v>4796</v>
      </c>
      <c r="B237" t="s">
        <v>4720</v>
      </c>
      <c r="C237" t="s">
        <v>4797</v>
      </c>
      <c r="D237" t="s">
        <v>4720</v>
      </c>
      <c r="E237" t="s">
        <v>4797</v>
      </c>
      <c r="K237" s="8">
        <v>236</v>
      </c>
      <c r="L237" s="8">
        <v>9</v>
      </c>
    </row>
    <row r="238" spans="1:12">
      <c r="A238" t="s">
        <v>4798</v>
      </c>
      <c r="B238" t="s">
        <v>4720</v>
      </c>
      <c r="C238" t="s">
        <v>4799</v>
      </c>
      <c r="D238" t="s">
        <v>4720</v>
      </c>
      <c r="E238" t="s">
        <v>4799</v>
      </c>
      <c r="K238" s="8">
        <v>237</v>
      </c>
      <c r="L238" s="8">
        <v>10</v>
      </c>
    </row>
    <row r="239" spans="1:12">
      <c r="A239" t="s">
        <v>4800</v>
      </c>
      <c r="B239" t="s">
        <v>4720</v>
      </c>
      <c r="C239" t="s">
        <v>4801</v>
      </c>
      <c r="D239" t="s">
        <v>4720</v>
      </c>
      <c r="E239" t="s">
        <v>4801</v>
      </c>
      <c r="K239" s="8">
        <v>238</v>
      </c>
      <c r="L239" s="8">
        <v>1</v>
      </c>
    </row>
    <row r="240" spans="1:12">
      <c r="A240" t="s">
        <v>4802</v>
      </c>
      <c r="B240" t="s">
        <v>4720</v>
      </c>
      <c r="C240" t="s">
        <v>4803</v>
      </c>
      <c r="D240" t="s">
        <v>4720</v>
      </c>
      <c r="E240" t="s">
        <v>4803</v>
      </c>
      <c r="K240" s="8">
        <v>239</v>
      </c>
      <c r="L240" s="8">
        <v>2</v>
      </c>
    </row>
    <row r="241" spans="1:12">
      <c r="A241" t="s">
        <v>4804</v>
      </c>
      <c r="B241" t="s">
        <v>4720</v>
      </c>
      <c r="C241" t="s">
        <v>4805</v>
      </c>
      <c r="D241" t="s">
        <v>4720</v>
      </c>
      <c r="E241" t="s">
        <v>4805</v>
      </c>
      <c r="K241" s="8">
        <v>240</v>
      </c>
      <c r="L241" s="8">
        <v>3</v>
      </c>
    </row>
    <row r="242" spans="1:12">
      <c r="A242" t="s">
        <v>4806</v>
      </c>
      <c r="B242" t="s">
        <v>4720</v>
      </c>
      <c r="C242" t="s">
        <v>4807</v>
      </c>
      <c r="D242" t="s">
        <v>4720</v>
      </c>
      <c r="E242" t="s">
        <v>4807</v>
      </c>
      <c r="K242" s="8">
        <v>241</v>
      </c>
      <c r="L242" s="8">
        <v>4</v>
      </c>
    </row>
    <row r="243" spans="1:12">
      <c r="A243" t="s">
        <v>4808</v>
      </c>
      <c r="B243" t="s">
        <v>4720</v>
      </c>
      <c r="C243" t="s">
        <v>4809</v>
      </c>
      <c r="D243" t="s">
        <v>4720</v>
      </c>
      <c r="E243" t="s">
        <v>4809</v>
      </c>
      <c r="K243" s="8">
        <v>242</v>
      </c>
      <c r="L243" s="8">
        <v>5</v>
      </c>
    </row>
    <row r="244" spans="1:12">
      <c r="A244" t="s">
        <v>4810</v>
      </c>
      <c r="B244" t="s">
        <v>4720</v>
      </c>
      <c r="C244" t="s">
        <v>4811</v>
      </c>
      <c r="D244" t="s">
        <v>4720</v>
      </c>
      <c r="E244" t="s">
        <v>4811</v>
      </c>
      <c r="K244" s="8">
        <v>243</v>
      </c>
      <c r="L244" s="8">
        <v>6</v>
      </c>
    </row>
    <row r="245" spans="1:12">
      <c r="A245" t="s">
        <v>4812</v>
      </c>
      <c r="B245" t="s">
        <v>4720</v>
      </c>
      <c r="C245" t="s">
        <v>4813</v>
      </c>
      <c r="D245" t="s">
        <v>4720</v>
      </c>
      <c r="E245" t="s">
        <v>4813</v>
      </c>
      <c r="K245" s="8">
        <v>244</v>
      </c>
      <c r="L245" s="8">
        <v>7</v>
      </c>
    </row>
    <row r="246" spans="1:12">
      <c r="A246" t="s">
        <v>4814</v>
      </c>
      <c r="B246" t="s">
        <v>4720</v>
      </c>
      <c r="C246" t="s">
        <v>4815</v>
      </c>
      <c r="D246" t="s">
        <v>4720</v>
      </c>
      <c r="E246" t="s">
        <v>4815</v>
      </c>
      <c r="K246" s="8">
        <v>245</v>
      </c>
      <c r="L246" s="8">
        <v>8</v>
      </c>
    </row>
    <row r="247" spans="1:12">
      <c r="A247" t="s">
        <v>4816</v>
      </c>
      <c r="B247" t="s">
        <v>4720</v>
      </c>
      <c r="C247" t="s">
        <v>4817</v>
      </c>
      <c r="D247" t="s">
        <v>4720</v>
      </c>
      <c r="E247" t="s">
        <v>4817</v>
      </c>
      <c r="K247" s="8">
        <v>246</v>
      </c>
      <c r="L247" s="8">
        <v>9</v>
      </c>
    </row>
    <row r="248" spans="1:12">
      <c r="A248" t="s">
        <v>4818</v>
      </c>
      <c r="B248" t="s">
        <v>4720</v>
      </c>
      <c r="C248" t="s">
        <v>4819</v>
      </c>
      <c r="D248" t="s">
        <v>4720</v>
      </c>
      <c r="E248" t="s">
        <v>4819</v>
      </c>
      <c r="K248" s="8">
        <v>247</v>
      </c>
      <c r="L248" s="8">
        <v>10</v>
      </c>
    </row>
    <row r="249" spans="1:12">
      <c r="A249" t="s">
        <v>4820</v>
      </c>
      <c r="B249" t="s">
        <v>4720</v>
      </c>
      <c r="C249" t="s">
        <v>4821</v>
      </c>
      <c r="D249" t="s">
        <v>4720</v>
      </c>
      <c r="E249" t="s">
        <v>4821</v>
      </c>
      <c r="K249" s="8">
        <v>248</v>
      </c>
      <c r="L249" s="8">
        <v>1</v>
      </c>
    </row>
    <row r="250" spans="1:12">
      <c r="A250" t="s">
        <v>4822</v>
      </c>
      <c r="B250" t="s">
        <v>4720</v>
      </c>
      <c r="C250" t="s">
        <v>4823</v>
      </c>
      <c r="D250" t="s">
        <v>4720</v>
      </c>
      <c r="E250" t="s">
        <v>4823</v>
      </c>
      <c r="K250" s="8">
        <v>249</v>
      </c>
      <c r="L250" s="8">
        <v>2</v>
      </c>
    </row>
    <row r="251" spans="1:12">
      <c r="A251" t="s">
        <v>4824</v>
      </c>
      <c r="B251" t="s">
        <v>4720</v>
      </c>
      <c r="C251" t="s">
        <v>4825</v>
      </c>
      <c r="D251" t="s">
        <v>4720</v>
      </c>
      <c r="E251" t="s">
        <v>4825</v>
      </c>
      <c r="K251" s="8">
        <v>250</v>
      </c>
      <c r="L251" s="8">
        <v>3</v>
      </c>
    </row>
    <row r="252" spans="1:12">
      <c r="A252" t="s">
        <v>4826</v>
      </c>
      <c r="B252" t="s">
        <v>4720</v>
      </c>
      <c r="C252" t="s">
        <v>4827</v>
      </c>
      <c r="D252" t="s">
        <v>4720</v>
      </c>
      <c r="E252" t="s">
        <v>4827</v>
      </c>
      <c r="K252" s="8">
        <v>251</v>
      </c>
      <c r="L252" s="8">
        <v>4</v>
      </c>
    </row>
    <row r="253" spans="1:12">
      <c r="A253" t="s">
        <v>4828</v>
      </c>
      <c r="B253" t="s">
        <v>4720</v>
      </c>
      <c r="C253" t="s">
        <v>4829</v>
      </c>
      <c r="D253" t="s">
        <v>4720</v>
      </c>
      <c r="E253" t="s">
        <v>4829</v>
      </c>
      <c r="K253" s="8">
        <v>252</v>
      </c>
      <c r="L253" s="8">
        <v>5</v>
      </c>
    </row>
    <row r="254" spans="1:12">
      <c r="A254" t="s">
        <v>4830</v>
      </c>
      <c r="B254" t="s">
        <v>4720</v>
      </c>
      <c r="C254" t="s">
        <v>4831</v>
      </c>
      <c r="D254" t="s">
        <v>4720</v>
      </c>
      <c r="E254" t="s">
        <v>4831</v>
      </c>
      <c r="K254" s="8">
        <v>253</v>
      </c>
      <c r="L254" s="8">
        <v>6</v>
      </c>
    </row>
    <row r="255" spans="1:12">
      <c r="A255" t="s">
        <v>4832</v>
      </c>
      <c r="B255" t="s">
        <v>4720</v>
      </c>
      <c r="C255" t="s">
        <v>4833</v>
      </c>
      <c r="D255" t="s">
        <v>4720</v>
      </c>
      <c r="E255" t="s">
        <v>4833</v>
      </c>
      <c r="K255" s="8">
        <v>254</v>
      </c>
      <c r="L255" s="8">
        <v>7</v>
      </c>
    </row>
    <row r="256" spans="1:12">
      <c r="A256" t="s">
        <v>4834</v>
      </c>
      <c r="B256" t="s">
        <v>4720</v>
      </c>
      <c r="C256" t="s">
        <v>4835</v>
      </c>
      <c r="D256" t="s">
        <v>4720</v>
      </c>
      <c r="E256" t="s">
        <v>4835</v>
      </c>
      <c r="K256" s="8">
        <v>255</v>
      </c>
      <c r="L256" s="8">
        <v>8</v>
      </c>
    </row>
    <row r="257" spans="1:13">
      <c r="A257" t="s">
        <v>4836</v>
      </c>
      <c r="B257" t="s">
        <v>4720</v>
      </c>
      <c r="C257" t="s">
        <v>4837</v>
      </c>
      <c r="D257" t="s">
        <v>4720</v>
      </c>
      <c r="E257" t="s">
        <v>4837</v>
      </c>
      <c r="K257" s="8">
        <v>256</v>
      </c>
      <c r="L257" s="8">
        <v>9</v>
      </c>
    </row>
    <row r="258" spans="1:13">
      <c r="A258" t="s">
        <v>4838</v>
      </c>
      <c r="B258" t="s">
        <v>4720</v>
      </c>
      <c r="C258" t="s">
        <v>4839</v>
      </c>
      <c r="D258" t="s">
        <v>4720</v>
      </c>
      <c r="E258" t="s">
        <v>4839</v>
      </c>
      <c r="K258" s="8">
        <v>257</v>
      </c>
      <c r="L258" s="8">
        <v>10</v>
      </c>
    </row>
    <row r="259" spans="1:13">
      <c r="A259" t="s">
        <v>4840</v>
      </c>
      <c r="B259" s="220" t="s">
        <v>5388</v>
      </c>
      <c r="C259" t="s">
        <v>4255</v>
      </c>
      <c r="D259" s="220" t="s">
        <v>5388</v>
      </c>
      <c r="E259" t="s">
        <v>5111</v>
      </c>
      <c r="F259" t="b">
        <f>EXACT(B259,D259)</f>
        <v>1</v>
      </c>
      <c r="K259" s="8">
        <v>258</v>
      </c>
      <c r="L259" s="8">
        <v>1</v>
      </c>
      <c r="M259" s="8">
        <v>1</v>
      </c>
    </row>
    <row r="260" spans="1:13">
      <c r="A260" t="s">
        <v>4841</v>
      </c>
      <c r="B260" s="220" t="s">
        <v>5388</v>
      </c>
      <c r="C260" t="s">
        <v>4257</v>
      </c>
      <c r="D260" s="220" t="s">
        <v>5388</v>
      </c>
      <c r="E260" t="s">
        <v>5112</v>
      </c>
      <c r="K260" s="8">
        <v>259</v>
      </c>
      <c r="L260" s="8">
        <v>2</v>
      </c>
      <c r="M260" s="8">
        <v>2</v>
      </c>
    </row>
    <row r="261" spans="1:13">
      <c r="A261" t="s">
        <v>4842</v>
      </c>
      <c r="B261" s="220" t="s">
        <v>5388</v>
      </c>
      <c r="C261" t="s">
        <v>4258</v>
      </c>
      <c r="D261" s="220" t="s">
        <v>5388</v>
      </c>
      <c r="E261" t="s">
        <v>5113</v>
      </c>
      <c r="K261" s="8">
        <v>260</v>
      </c>
      <c r="L261" s="8">
        <v>3</v>
      </c>
      <c r="M261" s="8">
        <v>3</v>
      </c>
    </row>
    <row r="262" spans="1:13">
      <c r="A262" t="s">
        <v>4843</v>
      </c>
      <c r="B262" s="220" t="s">
        <v>5388</v>
      </c>
      <c r="C262" t="s">
        <v>4259</v>
      </c>
      <c r="D262" s="220" t="s">
        <v>5388</v>
      </c>
      <c r="E262" t="s">
        <v>5331</v>
      </c>
      <c r="K262" s="8">
        <v>261</v>
      </c>
      <c r="L262" s="8">
        <v>4</v>
      </c>
      <c r="M262" s="8">
        <v>4</v>
      </c>
    </row>
    <row r="263" spans="1:13">
      <c r="A263" t="s">
        <v>4844</v>
      </c>
      <c r="B263" s="220" t="s">
        <v>5388</v>
      </c>
      <c r="C263" t="s">
        <v>4261</v>
      </c>
      <c r="D263" s="220" t="s">
        <v>5388</v>
      </c>
      <c r="E263" t="s">
        <v>5114</v>
      </c>
      <c r="K263" s="8">
        <v>262</v>
      </c>
      <c r="L263" s="8">
        <v>5</v>
      </c>
      <c r="M263" s="8">
        <v>5</v>
      </c>
    </row>
    <row r="264" spans="1:13">
      <c r="A264" t="s">
        <v>4845</v>
      </c>
      <c r="B264" s="220" t="s">
        <v>5388</v>
      </c>
      <c r="C264" t="s">
        <v>4263</v>
      </c>
      <c r="D264" s="220" t="s">
        <v>5388</v>
      </c>
      <c r="E264" t="s">
        <v>5115</v>
      </c>
      <c r="K264" s="8">
        <v>263</v>
      </c>
      <c r="L264" s="8">
        <v>6</v>
      </c>
      <c r="M264" s="8">
        <v>6</v>
      </c>
    </row>
    <row r="265" spans="1:13">
      <c r="A265" t="s">
        <v>4846</v>
      </c>
      <c r="B265" s="220" t="s">
        <v>5388</v>
      </c>
      <c r="C265" t="s">
        <v>4265</v>
      </c>
      <c r="D265" s="220" t="s">
        <v>5388</v>
      </c>
      <c r="E265" t="s">
        <v>5116</v>
      </c>
      <c r="K265" s="8">
        <v>264</v>
      </c>
      <c r="L265" s="8">
        <v>7</v>
      </c>
      <c r="M265" s="8">
        <v>7</v>
      </c>
    </row>
    <row r="266" spans="1:13">
      <c r="A266" t="s">
        <v>4847</v>
      </c>
      <c r="B266" s="220" t="s">
        <v>5388</v>
      </c>
      <c r="C266" t="s">
        <v>4267</v>
      </c>
      <c r="D266" s="220" t="s">
        <v>5388</v>
      </c>
      <c r="E266" t="s">
        <v>5117</v>
      </c>
      <c r="K266" s="8">
        <v>265</v>
      </c>
      <c r="L266" s="8">
        <v>8</v>
      </c>
      <c r="M266" s="8">
        <v>8</v>
      </c>
    </row>
    <row r="267" spans="1:13">
      <c r="A267" t="s">
        <v>4848</v>
      </c>
      <c r="B267" s="220" t="s">
        <v>5388</v>
      </c>
      <c r="C267" t="s">
        <v>4269</v>
      </c>
      <c r="D267" s="220" t="s">
        <v>5388</v>
      </c>
      <c r="E267" t="s">
        <v>5118</v>
      </c>
      <c r="K267" s="8">
        <v>266</v>
      </c>
      <c r="L267" s="8">
        <v>9</v>
      </c>
      <c r="M267" s="8">
        <v>9</v>
      </c>
    </row>
    <row r="268" spans="1:13">
      <c r="A268" t="s">
        <v>4849</v>
      </c>
      <c r="B268" s="220" t="s">
        <v>5388</v>
      </c>
      <c r="C268" t="s">
        <v>4271</v>
      </c>
      <c r="D268" s="220" t="s">
        <v>5388</v>
      </c>
      <c r="E268" t="s">
        <v>5119</v>
      </c>
      <c r="K268" s="8">
        <v>267</v>
      </c>
      <c r="L268" s="8">
        <v>10</v>
      </c>
      <c r="M268" s="8">
        <v>10</v>
      </c>
    </row>
    <row r="269" spans="1:13">
      <c r="A269" t="s">
        <v>4850</v>
      </c>
      <c r="B269" s="220" t="s">
        <v>5388</v>
      </c>
      <c r="C269" t="s">
        <v>4273</v>
      </c>
      <c r="D269" s="220" t="s">
        <v>5388</v>
      </c>
      <c r="E269" t="s">
        <v>5120</v>
      </c>
      <c r="K269" s="8">
        <v>268</v>
      </c>
      <c r="L269" s="8">
        <v>11</v>
      </c>
      <c r="M269" s="8">
        <v>11</v>
      </c>
    </row>
    <row r="270" spans="1:13">
      <c r="A270" t="s">
        <v>4851</v>
      </c>
      <c r="B270" s="220" t="s">
        <v>5388</v>
      </c>
      <c r="C270" t="s">
        <v>4275</v>
      </c>
      <c r="D270" s="220" t="s">
        <v>5388</v>
      </c>
      <c r="E270" t="s">
        <v>5121</v>
      </c>
      <c r="K270" s="8">
        <v>269</v>
      </c>
      <c r="L270" s="8">
        <v>12</v>
      </c>
      <c r="M270" s="8">
        <v>12</v>
      </c>
    </row>
    <row r="271" spans="1:13">
      <c r="A271" t="s">
        <v>4852</v>
      </c>
      <c r="B271" s="220" t="s">
        <v>5388</v>
      </c>
      <c r="C271" t="s">
        <v>4277</v>
      </c>
      <c r="D271" s="220" t="s">
        <v>5388</v>
      </c>
      <c r="E271" t="s">
        <v>5122</v>
      </c>
      <c r="K271" s="8">
        <v>270</v>
      </c>
      <c r="L271" s="8">
        <v>13</v>
      </c>
      <c r="M271" s="8">
        <v>13</v>
      </c>
    </row>
    <row r="272" spans="1:13">
      <c r="A272" t="s">
        <v>4853</v>
      </c>
      <c r="B272" s="220" t="s">
        <v>5388</v>
      </c>
      <c r="C272" t="s">
        <v>4278</v>
      </c>
      <c r="D272" s="220" t="s">
        <v>5388</v>
      </c>
      <c r="E272" t="s">
        <v>5123</v>
      </c>
      <c r="K272" s="8">
        <v>271</v>
      </c>
      <c r="L272" s="8">
        <v>14</v>
      </c>
      <c r="M272" s="8">
        <v>14</v>
      </c>
    </row>
    <row r="273" spans="1:13">
      <c r="A273" t="s">
        <v>4854</v>
      </c>
      <c r="B273" s="220" t="s">
        <v>5388</v>
      </c>
      <c r="C273" t="s">
        <v>4279</v>
      </c>
      <c r="D273" s="220" t="s">
        <v>5388</v>
      </c>
      <c r="E273" t="s">
        <v>5333</v>
      </c>
      <c r="K273" s="8">
        <v>272</v>
      </c>
      <c r="L273" s="8">
        <v>15</v>
      </c>
      <c r="M273" s="8">
        <v>15</v>
      </c>
    </row>
    <row r="274" spans="1:13">
      <c r="A274" t="s">
        <v>4855</v>
      </c>
      <c r="B274" s="220" t="s">
        <v>5388</v>
      </c>
      <c r="C274" t="s">
        <v>4280</v>
      </c>
      <c r="D274" s="220" t="s">
        <v>5388</v>
      </c>
      <c r="E274" t="s">
        <v>5334</v>
      </c>
      <c r="K274" s="8">
        <v>273</v>
      </c>
      <c r="L274" s="8">
        <v>16</v>
      </c>
      <c r="M274" s="8">
        <v>16</v>
      </c>
    </row>
    <row r="275" spans="1:13">
      <c r="A275" t="s">
        <v>4856</v>
      </c>
      <c r="B275" s="220" t="s">
        <v>5388</v>
      </c>
      <c r="C275" t="s">
        <v>4281</v>
      </c>
      <c r="D275" s="220" t="s">
        <v>5388</v>
      </c>
      <c r="E275" t="s">
        <v>5124</v>
      </c>
      <c r="K275" s="8">
        <v>274</v>
      </c>
      <c r="L275" s="8">
        <v>17</v>
      </c>
      <c r="M275" s="8">
        <v>17</v>
      </c>
    </row>
    <row r="276" spans="1:13">
      <c r="A276" t="s">
        <v>4857</v>
      </c>
      <c r="B276" s="220" t="s">
        <v>5388</v>
      </c>
      <c r="C276" t="s">
        <v>4282</v>
      </c>
      <c r="D276" s="220" t="s">
        <v>5388</v>
      </c>
      <c r="E276" t="s">
        <v>5125</v>
      </c>
      <c r="G276"/>
      <c r="K276" s="8">
        <v>275</v>
      </c>
      <c r="L276" s="8">
        <v>18</v>
      </c>
      <c r="M276" s="8">
        <v>18</v>
      </c>
    </row>
    <row r="277" spans="1:13">
      <c r="A277" t="s">
        <v>4858</v>
      </c>
      <c r="B277" s="220" t="s">
        <v>5388</v>
      </c>
      <c r="C277" t="s">
        <v>4283</v>
      </c>
      <c r="D277" s="220" t="s">
        <v>5388</v>
      </c>
      <c r="E277" t="s">
        <v>5126</v>
      </c>
      <c r="K277" s="8">
        <v>276</v>
      </c>
      <c r="L277" s="8">
        <v>19</v>
      </c>
      <c r="M277" s="8">
        <v>19</v>
      </c>
    </row>
    <row r="278" spans="1:13">
      <c r="A278" t="s">
        <v>4859</v>
      </c>
      <c r="B278" s="220" t="s">
        <v>5388</v>
      </c>
      <c r="C278" t="s">
        <v>4284</v>
      </c>
      <c r="D278" s="220" t="s">
        <v>5388</v>
      </c>
      <c r="E278" t="s">
        <v>5127</v>
      </c>
      <c r="K278" s="8">
        <v>277</v>
      </c>
      <c r="L278" s="8">
        <v>20</v>
      </c>
      <c r="M278" s="8">
        <v>20</v>
      </c>
    </row>
    <row r="279" spans="1:13">
      <c r="A279" t="s">
        <v>4860</v>
      </c>
      <c r="B279" s="220" t="s">
        <v>5388</v>
      </c>
      <c r="C279" t="s">
        <v>4285</v>
      </c>
      <c r="D279" s="220" t="s">
        <v>5388</v>
      </c>
      <c r="E279" t="s">
        <v>4895</v>
      </c>
      <c r="K279" s="8">
        <v>278</v>
      </c>
      <c r="L279" s="8">
        <v>21</v>
      </c>
      <c r="M279" s="8">
        <v>21</v>
      </c>
    </row>
    <row r="280" spans="1:13">
      <c r="A280" t="s">
        <v>4861</v>
      </c>
      <c r="B280" s="220" t="s">
        <v>5388</v>
      </c>
      <c r="C280" t="s">
        <v>4286</v>
      </c>
      <c r="D280" s="220" t="s">
        <v>5388</v>
      </c>
      <c r="E280" t="s">
        <v>5128</v>
      </c>
      <c r="K280" s="8">
        <v>279</v>
      </c>
      <c r="L280" s="8">
        <v>22</v>
      </c>
      <c r="M280" s="8">
        <v>22</v>
      </c>
    </row>
    <row r="281" spans="1:13">
      <c r="A281" t="s">
        <v>4862</v>
      </c>
      <c r="B281" s="220" t="s">
        <v>5388</v>
      </c>
      <c r="C281" t="s">
        <v>4287</v>
      </c>
      <c r="D281" s="220" t="s">
        <v>5388</v>
      </c>
      <c r="E281" t="s">
        <v>5129</v>
      </c>
      <c r="K281" s="8">
        <v>280</v>
      </c>
      <c r="L281" s="8">
        <v>23</v>
      </c>
      <c r="M281" s="8">
        <v>23</v>
      </c>
    </row>
    <row r="282" spans="1:13">
      <c r="A282" t="s">
        <v>4863</v>
      </c>
      <c r="B282" s="220" t="s">
        <v>5388</v>
      </c>
      <c r="C282" t="s">
        <v>4477</v>
      </c>
      <c r="D282" s="220" t="s">
        <v>5388</v>
      </c>
      <c r="E282" t="s">
        <v>5335</v>
      </c>
      <c r="K282" s="8">
        <v>281</v>
      </c>
      <c r="L282" s="8">
        <v>24</v>
      </c>
      <c r="M282" s="8">
        <v>24</v>
      </c>
    </row>
    <row r="283" spans="1:13">
      <c r="A283" t="s">
        <v>4864</v>
      </c>
      <c r="B283" s="220" t="s">
        <v>5388</v>
      </c>
      <c r="C283" t="s">
        <v>4479</v>
      </c>
      <c r="D283" s="220" t="s">
        <v>5388</v>
      </c>
      <c r="E283" t="s">
        <v>5332</v>
      </c>
      <c r="K283" s="8">
        <v>282</v>
      </c>
      <c r="L283" s="8">
        <v>25</v>
      </c>
      <c r="M283" s="8">
        <v>25</v>
      </c>
    </row>
    <row r="284" spans="1:13">
      <c r="A284" t="s">
        <v>4865</v>
      </c>
      <c r="B284" s="220" t="s">
        <v>5388</v>
      </c>
      <c r="C284" t="s">
        <v>4481</v>
      </c>
      <c r="D284" s="220" t="s">
        <v>5388</v>
      </c>
      <c r="E284" t="s">
        <v>5336</v>
      </c>
      <c r="K284" s="8">
        <v>283</v>
      </c>
      <c r="L284" s="8">
        <v>26</v>
      </c>
      <c r="M284" s="8">
        <v>26</v>
      </c>
    </row>
    <row r="285" spans="1:13">
      <c r="A285" t="s">
        <v>4866</v>
      </c>
      <c r="B285" s="220" t="s">
        <v>5388</v>
      </c>
      <c r="C285" t="s">
        <v>4288</v>
      </c>
      <c r="D285" s="220" t="s">
        <v>5388</v>
      </c>
      <c r="E285" t="s">
        <v>5130</v>
      </c>
      <c r="K285" s="8">
        <v>284</v>
      </c>
      <c r="L285" s="8">
        <v>1</v>
      </c>
      <c r="M285" s="8">
        <v>27</v>
      </c>
    </row>
    <row r="286" spans="1:13">
      <c r="A286" t="s">
        <v>4867</v>
      </c>
      <c r="B286" s="220" t="s">
        <v>5388</v>
      </c>
      <c r="C286" t="s">
        <v>4289</v>
      </c>
      <c r="D286" s="220" t="s">
        <v>5388</v>
      </c>
      <c r="E286" t="s">
        <v>5131</v>
      </c>
      <c r="K286" s="8">
        <v>285</v>
      </c>
      <c r="L286" s="8">
        <v>2</v>
      </c>
      <c r="M286" s="8">
        <v>28</v>
      </c>
    </row>
    <row r="287" spans="1:13">
      <c r="A287" t="s">
        <v>4868</v>
      </c>
      <c r="B287" s="220" t="s">
        <v>5388</v>
      </c>
      <c r="C287" t="s">
        <v>4290</v>
      </c>
      <c r="D287" s="220" t="s">
        <v>5388</v>
      </c>
      <c r="E287" t="s">
        <v>5132</v>
      </c>
      <c r="K287" s="8">
        <v>286</v>
      </c>
      <c r="L287" s="8">
        <v>3</v>
      </c>
      <c r="M287" s="8">
        <v>29</v>
      </c>
    </row>
    <row r="288" spans="1:13">
      <c r="A288" t="s">
        <v>4869</v>
      </c>
      <c r="B288" s="220" t="s">
        <v>5388</v>
      </c>
      <c r="C288" t="s">
        <v>4291</v>
      </c>
      <c r="D288" s="220" t="s">
        <v>5388</v>
      </c>
      <c r="E288" t="s">
        <v>5150</v>
      </c>
      <c r="K288" s="8">
        <v>287</v>
      </c>
      <c r="L288" s="8">
        <v>4</v>
      </c>
      <c r="M288" s="8">
        <v>30</v>
      </c>
    </row>
    <row r="289" spans="1:13">
      <c r="A289" t="s">
        <v>4870</v>
      </c>
      <c r="B289" s="220" t="s">
        <v>5388</v>
      </c>
      <c r="C289" t="s">
        <v>4292</v>
      </c>
      <c r="D289" s="220" t="s">
        <v>5388</v>
      </c>
      <c r="E289" t="s">
        <v>5134</v>
      </c>
      <c r="K289" s="8">
        <v>288</v>
      </c>
      <c r="L289" s="8">
        <v>5</v>
      </c>
      <c r="M289" s="8">
        <v>31</v>
      </c>
    </row>
    <row r="290" spans="1:13">
      <c r="A290" t="s">
        <v>4871</v>
      </c>
      <c r="B290" s="220" t="s">
        <v>5388</v>
      </c>
      <c r="C290" t="s">
        <v>4293</v>
      </c>
      <c r="D290" s="220" t="s">
        <v>5388</v>
      </c>
      <c r="E290" t="s">
        <v>5135</v>
      </c>
      <c r="K290" s="8">
        <v>289</v>
      </c>
      <c r="L290" s="8">
        <v>6</v>
      </c>
      <c r="M290" s="8">
        <v>32</v>
      </c>
    </row>
    <row r="291" spans="1:13">
      <c r="A291" t="s">
        <v>4872</v>
      </c>
      <c r="B291" s="220" t="s">
        <v>5388</v>
      </c>
      <c r="C291" t="s">
        <v>4294</v>
      </c>
      <c r="D291" s="220" t="s">
        <v>5388</v>
      </c>
      <c r="E291" t="s">
        <v>5136</v>
      </c>
      <c r="K291" s="8">
        <v>290</v>
      </c>
      <c r="L291" s="8">
        <v>7</v>
      </c>
      <c r="M291" s="8">
        <v>33</v>
      </c>
    </row>
    <row r="292" spans="1:13">
      <c r="A292" t="s">
        <v>4873</v>
      </c>
      <c r="B292" s="220" t="s">
        <v>5388</v>
      </c>
      <c r="C292" t="s">
        <v>4295</v>
      </c>
      <c r="D292" s="220" t="s">
        <v>5388</v>
      </c>
      <c r="E292" t="s">
        <v>5137</v>
      </c>
      <c r="K292" s="8">
        <v>291</v>
      </c>
      <c r="L292" s="8">
        <v>8</v>
      </c>
      <c r="M292" s="8">
        <v>34</v>
      </c>
    </row>
    <row r="293" spans="1:13">
      <c r="A293" t="s">
        <v>4874</v>
      </c>
      <c r="B293" s="220" t="s">
        <v>5388</v>
      </c>
      <c r="C293" t="s">
        <v>4296</v>
      </c>
      <c r="D293" s="220" t="s">
        <v>5388</v>
      </c>
      <c r="E293" t="s">
        <v>5138</v>
      </c>
      <c r="K293" s="8">
        <v>292</v>
      </c>
      <c r="L293" s="8">
        <v>9</v>
      </c>
      <c r="M293" s="8">
        <v>35</v>
      </c>
    </row>
    <row r="294" spans="1:13">
      <c r="A294" t="s">
        <v>4875</v>
      </c>
      <c r="B294" s="220" t="s">
        <v>5388</v>
      </c>
      <c r="C294" t="s">
        <v>4297</v>
      </c>
      <c r="D294" s="220" t="s">
        <v>5388</v>
      </c>
      <c r="E294" t="s">
        <v>5139</v>
      </c>
      <c r="K294" s="8">
        <v>293</v>
      </c>
      <c r="L294" s="8">
        <v>10</v>
      </c>
      <c r="M294" s="8">
        <v>36</v>
      </c>
    </row>
    <row r="295" spans="1:13">
      <c r="A295" t="s">
        <v>4876</v>
      </c>
      <c r="B295" s="220" t="s">
        <v>5388</v>
      </c>
      <c r="C295" t="s">
        <v>4298</v>
      </c>
      <c r="D295" s="220" t="s">
        <v>5388</v>
      </c>
      <c r="E295" t="s">
        <v>5140</v>
      </c>
      <c r="K295" s="8">
        <v>294</v>
      </c>
      <c r="L295" s="8">
        <v>11</v>
      </c>
      <c r="M295" s="8">
        <v>37</v>
      </c>
    </row>
    <row r="296" spans="1:13">
      <c r="A296" t="s">
        <v>4877</v>
      </c>
      <c r="B296" s="220" t="s">
        <v>5388</v>
      </c>
      <c r="C296" t="s">
        <v>4299</v>
      </c>
      <c r="D296" s="220" t="s">
        <v>5388</v>
      </c>
      <c r="E296" t="s">
        <v>5141</v>
      </c>
      <c r="K296" s="8">
        <v>295</v>
      </c>
      <c r="L296" s="8">
        <v>12</v>
      </c>
      <c r="M296" s="8">
        <v>38</v>
      </c>
    </row>
    <row r="297" spans="1:13">
      <c r="A297" t="s">
        <v>4878</v>
      </c>
      <c r="B297" s="220" t="s">
        <v>5388</v>
      </c>
      <c r="C297" t="s">
        <v>4300</v>
      </c>
      <c r="D297" s="220" t="s">
        <v>5388</v>
      </c>
      <c r="E297" t="s">
        <v>5142</v>
      </c>
      <c r="K297" s="8">
        <v>296</v>
      </c>
      <c r="L297" s="8">
        <v>13</v>
      </c>
      <c r="M297" s="8">
        <v>39</v>
      </c>
    </row>
    <row r="298" spans="1:13">
      <c r="A298" t="s">
        <v>4879</v>
      </c>
      <c r="B298" s="220" t="s">
        <v>5388</v>
      </c>
      <c r="C298" t="s">
        <v>4301</v>
      </c>
      <c r="D298" s="220" t="s">
        <v>5388</v>
      </c>
      <c r="E298" t="s">
        <v>5143</v>
      </c>
      <c r="K298" s="8">
        <v>297</v>
      </c>
      <c r="L298" s="8">
        <v>14</v>
      </c>
      <c r="M298" s="8">
        <v>40</v>
      </c>
    </row>
    <row r="299" spans="1:13">
      <c r="A299" t="s">
        <v>4880</v>
      </c>
      <c r="B299" s="220" t="s">
        <v>5388</v>
      </c>
      <c r="C299" t="s">
        <v>4302</v>
      </c>
      <c r="D299" s="220" t="s">
        <v>5388</v>
      </c>
      <c r="E299" t="s">
        <v>5337</v>
      </c>
      <c r="K299" s="8">
        <v>298</v>
      </c>
      <c r="L299" s="8">
        <v>15</v>
      </c>
      <c r="M299" s="8">
        <v>41</v>
      </c>
    </row>
    <row r="300" spans="1:13">
      <c r="A300" t="s">
        <v>4881</v>
      </c>
      <c r="B300" s="220" t="s">
        <v>5388</v>
      </c>
      <c r="C300" t="s">
        <v>4303</v>
      </c>
      <c r="D300" s="220" t="s">
        <v>5388</v>
      </c>
      <c r="E300" t="s">
        <v>5338</v>
      </c>
      <c r="K300" s="8">
        <v>299</v>
      </c>
      <c r="L300" s="8">
        <v>16</v>
      </c>
      <c r="M300" s="8">
        <v>42</v>
      </c>
    </row>
    <row r="301" spans="1:13">
      <c r="A301" t="s">
        <v>4882</v>
      </c>
      <c r="B301" s="220" t="s">
        <v>5388</v>
      </c>
      <c r="C301" t="s">
        <v>4304</v>
      </c>
      <c r="D301" s="220" t="s">
        <v>5388</v>
      </c>
      <c r="E301" t="s">
        <v>5144</v>
      </c>
      <c r="K301" s="8">
        <v>300</v>
      </c>
      <c r="L301" s="8">
        <v>17</v>
      </c>
      <c r="M301" s="8">
        <v>43</v>
      </c>
    </row>
    <row r="302" spans="1:13">
      <c r="A302" t="s">
        <v>4883</v>
      </c>
      <c r="B302" s="220" t="s">
        <v>5388</v>
      </c>
      <c r="C302" t="s">
        <v>4305</v>
      </c>
      <c r="D302" s="220" t="s">
        <v>5388</v>
      </c>
      <c r="E302" t="s">
        <v>5145</v>
      </c>
      <c r="K302" s="8">
        <v>301</v>
      </c>
      <c r="L302" s="8">
        <v>18</v>
      </c>
      <c r="M302" s="8">
        <v>44</v>
      </c>
    </row>
    <row r="303" spans="1:13">
      <c r="A303" t="s">
        <v>4884</v>
      </c>
      <c r="B303" s="220" t="s">
        <v>5388</v>
      </c>
      <c r="C303" t="s">
        <v>4306</v>
      </c>
      <c r="D303" s="220" t="s">
        <v>5388</v>
      </c>
      <c r="E303" t="s">
        <v>5146</v>
      </c>
      <c r="K303" s="8">
        <v>302</v>
      </c>
      <c r="L303" s="8">
        <v>19</v>
      </c>
      <c r="M303" s="8">
        <v>45</v>
      </c>
    </row>
    <row r="304" spans="1:13">
      <c r="A304" t="s">
        <v>4885</v>
      </c>
      <c r="B304" s="220" t="s">
        <v>5388</v>
      </c>
      <c r="C304" t="s">
        <v>4307</v>
      </c>
      <c r="D304" s="220" t="s">
        <v>5388</v>
      </c>
      <c r="E304" t="s">
        <v>5147</v>
      </c>
      <c r="K304" s="8">
        <v>303</v>
      </c>
      <c r="L304" s="8">
        <v>20</v>
      </c>
      <c r="M304" s="8">
        <v>46</v>
      </c>
    </row>
    <row r="305" spans="1:13">
      <c r="A305" t="s">
        <v>4886</v>
      </c>
      <c r="B305" s="220" t="s">
        <v>5388</v>
      </c>
      <c r="C305" t="s">
        <v>4308</v>
      </c>
      <c r="D305" s="220" t="s">
        <v>5388</v>
      </c>
      <c r="E305" t="s">
        <v>4897</v>
      </c>
      <c r="K305" s="8">
        <v>304</v>
      </c>
      <c r="L305" s="8">
        <v>21</v>
      </c>
      <c r="M305" s="8">
        <v>47</v>
      </c>
    </row>
    <row r="306" spans="1:13">
      <c r="A306" t="s">
        <v>4887</v>
      </c>
      <c r="B306" s="220" t="s">
        <v>5388</v>
      </c>
      <c r="C306" t="s">
        <v>4309</v>
      </c>
      <c r="D306" s="220" t="s">
        <v>5388</v>
      </c>
      <c r="E306" t="s">
        <v>5148</v>
      </c>
      <c r="K306" s="8">
        <v>305</v>
      </c>
      <c r="L306" s="8">
        <v>22</v>
      </c>
      <c r="M306" s="8">
        <v>48</v>
      </c>
    </row>
    <row r="307" spans="1:13">
      <c r="A307" t="s">
        <v>4888</v>
      </c>
      <c r="B307" s="220" t="s">
        <v>5388</v>
      </c>
      <c r="C307" t="s">
        <v>4310</v>
      </c>
      <c r="D307" s="220" t="s">
        <v>5388</v>
      </c>
      <c r="E307" t="s">
        <v>5149</v>
      </c>
      <c r="K307" s="8">
        <v>306</v>
      </c>
      <c r="L307" s="8">
        <v>23</v>
      </c>
      <c r="M307" s="8">
        <v>49</v>
      </c>
    </row>
    <row r="308" spans="1:13">
      <c r="A308" t="s">
        <v>4889</v>
      </c>
      <c r="B308" s="220" t="s">
        <v>5388</v>
      </c>
      <c r="C308" t="s">
        <v>4514</v>
      </c>
      <c r="D308" s="220" t="s">
        <v>5388</v>
      </c>
      <c r="E308" t="s">
        <v>5151</v>
      </c>
      <c r="K308" s="8">
        <v>307</v>
      </c>
      <c r="L308" s="8">
        <v>24</v>
      </c>
      <c r="M308" s="8">
        <v>50</v>
      </c>
    </row>
    <row r="309" spans="1:13">
      <c r="A309" t="s">
        <v>4890</v>
      </c>
      <c r="B309" s="220" t="s">
        <v>5388</v>
      </c>
      <c r="C309" t="s">
        <v>4516</v>
      </c>
      <c r="D309" s="220" t="s">
        <v>5388</v>
      </c>
      <c r="E309" t="s">
        <v>5133</v>
      </c>
      <c r="K309" s="8">
        <v>308</v>
      </c>
      <c r="L309" s="8">
        <v>25</v>
      </c>
      <c r="M309" s="8">
        <v>51</v>
      </c>
    </row>
    <row r="310" spans="1:13">
      <c r="A310" t="s">
        <v>4891</v>
      </c>
      <c r="B310" s="220" t="s">
        <v>5388</v>
      </c>
      <c r="C310" t="s">
        <v>4518</v>
      </c>
      <c r="D310" s="220" t="s">
        <v>5388</v>
      </c>
      <c r="E310" t="s">
        <v>5339</v>
      </c>
      <c r="K310" s="8">
        <v>309</v>
      </c>
      <c r="L310" s="8">
        <v>26</v>
      </c>
      <c r="M310" s="8">
        <v>52</v>
      </c>
    </row>
    <row r="311" spans="1:13">
      <c r="A311" t="s">
        <v>4892</v>
      </c>
      <c r="B311" s="220" t="s">
        <v>5388</v>
      </c>
      <c r="C311" t="s">
        <v>4893</v>
      </c>
      <c r="D311" s="220" t="s">
        <v>5388</v>
      </c>
      <c r="E311" t="s">
        <v>5340</v>
      </c>
      <c r="K311" s="8">
        <v>310</v>
      </c>
      <c r="L311" s="8">
        <v>1</v>
      </c>
      <c r="M311" s="8">
        <v>53</v>
      </c>
    </row>
    <row r="312" spans="1:13">
      <c r="A312" t="s">
        <v>4894</v>
      </c>
      <c r="B312" s="220" t="s">
        <v>5388</v>
      </c>
      <c r="C312" t="s">
        <v>4895</v>
      </c>
      <c r="D312" s="220" t="s">
        <v>5388</v>
      </c>
      <c r="E312" t="s">
        <v>5341</v>
      </c>
      <c r="K312" s="8">
        <v>311</v>
      </c>
      <c r="L312" s="8">
        <v>2</v>
      </c>
      <c r="M312" s="8">
        <v>54</v>
      </c>
    </row>
    <row r="313" spans="1:13">
      <c r="A313" t="s">
        <v>4896</v>
      </c>
      <c r="B313" s="220" t="s">
        <v>5388</v>
      </c>
      <c r="C313" t="s">
        <v>4897</v>
      </c>
      <c r="D313" s="220" t="s">
        <v>5388</v>
      </c>
      <c r="E313" t="s">
        <v>5342</v>
      </c>
      <c r="K313" s="8">
        <v>312</v>
      </c>
      <c r="L313" s="8">
        <v>3</v>
      </c>
      <c r="M313" s="8">
        <v>55</v>
      </c>
    </row>
    <row r="314" spans="1:13">
      <c r="A314" t="s">
        <v>4898</v>
      </c>
      <c r="B314" s="220" t="s">
        <v>5388</v>
      </c>
      <c r="C314" t="s">
        <v>4899</v>
      </c>
      <c r="D314" s="220" t="s">
        <v>5388</v>
      </c>
      <c r="E314" t="s">
        <v>5343</v>
      </c>
      <c r="K314" s="8">
        <v>313</v>
      </c>
      <c r="L314" s="8">
        <v>1</v>
      </c>
      <c r="M314" s="8">
        <v>56</v>
      </c>
    </row>
    <row r="315" spans="1:13">
      <c r="A315" t="s">
        <v>4900</v>
      </c>
      <c r="B315" s="220" t="s">
        <v>5388</v>
      </c>
      <c r="C315" t="s">
        <v>4901</v>
      </c>
      <c r="D315" s="220" t="s">
        <v>5388</v>
      </c>
      <c r="E315" t="s">
        <v>5344</v>
      </c>
      <c r="K315" s="8">
        <v>314</v>
      </c>
      <c r="L315" s="8">
        <v>2</v>
      </c>
      <c r="M315" s="8">
        <v>57</v>
      </c>
    </row>
    <row r="316" spans="1:13">
      <c r="A316" t="s">
        <v>4902</v>
      </c>
      <c r="B316" s="220" t="s">
        <v>5388</v>
      </c>
      <c r="C316" t="s">
        <v>4903</v>
      </c>
      <c r="D316" s="220" t="s">
        <v>5388</v>
      </c>
      <c r="E316" t="s">
        <v>5345</v>
      </c>
      <c r="K316" s="8">
        <v>315</v>
      </c>
      <c r="L316" s="8">
        <v>3</v>
      </c>
      <c r="M316" s="8">
        <v>58</v>
      </c>
    </row>
    <row r="317" spans="1:13">
      <c r="A317" t="s">
        <v>4904</v>
      </c>
      <c r="B317" s="220" t="s">
        <v>5388</v>
      </c>
      <c r="C317" t="s">
        <v>4311</v>
      </c>
      <c r="D317" s="220" t="s">
        <v>5388</v>
      </c>
      <c r="E317" t="s">
        <v>5346</v>
      </c>
      <c r="K317" s="8">
        <v>316</v>
      </c>
      <c r="L317" s="8">
        <v>1</v>
      </c>
      <c r="M317" s="8">
        <v>59</v>
      </c>
    </row>
    <row r="318" spans="1:13">
      <c r="A318" t="s">
        <v>4905</v>
      </c>
      <c r="B318" s="220" t="s">
        <v>5388</v>
      </c>
      <c r="C318" t="s">
        <v>4312</v>
      </c>
      <c r="D318" s="220" t="s">
        <v>5388</v>
      </c>
      <c r="E318" t="s">
        <v>5347</v>
      </c>
      <c r="K318" s="8">
        <v>317</v>
      </c>
      <c r="L318" s="8">
        <v>2</v>
      </c>
      <c r="M318" s="8">
        <v>60</v>
      </c>
    </row>
    <row r="319" spans="1:13">
      <c r="A319" t="s">
        <v>4906</v>
      </c>
      <c r="B319" s="220" t="s">
        <v>5388</v>
      </c>
      <c r="C319" t="s">
        <v>4313</v>
      </c>
      <c r="D319" s="220" t="s">
        <v>5388</v>
      </c>
      <c r="E319" t="s">
        <v>5348</v>
      </c>
      <c r="K319" s="8">
        <v>318</v>
      </c>
      <c r="L319" s="8">
        <v>3</v>
      </c>
      <c r="M319" s="8">
        <v>61</v>
      </c>
    </row>
    <row r="320" spans="1:13">
      <c r="A320" t="s">
        <v>4907</v>
      </c>
      <c r="B320" s="220" t="s">
        <v>5388</v>
      </c>
      <c r="C320" t="s">
        <v>4314</v>
      </c>
      <c r="D320" s="220" t="s">
        <v>5388</v>
      </c>
      <c r="E320" t="s">
        <v>5349</v>
      </c>
      <c r="K320" s="8">
        <v>319</v>
      </c>
      <c r="L320" s="8">
        <v>4</v>
      </c>
      <c r="M320" s="8">
        <v>62</v>
      </c>
    </row>
    <row r="321" spans="1:13">
      <c r="A321" t="s">
        <v>4908</v>
      </c>
      <c r="B321" s="220" t="s">
        <v>5388</v>
      </c>
      <c r="C321" t="s">
        <v>4315</v>
      </c>
      <c r="D321" s="220" t="s">
        <v>5388</v>
      </c>
      <c r="E321" t="s">
        <v>5350</v>
      </c>
      <c r="K321" s="8">
        <v>320</v>
      </c>
      <c r="L321" s="8">
        <v>1</v>
      </c>
      <c r="M321" s="8">
        <v>63</v>
      </c>
    </row>
    <row r="322" spans="1:13">
      <c r="A322" t="s">
        <v>4909</v>
      </c>
      <c r="B322" s="220" t="s">
        <v>5388</v>
      </c>
      <c r="C322" t="s">
        <v>4316</v>
      </c>
      <c r="D322" s="220" t="s">
        <v>5388</v>
      </c>
      <c r="E322" t="s">
        <v>5351</v>
      </c>
      <c r="K322" s="8">
        <v>321</v>
      </c>
      <c r="L322" s="8">
        <v>2</v>
      </c>
      <c r="M322" s="8">
        <v>64</v>
      </c>
    </row>
    <row r="323" spans="1:13">
      <c r="A323" t="s">
        <v>4910</v>
      </c>
      <c r="B323" s="220" t="s">
        <v>5388</v>
      </c>
      <c r="C323" t="s">
        <v>4317</v>
      </c>
      <c r="D323" s="220" t="s">
        <v>5388</v>
      </c>
      <c r="E323" t="s">
        <v>5352</v>
      </c>
      <c r="K323" s="8">
        <v>322</v>
      </c>
      <c r="L323" s="8">
        <v>3</v>
      </c>
      <c r="M323" s="8">
        <v>65</v>
      </c>
    </row>
    <row r="324" spans="1:13">
      <c r="A324" t="s">
        <v>4911</v>
      </c>
      <c r="B324" s="220" t="s">
        <v>5388</v>
      </c>
      <c r="C324" t="s">
        <v>4318</v>
      </c>
      <c r="D324" s="220" t="s">
        <v>5388</v>
      </c>
      <c r="E324" t="s">
        <v>5152</v>
      </c>
      <c r="K324" s="8">
        <v>323</v>
      </c>
      <c r="L324" s="8">
        <v>4</v>
      </c>
      <c r="M324" s="8">
        <v>66</v>
      </c>
    </row>
    <row r="325" spans="1:13">
      <c r="A325" t="s">
        <v>4912</v>
      </c>
      <c r="B325" s="220" t="s">
        <v>5388</v>
      </c>
      <c r="C325" t="s">
        <v>4600</v>
      </c>
      <c r="D325" s="220" t="s">
        <v>5388</v>
      </c>
      <c r="E325" t="s">
        <v>5353</v>
      </c>
      <c r="K325" s="8">
        <v>324</v>
      </c>
      <c r="L325" s="8">
        <v>1</v>
      </c>
      <c r="M325" s="8">
        <v>67</v>
      </c>
    </row>
    <row r="326" spans="1:13">
      <c r="A326" t="s">
        <v>4913</v>
      </c>
      <c r="B326" s="220" t="s">
        <v>5388</v>
      </c>
      <c r="C326" t="s">
        <v>4602</v>
      </c>
      <c r="D326" s="220" t="s">
        <v>5388</v>
      </c>
      <c r="E326" t="s">
        <v>5354</v>
      </c>
      <c r="K326" s="8">
        <v>325</v>
      </c>
      <c r="L326" s="8">
        <v>2</v>
      </c>
      <c r="M326" s="8">
        <v>68</v>
      </c>
    </row>
    <row r="327" spans="1:13">
      <c r="A327" t="s">
        <v>4914</v>
      </c>
      <c r="B327" s="220" t="s">
        <v>5388</v>
      </c>
      <c r="C327" t="s">
        <v>4915</v>
      </c>
      <c r="D327" s="220" t="s">
        <v>5388</v>
      </c>
      <c r="E327" t="s">
        <v>5355</v>
      </c>
      <c r="K327" s="8">
        <v>326</v>
      </c>
      <c r="L327" s="8">
        <v>3</v>
      </c>
      <c r="M327" s="8">
        <v>69</v>
      </c>
    </row>
    <row r="328" spans="1:13">
      <c r="A328" t="s">
        <v>4916</v>
      </c>
      <c r="B328" s="220" t="s">
        <v>5388</v>
      </c>
      <c r="C328" t="s">
        <v>4917</v>
      </c>
      <c r="D328" s="220" t="s">
        <v>5388</v>
      </c>
      <c r="E328" t="s">
        <v>5153</v>
      </c>
      <c r="K328" s="8">
        <v>327</v>
      </c>
      <c r="L328" s="8">
        <v>4</v>
      </c>
      <c r="M328" s="8">
        <v>70</v>
      </c>
    </row>
    <row r="329" spans="1:13">
      <c r="A329" t="s">
        <v>4918</v>
      </c>
      <c r="B329" s="220" t="s">
        <v>5388</v>
      </c>
      <c r="C329" t="s">
        <v>4919</v>
      </c>
      <c r="D329" s="220" t="s">
        <v>5388</v>
      </c>
      <c r="E329" t="s">
        <v>5154</v>
      </c>
      <c r="K329" s="8">
        <v>328</v>
      </c>
      <c r="L329" s="8">
        <v>5</v>
      </c>
      <c r="M329" s="8">
        <v>71</v>
      </c>
    </row>
    <row r="330" spans="1:13">
      <c r="A330" t="s">
        <v>4920</v>
      </c>
      <c r="B330" s="220" t="s">
        <v>5388</v>
      </c>
      <c r="C330" t="s">
        <v>4921</v>
      </c>
      <c r="D330" s="220" t="s">
        <v>5388</v>
      </c>
      <c r="E330" t="s">
        <v>5155</v>
      </c>
      <c r="K330" s="8">
        <v>329</v>
      </c>
      <c r="L330" s="8">
        <v>6</v>
      </c>
      <c r="M330" s="8">
        <v>72</v>
      </c>
    </row>
    <row r="331" spans="1:13">
      <c r="A331" t="s">
        <v>4922</v>
      </c>
      <c r="B331" s="220" t="s">
        <v>5388</v>
      </c>
      <c r="C331" t="s">
        <v>4680</v>
      </c>
      <c r="D331" s="220" t="s">
        <v>5388</v>
      </c>
      <c r="E331" t="s">
        <v>5156</v>
      </c>
      <c r="K331" s="8">
        <v>330</v>
      </c>
      <c r="L331" s="8">
        <v>7</v>
      </c>
      <c r="M331" s="8">
        <v>73</v>
      </c>
    </row>
    <row r="332" spans="1:13">
      <c r="A332" t="s">
        <v>4923</v>
      </c>
      <c r="B332" s="220" t="s">
        <v>5388</v>
      </c>
      <c r="C332" t="s">
        <v>4330</v>
      </c>
      <c r="D332" s="220" t="s">
        <v>5388</v>
      </c>
      <c r="E332" t="s">
        <v>5356</v>
      </c>
      <c r="K332" s="8">
        <v>331</v>
      </c>
      <c r="L332" s="8">
        <v>1</v>
      </c>
      <c r="M332" s="8">
        <v>74</v>
      </c>
    </row>
    <row r="333" spans="1:13">
      <c r="A333" t="s">
        <v>4924</v>
      </c>
      <c r="B333" s="220" t="s">
        <v>5388</v>
      </c>
      <c r="C333" t="s">
        <v>4319</v>
      </c>
      <c r="D333" s="220" t="s">
        <v>5388</v>
      </c>
      <c r="E333" t="s">
        <v>5357</v>
      </c>
      <c r="K333" s="8">
        <v>332</v>
      </c>
      <c r="L333" s="8">
        <v>2</v>
      </c>
      <c r="M333" s="8">
        <v>75</v>
      </c>
    </row>
    <row r="334" spans="1:13">
      <c r="A334" t="s">
        <v>4925</v>
      </c>
      <c r="B334" s="220" t="s">
        <v>5388</v>
      </c>
      <c r="C334" t="s">
        <v>4320</v>
      </c>
      <c r="D334" s="220" t="s">
        <v>5388</v>
      </c>
      <c r="E334" t="s">
        <v>5358</v>
      </c>
      <c r="K334" s="8">
        <v>333</v>
      </c>
      <c r="L334" s="8">
        <v>3</v>
      </c>
      <c r="M334" s="8">
        <v>76</v>
      </c>
    </row>
    <row r="335" spans="1:13">
      <c r="A335" t="s">
        <v>4926</v>
      </c>
      <c r="B335" s="220" t="s">
        <v>5388</v>
      </c>
      <c r="C335" t="s">
        <v>4321</v>
      </c>
      <c r="D335" s="220" t="s">
        <v>5388</v>
      </c>
      <c r="E335" t="s">
        <v>5359</v>
      </c>
      <c r="K335" s="8">
        <v>334</v>
      </c>
      <c r="L335" s="8">
        <v>4</v>
      </c>
      <c r="M335" s="8">
        <v>77</v>
      </c>
    </row>
    <row r="336" spans="1:13">
      <c r="A336" t="s">
        <v>5325</v>
      </c>
      <c r="B336" s="220" t="s">
        <v>5388</v>
      </c>
      <c r="C336" t="s">
        <v>5323</v>
      </c>
      <c r="D336" s="220" t="s">
        <v>5388</v>
      </c>
      <c r="E336" t="s">
        <v>5360</v>
      </c>
      <c r="K336" s="8">
        <v>335</v>
      </c>
      <c r="L336" s="8">
        <v>5</v>
      </c>
      <c r="M336" s="8">
        <v>78</v>
      </c>
    </row>
    <row r="337" spans="1:13">
      <c r="A337" t="s">
        <v>4927</v>
      </c>
      <c r="B337" s="220" t="s">
        <v>5388</v>
      </c>
      <c r="C337" t="s">
        <v>4331</v>
      </c>
      <c r="D337" s="220" t="s">
        <v>5388</v>
      </c>
      <c r="E337" t="s">
        <v>5361</v>
      </c>
      <c r="K337" s="8">
        <v>336</v>
      </c>
      <c r="L337" s="8">
        <v>1</v>
      </c>
      <c r="M337" s="8">
        <v>79</v>
      </c>
    </row>
    <row r="338" spans="1:13">
      <c r="A338" t="s">
        <v>4928</v>
      </c>
      <c r="B338" s="220" t="s">
        <v>5388</v>
      </c>
      <c r="C338" t="s">
        <v>4322</v>
      </c>
      <c r="D338" s="220" t="s">
        <v>5388</v>
      </c>
      <c r="E338" t="s">
        <v>5362</v>
      </c>
      <c r="K338" s="8">
        <v>337</v>
      </c>
      <c r="L338" s="8">
        <v>2</v>
      </c>
      <c r="M338" s="8">
        <v>80</v>
      </c>
    </row>
    <row r="339" spans="1:13">
      <c r="A339" t="s">
        <v>4929</v>
      </c>
      <c r="B339" s="220" t="s">
        <v>5388</v>
      </c>
      <c r="C339" t="s">
        <v>4323</v>
      </c>
      <c r="D339" s="220" t="s">
        <v>5388</v>
      </c>
      <c r="E339" t="s">
        <v>5363</v>
      </c>
      <c r="K339" s="8">
        <v>338</v>
      </c>
      <c r="L339" s="8">
        <v>3</v>
      </c>
      <c r="M339" s="8">
        <v>81</v>
      </c>
    </row>
    <row r="340" spans="1:13">
      <c r="A340" t="s">
        <v>4930</v>
      </c>
      <c r="B340" s="220" t="s">
        <v>5388</v>
      </c>
      <c r="C340" t="s">
        <v>4324</v>
      </c>
      <c r="D340" s="220" t="s">
        <v>5388</v>
      </c>
      <c r="E340" t="s">
        <v>5364</v>
      </c>
      <c r="K340" s="8">
        <v>339</v>
      </c>
      <c r="L340" s="8">
        <v>4</v>
      </c>
      <c r="M340" s="8">
        <v>82</v>
      </c>
    </row>
    <row r="341" spans="1:13">
      <c r="A341" t="s">
        <v>5326</v>
      </c>
      <c r="B341" s="220" t="s">
        <v>5388</v>
      </c>
      <c r="C341" t="s">
        <v>5324</v>
      </c>
      <c r="D341" s="220" t="s">
        <v>5388</v>
      </c>
      <c r="E341" t="s">
        <v>5365</v>
      </c>
      <c r="K341" s="8">
        <v>340</v>
      </c>
      <c r="L341" s="8">
        <v>5</v>
      </c>
      <c r="M341" s="8">
        <v>83</v>
      </c>
    </row>
    <row r="342" spans="1:13">
      <c r="A342" t="s">
        <v>4931</v>
      </c>
      <c r="B342" s="220" t="s">
        <v>5388</v>
      </c>
      <c r="C342" t="s">
        <v>4332</v>
      </c>
      <c r="D342" s="220" t="s">
        <v>5388</v>
      </c>
      <c r="E342" t="s">
        <v>5366</v>
      </c>
      <c r="K342" s="8">
        <v>341</v>
      </c>
      <c r="L342" s="8">
        <v>1</v>
      </c>
      <c r="M342" s="8">
        <v>84</v>
      </c>
    </row>
    <row r="343" spans="1:13">
      <c r="A343" t="s">
        <v>4932</v>
      </c>
      <c r="B343" s="220" t="s">
        <v>5388</v>
      </c>
      <c r="C343" t="s">
        <v>4325</v>
      </c>
      <c r="D343" s="220" t="s">
        <v>5388</v>
      </c>
      <c r="E343" t="s">
        <v>5367</v>
      </c>
      <c r="K343" s="8">
        <v>342</v>
      </c>
      <c r="L343" s="8">
        <v>2</v>
      </c>
      <c r="M343" s="8">
        <v>85</v>
      </c>
    </row>
    <row r="344" spans="1:13">
      <c r="A344" t="s">
        <v>4933</v>
      </c>
      <c r="B344" s="220" t="s">
        <v>5388</v>
      </c>
      <c r="C344" t="s">
        <v>4326</v>
      </c>
      <c r="D344" s="220" t="s">
        <v>5388</v>
      </c>
      <c r="E344" t="s">
        <v>5368</v>
      </c>
      <c r="K344" s="8">
        <v>343</v>
      </c>
      <c r="L344" s="8">
        <v>3</v>
      </c>
      <c r="M344" s="8">
        <v>86</v>
      </c>
    </row>
    <row r="345" spans="1:13">
      <c r="A345" t="s">
        <v>4934</v>
      </c>
      <c r="B345" s="220" t="s">
        <v>5388</v>
      </c>
      <c r="C345" t="s">
        <v>4327</v>
      </c>
      <c r="D345" s="220" t="s">
        <v>5388</v>
      </c>
      <c r="E345" t="s">
        <v>5369</v>
      </c>
      <c r="K345" s="8">
        <v>344</v>
      </c>
      <c r="L345" s="8">
        <v>4</v>
      </c>
      <c r="M345" s="8">
        <v>87</v>
      </c>
    </row>
    <row r="346" spans="1:13">
      <c r="A346" t="s">
        <v>5327</v>
      </c>
      <c r="B346" s="220" t="s">
        <v>5388</v>
      </c>
      <c r="C346" t="s">
        <v>5329</v>
      </c>
      <c r="D346" s="220" t="s">
        <v>5388</v>
      </c>
      <c r="E346" t="s">
        <v>5370</v>
      </c>
      <c r="K346" s="8">
        <v>345</v>
      </c>
      <c r="L346" s="8">
        <v>5</v>
      </c>
      <c r="M346" s="8">
        <v>88</v>
      </c>
    </row>
    <row r="347" spans="1:13">
      <c r="A347" t="s">
        <v>5157</v>
      </c>
      <c r="B347" s="220" t="s">
        <v>5388</v>
      </c>
      <c r="C347" t="s">
        <v>5161</v>
      </c>
      <c r="D347" s="220" t="s">
        <v>5388</v>
      </c>
      <c r="E347" t="s">
        <v>5371</v>
      </c>
      <c r="K347" s="8">
        <v>346</v>
      </c>
      <c r="L347" s="8">
        <v>1</v>
      </c>
      <c r="M347" s="8">
        <v>89</v>
      </c>
    </row>
    <row r="348" spans="1:13">
      <c r="A348" t="s">
        <v>5158</v>
      </c>
      <c r="B348" s="220" t="s">
        <v>5388</v>
      </c>
      <c r="C348" t="s">
        <v>5162</v>
      </c>
      <c r="D348" s="220" t="s">
        <v>5388</v>
      </c>
      <c r="E348" t="s">
        <v>5372</v>
      </c>
      <c r="K348" s="8">
        <v>347</v>
      </c>
      <c r="L348" s="8">
        <v>2</v>
      </c>
      <c r="M348" s="8">
        <v>90</v>
      </c>
    </row>
    <row r="349" spans="1:13">
      <c r="A349" t="s">
        <v>5159</v>
      </c>
      <c r="B349" s="220" t="s">
        <v>5388</v>
      </c>
      <c r="C349" t="s">
        <v>5163</v>
      </c>
      <c r="D349" s="220" t="s">
        <v>5388</v>
      </c>
      <c r="E349" t="s">
        <v>5373</v>
      </c>
      <c r="K349" s="8">
        <v>348</v>
      </c>
      <c r="L349" s="8">
        <v>3</v>
      </c>
      <c r="M349" s="8">
        <v>91</v>
      </c>
    </row>
    <row r="350" spans="1:13">
      <c r="A350" t="s">
        <v>5160</v>
      </c>
      <c r="B350" s="220" t="s">
        <v>5388</v>
      </c>
      <c r="C350" t="s">
        <v>5164</v>
      </c>
      <c r="D350" s="220" t="s">
        <v>5388</v>
      </c>
      <c r="E350" t="s">
        <v>5374</v>
      </c>
      <c r="K350" s="8">
        <v>349</v>
      </c>
      <c r="L350" s="8">
        <v>4</v>
      </c>
      <c r="M350" s="8">
        <v>92</v>
      </c>
    </row>
    <row r="351" spans="1:13">
      <c r="A351" t="s">
        <v>5328</v>
      </c>
      <c r="B351" s="220" t="s">
        <v>5388</v>
      </c>
      <c r="C351" t="s">
        <v>5330</v>
      </c>
      <c r="D351" s="220" t="s">
        <v>5388</v>
      </c>
      <c r="E351" t="s">
        <v>5375</v>
      </c>
      <c r="K351" s="8">
        <v>350</v>
      </c>
      <c r="L351" s="8">
        <v>5</v>
      </c>
      <c r="M351" s="8">
        <v>93</v>
      </c>
    </row>
    <row r="352" spans="1:13">
      <c r="A352" t="s">
        <v>4935</v>
      </c>
      <c r="B352" s="220" t="s">
        <v>5388</v>
      </c>
      <c r="C352" t="s">
        <v>4334</v>
      </c>
      <c r="D352" s="220" t="s">
        <v>5388</v>
      </c>
      <c r="E352" t="s">
        <v>5376</v>
      </c>
      <c r="K352" s="8">
        <v>351</v>
      </c>
      <c r="L352" s="8">
        <v>1</v>
      </c>
      <c r="M352" s="8">
        <v>94</v>
      </c>
    </row>
    <row r="353" spans="1:13">
      <c r="A353" t="s">
        <v>4936</v>
      </c>
      <c r="B353" s="220" t="s">
        <v>5388</v>
      </c>
      <c r="C353" t="s">
        <v>4937</v>
      </c>
      <c r="D353" s="220" t="s">
        <v>5388</v>
      </c>
      <c r="E353" t="s">
        <v>5377</v>
      </c>
      <c r="K353" s="8">
        <v>352</v>
      </c>
      <c r="L353" s="8">
        <v>2</v>
      </c>
      <c r="M353" s="8">
        <v>95</v>
      </c>
    </row>
    <row r="354" spans="1:13">
      <c r="A354" t="s">
        <v>4938</v>
      </c>
      <c r="B354" s="220" t="s">
        <v>5388</v>
      </c>
      <c r="C354" t="s">
        <v>4939</v>
      </c>
      <c r="D354" s="220" t="s">
        <v>5388</v>
      </c>
      <c r="E354" t="s">
        <v>5378</v>
      </c>
      <c r="K354" s="8">
        <v>353</v>
      </c>
      <c r="L354" s="8">
        <v>3</v>
      </c>
      <c r="M354" s="8">
        <v>96</v>
      </c>
    </row>
    <row r="355" spans="1:13">
      <c r="A355" t="s">
        <v>4940</v>
      </c>
      <c r="B355" s="220" t="s">
        <v>5388</v>
      </c>
      <c r="C355" t="s">
        <v>4941</v>
      </c>
      <c r="D355" s="220" t="s">
        <v>5388</v>
      </c>
      <c r="E355" t="s">
        <v>5383</v>
      </c>
      <c r="K355" s="8">
        <v>354</v>
      </c>
      <c r="L355" s="8">
        <v>1</v>
      </c>
      <c r="M355" s="8">
        <v>97</v>
      </c>
    </row>
    <row r="356" spans="1:13">
      <c r="A356" t="s">
        <v>4942</v>
      </c>
      <c r="B356" s="220" t="s">
        <v>5388</v>
      </c>
      <c r="C356" t="s">
        <v>4943</v>
      </c>
      <c r="D356" s="220" t="s">
        <v>5388</v>
      </c>
      <c r="E356" t="s">
        <v>5384</v>
      </c>
      <c r="K356" s="8">
        <v>355</v>
      </c>
      <c r="L356" s="8">
        <v>2</v>
      </c>
      <c r="M356" s="8">
        <v>98</v>
      </c>
    </row>
    <row r="357" spans="1:13">
      <c r="A357" t="s">
        <v>4944</v>
      </c>
      <c r="B357" s="220" t="s">
        <v>5388</v>
      </c>
      <c r="C357" t="s">
        <v>4333</v>
      </c>
      <c r="D357" s="220" t="s">
        <v>5388</v>
      </c>
      <c r="E357" t="s">
        <v>5381</v>
      </c>
      <c r="K357" s="8">
        <v>356</v>
      </c>
      <c r="L357" s="8">
        <v>1</v>
      </c>
      <c r="M357" s="8">
        <v>99</v>
      </c>
    </row>
    <row r="358" spans="1:13">
      <c r="A358" t="s">
        <v>4945</v>
      </c>
      <c r="B358" s="220" t="s">
        <v>5388</v>
      </c>
      <c r="C358" t="s">
        <v>4946</v>
      </c>
      <c r="D358" s="220" t="s">
        <v>5388</v>
      </c>
      <c r="E358" t="s">
        <v>5382</v>
      </c>
      <c r="K358" s="8">
        <v>357</v>
      </c>
      <c r="L358" s="8">
        <v>2</v>
      </c>
      <c r="M358" s="8">
        <v>100</v>
      </c>
    </row>
    <row r="359" spans="1:13">
      <c r="A359" t="s">
        <v>4947</v>
      </c>
      <c r="B359" s="220" t="s">
        <v>5388</v>
      </c>
      <c r="C359" t="s">
        <v>4948</v>
      </c>
      <c r="D359" s="220" t="s">
        <v>5388</v>
      </c>
      <c r="E359" t="s">
        <v>5379</v>
      </c>
      <c r="K359" s="8">
        <v>358</v>
      </c>
      <c r="L359" s="8">
        <v>1</v>
      </c>
      <c r="M359" s="8">
        <v>101</v>
      </c>
    </row>
    <row r="360" spans="1:13">
      <c r="A360" t="s">
        <v>4949</v>
      </c>
      <c r="B360" s="220" t="s">
        <v>5388</v>
      </c>
      <c r="C360" t="s">
        <v>4950</v>
      </c>
      <c r="D360" s="220" t="s">
        <v>5388</v>
      </c>
      <c r="E360" t="s">
        <v>5380</v>
      </c>
      <c r="K360" s="8">
        <v>359</v>
      </c>
      <c r="L360" s="8">
        <v>2</v>
      </c>
      <c r="M360" s="8">
        <v>102</v>
      </c>
    </row>
    <row r="361" spans="1:13">
      <c r="A361" t="s">
        <v>4951</v>
      </c>
      <c r="B361" s="220" t="s">
        <v>5388</v>
      </c>
      <c r="C361" t="s">
        <v>4650</v>
      </c>
      <c r="D361" s="220" t="s">
        <v>5388</v>
      </c>
      <c r="E361" t="s">
        <v>5165</v>
      </c>
      <c r="K361" s="8">
        <v>360</v>
      </c>
      <c r="L361" s="8">
        <v>1</v>
      </c>
      <c r="M361" s="8">
        <v>103</v>
      </c>
    </row>
    <row r="362" spans="1:13">
      <c r="A362" t="s">
        <v>4952</v>
      </c>
      <c r="B362" s="220" t="s">
        <v>5388</v>
      </c>
      <c r="C362" t="s">
        <v>4652</v>
      </c>
      <c r="D362" s="220" t="s">
        <v>5388</v>
      </c>
      <c r="E362" t="s">
        <v>5166</v>
      </c>
      <c r="K362" s="8">
        <v>361</v>
      </c>
      <c r="L362" s="8">
        <v>2</v>
      </c>
      <c r="M362" s="8">
        <v>104</v>
      </c>
    </row>
    <row r="363" spans="1:13">
      <c r="A363" t="s">
        <v>4953</v>
      </c>
      <c r="B363" s="220" t="s">
        <v>5388</v>
      </c>
      <c r="C363" t="s">
        <v>4654</v>
      </c>
      <c r="D363" s="220" t="s">
        <v>5388</v>
      </c>
      <c r="E363" t="s">
        <v>5167</v>
      </c>
      <c r="K363" s="8">
        <v>362</v>
      </c>
      <c r="L363" s="8">
        <v>3</v>
      </c>
      <c r="M363" s="8">
        <v>105</v>
      </c>
    </row>
    <row r="364" spans="1:13">
      <c r="A364" t="s">
        <v>4954</v>
      </c>
      <c r="B364" s="220" t="s">
        <v>5388</v>
      </c>
      <c r="C364" t="s">
        <v>4656</v>
      </c>
      <c r="D364" s="220" t="s">
        <v>5388</v>
      </c>
      <c r="E364" t="s">
        <v>5168</v>
      </c>
      <c r="K364" s="8">
        <v>363</v>
      </c>
      <c r="L364" s="8">
        <v>4</v>
      </c>
      <c r="M364" s="8">
        <v>106</v>
      </c>
    </row>
    <row r="365" spans="1:13">
      <c r="A365" t="s">
        <v>4955</v>
      </c>
      <c r="B365" s="220" t="s">
        <v>5388</v>
      </c>
      <c r="C365" t="s">
        <v>4658</v>
      </c>
      <c r="D365" s="220" t="s">
        <v>5388</v>
      </c>
      <c r="E365" t="s">
        <v>5169</v>
      </c>
      <c r="K365" s="8">
        <v>364</v>
      </c>
      <c r="L365" s="8">
        <v>5</v>
      </c>
      <c r="M365" s="8">
        <v>107</v>
      </c>
    </row>
    <row r="366" spans="1:13">
      <c r="A366" t="s">
        <v>4956</v>
      </c>
      <c r="B366" s="220" t="s">
        <v>5388</v>
      </c>
      <c r="C366" t="s">
        <v>4957</v>
      </c>
      <c r="D366" s="220" t="s">
        <v>5388</v>
      </c>
      <c r="E366" t="s">
        <v>5170</v>
      </c>
      <c r="K366" s="8">
        <v>365</v>
      </c>
      <c r="L366" s="8">
        <v>6</v>
      </c>
      <c r="M366" s="8">
        <v>108</v>
      </c>
    </row>
    <row r="367" spans="1:13">
      <c r="A367" t="s">
        <v>4958</v>
      </c>
      <c r="B367" s="220" t="s">
        <v>5388</v>
      </c>
      <c r="C367" t="s">
        <v>4959</v>
      </c>
      <c r="D367" s="220" t="s">
        <v>5388</v>
      </c>
      <c r="E367" t="s">
        <v>5171</v>
      </c>
      <c r="K367" s="8">
        <v>366</v>
      </c>
      <c r="L367" s="8">
        <v>7</v>
      </c>
      <c r="M367" s="8">
        <v>109</v>
      </c>
    </row>
    <row r="368" spans="1:13">
      <c r="A368" t="s">
        <v>4960</v>
      </c>
      <c r="B368" s="220" t="s">
        <v>5388</v>
      </c>
      <c r="C368" t="s">
        <v>4690</v>
      </c>
      <c r="D368" s="220" t="s">
        <v>5388</v>
      </c>
      <c r="E368" t="s">
        <v>5172</v>
      </c>
      <c r="K368" s="8">
        <v>367</v>
      </c>
      <c r="L368" s="8">
        <v>8</v>
      </c>
      <c r="M368" s="8">
        <v>110</v>
      </c>
    </row>
    <row r="369" spans="1:13">
      <c r="A369" t="s">
        <v>4961</v>
      </c>
      <c r="B369" s="220" t="s">
        <v>5388</v>
      </c>
      <c r="C369" t="s">
        <v>4692</v>
      </c>
      <c r="D369" s="220" t="s">
        <v>5388</v>
      </c>
      <c r="E369" t="s">
        <v>5173</v>
      </c>
      <c r="K369" s="8">
        <v>368</v>
      </c>
      <c r="L369" s="8">
        <v>9</v>
      </c>
      <c r="M369" s="8">
        <v>111</v>
      </c>
    </row>
    <row r="370" spans="1:13">
      <c r="A370" t="s">
        <v>4962</v>
      </c>
      <c r="B370" s="220" t="s">
        <v>5388</v>
      </c>
      <c r="C370" t="s">
        <v>4694</v>
      </c>
      <c r="D370" s="220" t="s">
        <v>5388</v>
      </c>
      <c r="E370" t="s">
        <v>5174</v>
      </c>
      <c r="K370" s="8">
        <v>369</v>
      </c>
      <c r="L370" s="8">
        <v>10</v>
      </c>
      <c r="M370" s="8">
        <v>112</v>
      </c>
    </row>
    <row r="371" spans="1:13">
      <c r="A371" t="s">
        <v>4963</v>
      </c>
      <c r="B371" s="220" t="s">
        <v>5388</v>
      </c>
      <c r="C371" t="s">
        <v>4696</v>
      </c>
      <c r="D371" s="220" t="s">
        <v>5388</v>
      </c>
      <c r="E371" t="s">
        <v>5175</v>
      </c>
      <c r="K371" s="8">
        <v>370</v>
      </c>
      <c r="L371" s="8">
        <v>11</v>
      </c>
      <c r="M371" s="8">
        <v>113</v>
      </c>
    </row>
    <row r="372" spans="1:13">
      <c r="A372" t="s">
        <v>4964</v>
      </c>
      <c r="B372" s="220" t="s">
        <v>5388</v>
      </c>
      <c r="C372" t="s">
        <v>4698</v>
      </c>
      <c r="D372" s="220" t="s">
        <v>5388</v>
      </c>
      <c r="E372" t="s">
        <v>5176</v>
      </c>
      <c r="K372" s="8">
        <v>371</v>
      </c>
      <c r="L372" s="8">
        <v>12</v>
      </c>
      <c r="M372" s="8">
        <v>114</v>
      </c>
    </row>
    <row r="373" spans="1:13">
      <c r="A373" t="s">
        <v>4965</v>
      </c>
      <c r="B373" s="220" t="s">
        <v>5388</v>
      </c>
      <c r="C373" t="s">
        <v>4966</v>
      </c>
      <c r="D373" s="220" t="s">
        <v>5388</v>
      </c>
      <c r="E373" t="s">
        <v>5177</v>
      </c>
      <c r="K373" s="8">
        <v>372</v>
      </c>
      <c r="L373" s="8">
        <v>13</v>
      </c>
      <c r="M373" s="8">
        <v>115</v>
      </c>
    </row>
    <row r="374" spans="1:13">
      <c r="A374" t="s">
        <v>4967</v>
      </c>
      <c r="B374" s="220" t="s">
        <v>5388</v>
      </c>
      <c r="C374" t="s">
        <v>4968</v>
      </c>
      <c r="D374" s="220" t="s">
        <v>5388</v>
      </c>
      <c r="E374" t="s">
        <v>5178</v>
      </c>
      <c r="K374" s="8">
        <v>373</v>
      </c>
      <c r="L374" s="8">
        <v>14</v>
      </c>
      <c r="M374" s="8">
        <v>116</v>
      </c>
    </row>
    <row r="375" spans="1:13">
      <c r="A375" t="s">
        <v>4969</v>
      </c>
      <c r="B375" s="220" t="s">
        <v>5388</v>
      </c>
      <c r="C375" t="s">
        <v>4970</v>
      </c>
      <c r="D375" s="220" t="s">
        <v>5388</v>
      </c>
      <c r="E375" t="s">
        <v>5385</v>
      </c>
      <c r="K375" s="8">
        <v>374</v>
      </c>
      <c r="L375" s="8">
        <v>31</v>
      </c>
      <c r="M375" s="8">
        <v>117</v>
      </c>
    </row>
    <row r="376" spans="1:13">
      <c r="A376" t="s">
        <v>4971</v>
      </c>
      <c r="B376" s="220" t="s">
        <v>5388</v>
      </c>
      <c r="C376" t="s">
        <v>4328</v>
      </c>
      <c r="D376" s="220" t="s">
        <v>5388</v>
      </c>
      <c r="E376" t="s">
        <v>5386</v>
      </c>
      <c r="K376" s="8">
        <v>375</v>
      </c>
      <c r="L376" s="8">
        <v>32</v>
      </c>
      <c r="M376" s="8">
        <v>118</v>
      </c>
    </row>
    <row r="377" spans="1:13">
      <c r="A377" t="s">
        <v>4972</v>
      </c>
      <c r="B377" s="220" t="s">
        <v>5388</v>
      </c>
      <c r="C377" t="s">
        <v>4329</v>
      </c>
      <c r="D377" s="220" t="s">
        <v>5388</v>
      </c>
      <c r="E377" t="s">
        <v>5389</v>
      </c>
      <c r="K377" s="8">
        <v>376</v>
      </c>
      <c r="L377" s="8">
        <v>33</v>
      </c>
      <c r="M377" s="8">
        <v>119</v>
      </c>
    </row>
    <row r="762" spans="14:16">
      <c r="N762" s="220"/>
      <c r="P762"/>
    </row>
    <row r="763" spans="14:16">
      <c r="N763" s="220"/>
      <c r="P763"/>
    </row>
    <row r="764" spans="14:16">
      <c r="N764" s="220"/>
      <c r="P764"/>
    </row>
    <row r="765" spans="14:16">
      <c r="N765" s="220"/>
      <c r="P765"/>
    </row>
    <row r="766" spans="14:16">
      <c r="N766" s="220"/>
      <c r="P766"/>
    </row>
    <row r="767" spans="14:16">
      <c r="N767" s="220"/>
      <c r="P767"/>
    </row>
    <row r="768" spans="14:16">
      <c r="N768" s="220"/>
      <c r="P768"/>
    </row>
    <row r="769" spans="14:16">
      <c r="N769" s="220"/>
      <c r="P769"/>
    </row>
    <row r="770" spans="14:16">
      <c r="N770" s="220"/>
      <c r="P770"/>
    </row>
    <row r="771" spans="14:16">
      <c r="N771" s="220"/>
      <c r="P771"/>
    </row>
    <row r="772" spans="14:16">
      <c r="N772" s="220"/>
      <c r="P772"/>
    </row>
    <row r="773" spans="14:16">
      <c r="N773" s="220"/>
      <c r="P773"/>
    </row>
    <row r="774" spans="14:16">
      <c r="N774" s="220"/>
      <c r="P774"/>
    </row>
    <row r="775" spans="14:16">
      <c r="N775" s="220"/>
      <c r="P775"/>
    </row>
    <row r="776" spans="14:16">
      <c r="N776" s="220"/>
      <c r="P776"/>
    </row>
    <row r="777" spans="14:16">
      <c r="N777" s="220"/>
      <c r="P777"/>
    </row>
    <row r="778" spans="14:16">
      <c r="N778" s="220"/>
      <c r="P778"/>
    </row>
    <row r="779" spans="14:16">
      <c r="N779" s="220"/>
      <c r="P779"/>
    </row>
    <row r="780" spans="14:16">
      <c r="N780" s="220"/>
      <c r="P780"/>
    </row>
    <row r="781" spans="14:16">
      <c r="N781" s="220"/>
      <c r="P781"/>
    </row>
    <row r="782" spans="14:16">
      <c r="N782" s="220"/>
      <c r="P782"/>
    </row>
    <row r="783" spans="14:16">
      <c r="N783" s="220"/>
      <c r="P783"/>
    </row>
    <row r="784" spans="14:16">
      <c r="N784" s="220"/>
      <c r="P784"/>
    </row>
    <row r="785" spans="14:16">
      <c r="N785" s="220"/>
      <c r="P785"/>
    </row>
    <row r="786" spans="14:16">
      <c r="N786" s="220"/>
      <c r="P786"/>
    </row>
    <row r="787" spans="14:16">
      <c r="N787" s="220"/>
      <c r="P787"/>
    </row>
    <row r="788" spans="14:16">
      <c r="N788" s="220"/>
      <c r="P788"/>
    </row>
    <row r="789" spans="14:16">
      <c r="N789" s="220"/>
      <c r="P789"/>
    </row>
    <row r="790" spans="14:16">
      <c r="N790" s="220"/>
      <c r="P790"/>
    </row>
    <row r="791" spans="14:16">
      <c r="N791" s="220"/>
      <c r="P791"/>
    </row>
    <row r="792" spans="14:16">
      <c r="N792" s="220"/>
      <c r="P792"/>
    </row>
    <row r="793" spans="14:16">
      <c r="N793" s="220"/>
      <c r="P793"/>
    </row>
    <row r="794" spans="14:16">
      <c r="N794" s="220"/>
      <c r="P794"/>
    </row>
    <row r="795" spans="14:16">
      <c r="N795" s="220"/>
      <c r="P795"/>
    </row>
    <row r="796" spans="14:16">
      <c r="N796" s="220"/>
      <c r="P796"/>
    </row>
    <row r="797" spans="14:16">
      <c r="N797" s="220"/>
      <c r="P797"/>
    </row>
    <row r="798" spans="14:16">
      <c r="N798" s="220"/>
      <c r="P798"/>
    </row>
    <row r="799" spans="14:16">
      <c r="N799" s="220"/>
      <c r="P799"/>
    </row>
    <row r="800" spans="14:16">
      <c r="N800" s="220"/>
      <c r="P800"/>
    </row>
    <row r="801" spans="14:16">
      <c r="N801" s="220"/>
      <c r="P801"/>
    </row>
    <row r="802" spans="14:16">
      <c r="N802" s="220"/>
      <c r="P802"/>
    </row>
    <row r="803" spans="14:16">
      <c r="N803" s="220"/>
      <c r="P803"/>
    </row>
    <row r="804" spans="14:16">
      <c r="N804" s="220"/>
      <c r="P804"/>
    </row>
    <row r="805" spans="14:16">
      <c r="N805" s="220"/>
      <c r="P805"/>
    </row>
    <row r="806" spans="14:16">
      <c r="N806" s="220"/>
      <c r="P806"/>
    </row>
    <row r="807" spans="14:16">
      <c r="N807" s="220"/>
      <c r="P807"/>
    </row>
    <row r="808" spans="14:16">
      <c r="N808" s="220"/>
      <c r="P808"/>
    </row>
    <row r="809" spans="14:16">
      <c r="N809" s="220"/>
      <c r="P809"/>
    </row>
    <row r="810" spans="14:16">
      <c r="N810" s="220"/>
      <c r="P810"/>
    </row>
    <row r="811" spans="14:16">
      <c r="N811" s="220"/>
      <c r="P811"/>
    </row>
    <row r="812" spans="14:16">
      <c r="N812" s="220"/>
      <c r="P812"/>
    </row>
    <row r="813" spans="14:16">
      <c r="N813" s="220"/>
      <c r="P813"/>
    </row>
    <row r="814" spans="14:16">
      <c r="N814" s="220"/>
      <c r="P814"/>
    </row>
    <row r="815" spans="14:16">
      <c r="N815" s="220"/>
      <c r="P815"/>
    </row>
    <row r="816" spans="14:16">
      <c r="N816" s="220"/>
      <c r="P816"/>
    </row>
    <row r="817" spans="14:16">
      <c r="N817" s="220"/>
      <c r="P817"/>
    </row>
    <row r="818" spans="14:16">
      <c r="N818" s="220"/>
      <c r="P818"/>
    </row>
    <row r="819" spans="14:16">
      <c r="N819" s="220"/>
      <c r="P819"/>
    </row>
    <row r="820" spans="14:16">
      <c r="N820" s="220"/>
      <c r="P820"/>
    </row>
    <row r="821" spans="14:16">
      <c r="N821" s="220"/>
      <c r="P821"/>
    </row>
    <row r="822" spans="14:16">
      <c r="N822" s="220"/>
      <c r="P822"/>
    </row>
    <row r="823" spans="14:16">
      <c r="N823" s="220"/>
      <c r="P823"/>
    </row>
    <row r="824" spans="14:16">
      <c r="N824" s="220"/>
      <c r="P824"/>
    </row>
    <row r="825" spans="14:16">
      <c r="N825" s="220"/>
      <c r="P825"/>
    </row>
    <row r="826" spans="14:16">
      <c r="N826" s="220"/>
      <c r="P826"/>
    </row>
    <row r="827" spans="14:16">
      <c r="N827" s="220"/>
      <c r="P827"/>
    </row>
    <row r="828" spans="14:16">
      <c r="N828" s="220"/>
      <c r="P828"/>
    </row>
    <row r="829" spans="14:16">
      <c r="N829" s="220"/>
      <c r="P829"/>
    </row>
    <row r="830" spans="14:16">
      <c r="N830" s="220"/>
      <c r="P830"/>
    </row>
    <row r="831" spans="14:16">
      <c r="N831" s="220"/>
      <c r="P831"/>
    </row>
    <row r="832" spans="14:16">
      <c r="N832" s="220"/>
      <c r="P832"/>
    </row>
    <row r="833" spans="14:16">
      <c r="N833" s="220"/>
      <c r="P833"/>
    </row>
    <row r="834" spans="14:16">
      <c r="N834" s="220"/>
      <c r="P834"/>
    </row>
    <row r="835" spans="14:16">
      <c r="N835" s="220"/>
      <c r="P835"/>
    </row>
    <row r="836" spans="14:16">
      <c r="N836" s="220"/>
      <c r="P836"/>
    </row>
    <row r="837" spans="14:16">
      <c r="N837" s="220"/>
      <c r="P837"/>
    </row>
    <row r="838" spans="14:16">
      <c r="N838" s="220"/>
      <c r="P838"/>
    </row>
    <row r="839" spans="14:16">
      <c r="N839" s="220"/>
      <c r="P839"/>
    </row>
    <row r="840" spans="14:16">
      <c r="N840" s="220"/>
      <c r="P840"/>
    </row>
    <row r="841" spans="14:16">
      <c r="N841" s="220"/>
      <c r="P841"/>
    </row>
    <row r="842" spans="14:16">
      <c r="N842" s="220"/>
      <c r="P842"/>
    </row>
    <row r="843" spans="14:16">
      <c r="N843" s="220"/>
      <c r="P843"/>
    </row>
    <row r="844" spans="14:16">
      <c r="N844" s="220"/>
      <c r="P844"/>
    </row>
    <row r="845" spans="14:16">
      <c r="N845" s="220"/>
      <c r="P845"/>
    </row>
    <row r="846" spans="14:16">
      <c r="N846" s="220"/>
      <c r="P846"/>
    </row>
    <row r="847" spans="14:16">
      <c r="N847" s="220"/>
      <c r="P847"/>
    </row>
    <row r="848" spans="14:16">
      <c r="N848" s="220"/>
      <c r="P848"/>
    </row>
    <row r="849" spans="14:16">
      <c r="N849" s="220"/>
      <c r="P849"/>
    </row>
    <row r="850" spans="14:16">
      <c r="N850" s="220"/>
      <c r="P850"/>
    </row>
    <row r="851" spans="14:16">
      <c r="N851" s="220"/>
      <c r="P851"/>
    </row>
    <row r="852" spans="14:16">
      <c r="N852" s="220"/>
      <c r="P852"/>
    </row>
    <row r="853" spans="14:16">
      <c r="N853" s="220"/>
      <c r="P853"/>
    </row>
    <row r="854" spans="14:16">
      <c r="N854" s="220"/>
      <c r="P854"/>
    </row>
    <row r="855" spans="14:16">
      <c r="N855" s="220"/>
      <c r="P855"/>
    </row>
    <row r="856" spans="14:16">
      <c r="N856" s="220"/>
      <c r="P856"/>
    </row>
    <row r="857" spans="14:16">
      <c r="N857" s="220"/>
      <c r="P857"/>
    </row>
    <row r="858" spans="14:16">
      <c r="N858" s="220"/>
      <c r="P858"/>
    </row>
    <row r="859" spans="14:16">
      <c r="N859" s="220"/>
      <c r="P859"/>
    </row>
    <row r="860" spans="14:16">
      <c r="N860" s="220"/>
      <c r="P860"/>
    </row>
    <row r="861" spans="14:16">
      <c r="N861" s="220"/>
      <c r="P861"/>
    </row>
    <row r="862" spans="14:16">
      <c r="N862" s="220"/>
      <c r="P862"/>
    </row>
    <row r="863" spans="14:16">
      <c r="N863" s="220"/>
      <c r="P863"/>
    </row>
    <row r="864" spans="14:16">
      <c r="N864" s="220"/>
      <c r="P864"/>
    </row>
    <row r="865" spans="14:16">
      <c r="N865" s="220"/>
      <c r="P865"/>
    </row>
    <row r="866" spans="14:16">
      <c r="N866" s="220"/>
      <c r="P866"/>
    </row>
    <row r="867" spans="14:16">
      <c r="N867" s="220"/>
      <c r="P867"/>
    </row>
    <row r="868" spans="14:16">
      <c r="N868" s="220"/>
      <c r="P868"/>
    </row>
    <row r="869" spans="14:16">
      <c r="N869" s="220"/>
      <c r="P869"/>
    </row>
    <row r="870" spans="14:16">
      <c r="N870" s="220"/>
      <c r="P870"/>
    </row>
    <row r="871" spans="14:16">
      <c r="N871" s="220"/>
      <c r="P871"/>
    </row>
    <row r="872" spans="14:16">
      <c r="N872" s="220"/>
      <c r="P872"/>
    </row>
    <row r="873" spans="14:16">
      <c r="N873" s="220"/>
      <c r="P873"/>
    </row>
    <row r="874" spans="14:16">
      <c r="N874" s="220"/>
      <c r="P874"/>
    </row>
    <row r="875" spans="14:16">
      <c r="N875" s="220"/>
      <c r="P875"/>
    </row>
    <row r="876" spans="14:16">
      <c r="N876" s="220"/>
      <c r="P876"/>
    </row>
    <row r="877" spans="14:16">
      <c r="N877" s="220"/>
      <c r="P877"/>
    </row>
    <row r="878" spans="14:16">
      <c r="N878" s="220"/>
      <c r="P878"/>
    </row>
    <row r="879" spans="14:16">
      <c r="N879" s="220"/>
      <c r="P879"/>
    </row>
    <row r="880" spans="14:16">
      <c r="N880" s="220"/>
      <c r="P880"/>
    </row>
    <row r="881" spans="14:16">
      <c r="N881" s="220"/>
      <c r="P881"/>
    </row>
    <row r="882" spans="14:16">
      <c r="N882" s="220"/>
      <c r="P882"/>
    </row>
    <row r="883" spans="14:16">
      <c r="N883" s="220"/>
      <c r="P883"/>
    </row>
    <row r="884" spans="14:16">
      <c r="N884" s="220"/>
      <c r="P884"/>
    </row>
    <row r="885" spans="14:16">
      <c r="N885" s="220"/>
      <c r="P885"/>
    </row>
    <row r="886" spans="14:16">
      <c r="N886" s="220"/>
      <c r="P886"/>
    </row>
    <row r="887" spans="14:16">
      <c r="N887" s="220"/>
      <c r="P887"/>
    </row>
    <row r="888" spans="14:16">
      <c r="N888" s="220"/>
      <c r="P888"/>
    </row>
    <row r="889" spans="14:16">
      <c r="N889" s="220"/>
      <c r="P889"/>
    </row>
    <row r="890" spans="14:16">
      <c r="N890" s="220"/>
      <c r="P890"/>
    </row>
    <row r="891" spans="14:16">
      <c r="N891" s="220"/>
      <c r="P891"/>
    </row>
    <row r="892" spans="14:16">
      <c r="N892" s="220"/>
      <c r="P892"/>
    </row>
    <row r="893" spans="14:16">
      <c r="N893" s="220"/>
      <c r="P893"/>
    </row>
    <row r="894" spans="14:16">
      <c r="N894" s="220"/>
      <c r="P894"/>
    </row>
    <row r="895" spans="14:16">
      <c r="N895" s="220"/>
      <c r="P895"/>
    </row>
    <row r="896" spans="14:16">
      <c r="N896" s="220"/>
      <c r="P896"/>
    </row>
    <row r="897" spans="14:16">
      <c r="N897" s="220"/>
      <c r="P897"/>
    </row>
    <row r="898" spans="14:16">
      <c r="N898" s="220"/>
      <c r="P898"/>
    </row>
    <row r="899" spans="14:16">
      <c r="N899" s="220"/>
      <c r="P899"/>
    </row>
    <row r="900" spans="14:16">
      <c r="N900" s="220"/>
      <c r="P900"/>
    </row>
    <row r="901" spans="14:16">
      <c r="N901" s="220"/>
      <c r="P901"/>
    </row>
    <row r="902" spans="14:16">
      <c r="N902" s="220"/>
      <c r="P902"/>
    </row>
    <row r="903" spans="14:16">
      <c r="N903" s="220"/>
      <c r="P903"/>
    </row>
    <row r="904" spans="14:16">
      <c r="N904" s="220"/>
      <c r="P904"/>
    </row>
    <row r="905" spans="14:16">
      <c r="N905" s="220"/>
      <c r="P905"/>
    </row>
    <row r="906" spans="14:16">
      <c r="N906" s="220"/>
      <c r="P906"/>
    </row>
    <row r="907" spans="14:16">
      <c r="N907" s="220"/>
      <c r="P907"/>
    </row>
    <row r="908" spans="14:16">
      <c r="N908" s="220"/>
      <c r="P908"/>
    </row>
    <row r="909" spans="14:16">
      <c r="N909" s="220"/>
      <c r="P909"/>
    </row>
    <row r="910" spans="14:16">
      <c r="N910" s="220"/>
      <c r="P910"/>
    </row>
    <row r="911" spans="14:16">
      <c r="N911" s="220"/>
      <c r="P911"/>
    </row>
    <row r="912" spans="14:16">
      <c r="N912" s="220"/>
      <c r="P912"/>
    </row>
    <row r="913" spans="14:16">
      <c r="N913" s="220"/>
      <c r="P913"/>
    </row>
    <row r="914" spans="14:16">
      <c r="N914" s="220"/>
      <c r="P914"/>
    </row>
    <row r="915" spans="14:16">
      <c r="N915" s="220"/>
      <c r="P915"/>
    </row>
    <row r="916" spans="14:16">
      <c r="N916" s="220"/>
      <c r="P916"/>
    </row>
    <row r="917" spans="14:16">
      <c r="N917" s="220"/>
      <c r="P917"/>
    </row>
    <row r="918" spans="14:16">
      <c r="N918" s="220"/>
      <c r="P918"/>
    </row>
    <row r="919" spans="14:16">
      <c r="N919" s="220"/>
      <c r="P919"/>
    </row>
    <row r="920" spans="14:16">
      <c r="N920" s="220"/>
      <c r="P920"/>
    </row>
    <row r="921" spans="14:16">
      <c r="N921" s="220"/>
      <c r="P921"/>
    </row>
    <row r="922" spans="14:16">
      <c r="N922" s="220"/>
      <c r="P922"/>
    </row>
    <row r="923" spans="14:16">
      <c r="N923" s="220"/>
      <c r="P923"/>
    </row>
    <row r="924" spans="14:16">
      <c r="N924" s="220"/>
      <c r="P924"/>
    </row>
    <row r="925" spans="14:16">
      <c r="N925" s="220"/>
      <c r="P925"/>
    </row>
    <row r="926" spans="14:16">
      <c r="N926" s="220"/>
      <c r="P926"/>
    </row>
    <row r="927" spans="14:16">
      <c r="N927" s="220"/>
      <c r="P927"/>
    </row>
    <row r="928" spans="14:16">
      <c r="N928" s="220"/>
      <c r="P928"/>
    </row>
    <row r="929" spans="14:16">
      <c r="N929" s="220"/>
      <c r="P929"/>
    </row>
    <row r="930" spans="14:16">
      <c r="N930" s="220"/>
      <c r="P930"/>
    </row>
    <row r="931" spans="14:16">
      <c r="N931" s="220"/>
      <c r="P931"/>
    </row>
    <row r="932" spans="14:16">
      <c r="N932" s="220"/>
      <c r="P932"/>
    </row>
    <row r="933" spans="14:16">
      <c r="N933" s="220"/>
      <c r="P933"/>
    </row>
    <row r="934" spans="14:16">
      <c r="N934" s="220"/>
      <c r="P934"/>
    </row>
    <row r="935" spans="14:16">
      <c r="N935" s="220"/>
      <c r="P935"/>
    </row>
    <row r="936" spans="14:16">
      <c r="N936" s="220"/>
      <c r="P936"/>
    </row>
    <row r="937" spans="14:16">
      <c r="N937" s="220"/>
      <c r="P937"/>
    </row>
    <row r="938" spans="14:16">
      <c r="N938" s="220"/>
      <c r="P938"/>
    </row>
    <row r="939" spans="14:16">
      <c r="N939" s="220"/>
      <c r="P939"/>
    </row>
    <row r="940" spans="14:16">
      <c r="N940" s="220"/>
      <c r="P940"/>
    </row>
    <row r="941" spans="14:16">
      <c r="N941" s="220"/>
      <c r="P941"/>
    </row>
    <row r="942" spans="14:16">
      <c r="N942" s="220"/>
      <c r="P942"/>
    </row>
    <row r="943" spans="14:16">
      <c r="N943" s="220"/>
      <c r="P943"/>
    </row>
    <row r="944" spans="14:16">
      <c r="N944" s="220"/>
      <c r="P944"/>
    </row>
    <row r="945" spans="14:16">
      <c r="N945" s="220"/>
      <c r="P945"/>
    </row>
    <row r="946" spans="14:16">
      <c r="N946" s="220"/>
      <c r="P946"/>
    </row>
    <row r="947" spans="14:16">
      <c r="N947" s="220"/>
      <c r="P947"/>
    </row>
    <row r="948" spans="14:16">
      <c r="N948" s="220"/>
      <c r="P948"/>
    </row>
    <row r="949" spans="14:16">
      <c r="N949" s="220"/>
      <c r="P949"/>
    </row>
    <row r="950" spans="14:16">
      <c r="N950" s="220"/>
      <c r="P950"/>
    </row>
    <row r="951" spans="14:16">
      <c r="N951" s="220"/>
      <c r="P951"/>
    </row>
    <row r="952" spans="14:16">
      <c r="N952" s="220"/>
      <c r="P952"/>
    </row>
    <row r="953" spans="14:16">
      <c r="N953" s="220"/>
      <c r="P953"/>
    </row>
    <row r="954" spans="14:16">
      <c r="N954" s="220"/>
      <c r="P954"/>
    </row>
    <row r="955" spans="14:16">
      <c r="N955" s="220"/>
      <c r="P955"/>
    </row>
    <row r="956" spans="14:16">
      <c r="N956" s="220"/>
      <c r="P956"/>
    </row>
    <row r="957" spans="14:16">
      <c r="N957" s="220"/>
      <c r="P957"/>
    </row>
    <row r="958" spans="14:16">
      <c r="N958" s="220"/>
      <c r="P958"/>
    </row>
    <row r="959" spans="14:16">
      <c r="N959" s="220"/>
      <c r="P959"/>
    </row>
    <row r="960" spans="14:16">
      <c r="N960" s="220"/>
      <c r="P960"/>
    </row>
    <row r="961" spans="14:16">
      <c r="N961" s="220"/>
      <c r="P961"/>
    </row>
    <row r="962" spans="14:16">
      <c r="N962" s="220"/>
      <c r="P962"/>
    </row>
    <row r="963" spans="14:16">
      <c r="N963" s="220"/>
      <c r="P963"/>
    </row>
    <row r="964" spans="14:16">
      <c r="N964" s="220"/>
      <c r="P964"/>
    </row>
    <row r="965" spans="14:16">
      <c r="N965" s="220"/>
      <c r="P965"/>
    </row>
    <row r="966" spans="14:16">
      <c r="N966" s="220"/>
      <c r="P966"/>
    </row>
    <row r="967" spans="14:16">
      <c r="N967" s="220"/>
      <c r="P967"/>
    </row>
    <row r="968" spans="14:16">
      <c r="N968" s="220"/>
      <c r="P968"/>
    </row>
    <row r="969" spans="14:16">
      <c r="N969" s="220"/>
      <c r="P969"/>
    </row>
    <row r="970" spans="14:16">
      <c r="N970" s="220"/>
      <c r="P970"/>
    </row>
    <row r="971" spans="14:16">
      <c r="N971" s="220"/>
      <c r="P971"/>
    </row>
    <row r="972" spans="14:16">
      <c r="N972" s="220"/>
      <c r="P972"/>
    </row>
    <row r="973" spans="14:16">
      <c r="N973" s="220"/>
      <c r="P973"/>
    </row>
    <row r="974" spans="14:16">
      <c r="N974" s="220"/>
      <c r="P974"/>
    </row>
    <row r="975" spans="14:16">
      <c r="N975" s="220"/>
      <c r="P975"/>
    </row>
    <row r="976" spans="14:16">
      <c r="N976" s="220"/>
      <c r="P976"/>
    </row>
    <row r="977" spans="14:16">
      <c r="N977" s="220"/>
      <c r="P977"/>
    </row>
    <row r="978" spans="14:16">
      <c r="N978" s="220"/>
      <c r="P978"/>
    </row>
    <row r="979" spans="14:16">
      <c r="N979" s="220"/>
      <c r="P979"/>
    </row>
    <row r="980" spans="14:16">
      <c r="N980" s="220"/>
      <c r="P980"/>
    </row>
    <row r="981" spans="14:16">
      <c r="N981" s="220"/>
      <c r="P981"/>
    </row>
    <row r="982" spans="14:16">
      <c r="N982" s="220"/>
      <c r="P982"/>
    </row>
    <row r="983" spans="14:16">
      <c r="N983" s="220"/>
      <c r="P983"/>
    </row>
    <row r="984" spans="14:16">
      <c r="N984" s="220"/>
      <c r="P984"/>
    </row>
    <row r="985" spans="14:16">
      <c r="N985" s="220"/>
      <c r="P985"/>
    </row>
    <row r="986" spans="14:16">
      <c r="N986" s="220"/>
      <c r="P986"/>
    </row>
    <row r="987" spans="14:16">
      <c r="N987" s="220"/>
      <c r="P987"/>
    </row>
    <row r="988" spans="14:16">
      <c r="N988" s="220"/>
      <c r="P988"/>
    </row>
    <row r="989" spans="14:16">
      <c r="N989" s="220"/>
      <c r="P989"/>
    </row>
    <row r="990" spans="14:16">
      <c r="N990" s="220"/>
      <c r="P990"/>
    </row>
    <row r="991" spans="14:16">
      <c r="N991" s="220"/>
      <c r="P991"/>
    </row>
    <row r="992" spans="14:16">
      <c r="N992" s="220"/>
      <c r="P992"/>
    </row>
    <row r="993" spans="14:16">
      <c r="N993" s="220"/>
      <c r="P993"/>
    </row>
    <row r="994" spans="14:16">
      <c r="N994" s="220"/>
      <c r="P994"/>
    </row>
    <row r="995" spans="14:16">
      <c r="N995" s="220"/>
      <c r="P995"/>
    </row>
    <row r="996" spans="14:16">
      <c r="N996" s="220"/>
      <c r="P996"/>
    </row>
    <row r="997" spans="14:16">
      <c r="N997" s="220"/>
      <c r="P997"/>
    </row>
    <row r="998" spans="14:16">
      <c r="N998" s="220"/>
      <c r="P998"/>
    </row>
    <row r="999" spans="14:16">
      <c r="N999" s="220"/>
      <c r="P999"/>
    </row>
    <row r="1000" spans="14:16">
      <c r="N1000" s="220"/>
      <c r="P1000"/>
    </row>
    <row r="1001" spans="14:16">
      <c r="N1001" s="220"/>
      <c r="P1001"/>
    </row>
    <row r="1002" spans="14:16">
      <c r="N1002" s="220"/>
      <c r="P1002"/>
    </row>
    <row r="1003" spans="14:16">
      <c r="N1003" s="220"/>
      <c r="P1003"/>
    </row>
    <row r="1004" spans="14:16">
      <c r="N1004" s="220"/>
      <c r="P1004"/>
    </row>
    <row r="1005" spans="14:16">
      <c r="N1005" s="220"/>
      <c r="P1005"/>
    </row>
    <row r="1006" spans="14:16">
      <c r="N1006" s="220"/>
      <c r="P1006"/>
    </row>
    <row r="1007" spans="14:16">
      <c r="N1007" s="220"/>
      <c r="P1007"/>
    </row>
    <row r="1008" spans="14:16">
      <c r="N1008" s="220"/>
      <c r="P1008"/>
    </row>
    <row r="1009" spans="14:16">
      <c r="N1009" s="220"/>
      <c r="P1009"/>
    </row>
    <row r="1010" spans="14:16">
      <c r="N1010" s="220"/>
      <c r="P1010"/>
    </row>
    <row r="1011" spans="14:16">
      <c r="N1011" s="220"/>
      <c r="P1011"/>
    </row>
    <row r="1012" spans="14:16">
      <c r="N1012" s="220"/>
      <c r="P1012"/>
    </row>
    <row r="1013" spans="14:16">
      <c r="N1013" s="220"/>
      <c r="P1013"/>
    </row>
    <row r="1014" spans="14:16">
      <c r="N1014" s="220"/>
      <c r="P1014"/>
    </row>
    <row r="1015" spans="14:16">
      <c r="N1015" s="220"/>
      <c r="P1015"/>
    </row>
    <row r="1016" spans="14:16">
      <c r="N1016" s="220"/>
      <c r="P1016"/>
    </row>
    <row r="1017" spans="14:16">
      <c r="N1017" s="220"/>
      <c r="P1017"/>
    </row>
    <row r="1018" spans="14:16">
      <c r="N1018" s="220"/>
      <c r="P1018"/>
    </row>
    <row r="1019" spans="14:16">
      <c r="N1019" s="220"/>
      <c r="P1019"/>
    </row>
    <row r="1020" spans="14:16">
      <c r="N1020" s="220"/>
      <c r="P1020"/>
    </row>
    <row r="1021" spans="14:16">
      <c r="N1021" s="220"/>
      <c r="P1021"/>
    </row>
    <row r="1022" spans="14:16">
      <c r="N1022" s="220"/>
      <c r="P1022"/>
    </row>
    <row r="1023" spans="14:16">
      <c r="N1023" s="220"/>
      <c r="P1023"/>
    </row>
    <row r="1024" spans="14:16">
      <c r="N1024" s="220"/>
      <c r="P1024"/>
    </row>
    <row r="1025" spans="14:16">
      <c r="N1025" s="220"/>
      <c r="P1025"/>
    </row>
    <row r="1026" spans="14:16">
      <c r="N1026" s="220"/>
      <c r="P1026"/>
    </row>
    <row r="1027" spans="14:16">
      <c r="N1027" s="220"/>
      <c r="P1027"/>
    </row>
    <row r="1028" spans="14:16">
      <c r="N1028" s="220"/>
      <c r="P1028"/>
    </row>
    <row r="1029" spans="14:16">
      <c r="N1029" s="220"/>
      <c r="P1029"/>
    </row>
    <row r="1030" spans="14:16">
      <c r="N1030" s="220"/>
      <c r="P1030"/>
    </row>
    <row r="1031" spans="14:16">
      <c r="N1031" s="220"/>
      <c r="P1031"/>
    </row>
    <row r="1032" spans="14:16">
      <c r="N1032" s="220"/>
      <c r="P1032"/>
    </row>
    <row r="1033" spans="14:16">
      <c r="N1033" s="220"/>
      <c r="P1033"/>
    </row>
    <row r="1034" spans="14:16">
      <c r="N1034" s="220"/>
      <c r="P1034"/>
    </row>
    <row r="1035" spans="14:16">
      <c r="N1035" s="220"/>
      <c r="P1035"/>
    </row>
    <row r="1036" spans="14:16">
      <c r="N1036" s="220"/>
      <c r="P1036"/>
    </row>
    <row r="1037" spans="14:16">
      <c r="N1037" s="220"/>
      <c r="P1037"/>
    </row>
    <row r="1038" spans="14:16">
      <c r="N1038" s="220"/>
      <c r="P1038"/>
    </row>
    <row r="1039" spans="14:16">
      <c r="N1039" s="220"/>
      <c r="P1039"/>
    </row>
    <row r="1040" spans="14:16">
      <c r="N1040" s="220"/>
      <c r="P1040"/>
    </row>
    <row r="1041" spans="14:16">
      <c r="N1041" s="220"/>
      <c r="P1041"/>
    </row>
    <row r="1042" spans="14:16">
      <c r="N1042" s="220"/>
      <c r="P1042"/>
    </row>
    <row r="1043" spans="14:16">
      <c r="N1043" s="220"/>
      <c r="P1043"/>
    </row>
    <row r="1044" spans="14:16">
      <c r="N1044" s="220"/>
      <c r="P1044"/>
    </row>
    <row r="1045" spans="14:16">
      <c r="N1045" s="220"/>
      <c r="P1045"/>
    </row>
    <row r="1046" spans="14:16">
      <c r="N1046" s="220"/>
      <c r="P1046"/>
    </row>
    <row r="1047" spans="14:16">
      <c r="N1047" s="220"/>
      <c r="P1047"/>
    </row>
    <row r="1048" spans="14:16">
      <c r="N1048" s="220"/>
      <c r="P1048"/>
    </row>
    <row r="1049" spans="14:16">
      <c r="N1049" s="220"/>
      <c r="P1049"/>
    </row>
    <row r="1050" spans="14:16">
      <c r="N1050" s="220"/>
      <c r="P1050"/>
    </row>
    <row r="1051" spans="14:16">
      <c r="N1051" s="220"/>
      <c r="P1051"/>
    </row>
    <row r="1052" spans="14:16">
      <c r="N1052" s="220"/>
      <c r="P1052"/>
    </row>
    <row r="1053" spans="14:16">
      <c r="N1053" s="220"/>
      <c r="P1053"/>
    </row>
    <row r="1054" spans="14:16">
      <c r="N1054" s="220"/>
      <c r="P1054"/>
    </row>
    <row r="1055" spans="14:16">
      <c r="N1055" s="220"/>
      <c r="P1055"/>
    </row>
    <row r="1056" spans="14:16">
      <c r="N1056" s="220"/>
      <c r="P1056"/>
    </row>
    <row r="1057" spans="14:16">
      <c r="N1057" s="220"/>
      <c r="P1057"/>
    </row>
    <row r="1058" spans="14:16">
      <c r="N1058" s="220"/>
      <c r="P1058"/>
    </row>
    <row r="1059" spans="14:16">
      <c r="N1059" s="220"/>
      <c r="P1059"/>
    </row>
    <row r="1060" spans="14:16">
      <c r="N1060" s="220"/>
      <c r="P1060"/>
    </row>
    <row r="1061" spans="14:16">
      <c r="N1061" s="220"/>
      <c r="P1061"/>
    </row>
    <row r="1062" spans="14:16">
      <c r="N1062" s="220"/>
      <c r="P1062"/>
    </row>
    <row r="1063" spans="14:16">
      <c r="N1063" s="220"/>
      <c r="P1063"/>
    </row>
    <row r="1064" spans="14:16">
      <c r="N1064" s="220"/>
      <c r="P1064"/>
    </row>
    <row r="1065" spans="14:16">
      <c r="N1065" s="220"/>
      <c r="P1065"/>
    </row>
    <row r="1066" spans="14:16">
      <c r="N1066" s="220"/>
      <c r="P1066"/>
    </row>
    <row r="1067" spans="14:16">
      <c r="N1067" s="220"/>
      <c r="P1067"/>
    </row>
    <row r="1068" spans="14:16">
      <c r="N1068" s="220"/>
      <c r="P1068"/>
    </row>
    <row r="1069" spans="14:16">
      <c r="N1069" s="220"/>
      <c r="P1069"/>
    </row>
    <row r="1070" spans="14:16">
      <c r="N1070" s="220"/>
      <c r="P1070"/>
    </row>
    <row r="1071" spans="14:16">
      <c r="N1071" s="220"/>
      <c r="P1071"/>
    </row>
    <row r="1072" spans="14:16">
      <c r="N1072" s="220"/>
      <c r="P1072"/>
    </row>
    <row r="1073" spans="14:16">
      <c r="N1073" s="220"/>
      <c r="P1073"/>
    </row>
    <row r="1074" spans="14:16">
      <c r="N1074" s="220"/>
      <c r="P1074"/>
    </row>
    <row r="1075" spans="14:16">
      <c r="N1075" s="220"/>
      <c r="P1075"/>
    </row>
    <row r="1076" spans="14:16">
      <c r="N1076" s="220"/>
      <c r="P1076"/>
    </row>
    <row r="1077" spans="14:16">
      <c r="N1077" s="220"/>
      <c r="P1077"/>
    </row>
    <row r="1078" spans="14:16">
      <c r="N1078" s="220"/>
      <c r="P1078"/>
    </row>
    <row r="1079" spans="14:16">
      <c r="N1079" s="220"/>
      <c r="P1079"/>
    </row>
    <row r="1080" spans="14:16">
      <c r="N1080" s="220"/>
      <c r="P1080"/>
    </row>
    <row r="1081" spans="14:16">
      <c r="N1081" s="220"/>
      <c r="P1081"/>
    </row>
    <row r="1082" spans="14:16">
      <c r="N1082" s="220"/>
      <c r="P1082"/>
    </row>
    <row r="1083" spans="14:16">
      <c r="N1083" s="220"/>
      <c r="P1083"/>
    </row>
    <row r="1084" spans="14:16">
      <c r="N1084" s="220"/>
      <c r="P1084"/>
    </row>
    <row r="1085" spans="14:16">
      <c r="N1085" s="220"/>
      <c r="P1085"/>
    </row>
    <row r="1086" spans="14:16">
      <c r="N1086" s="220"/>
      <c r="P1086"/>
    </row>
    <row r="1087" spans="14:16">
      <c r="N1087" s="220"/>
      <c r="P1087"/>
    </row>
    <row r="1088" spans="14:16">
      <c r="N1088" s="220"/>
      <c r="P1088"/>
    </row>
    <row r="1089" spans="14:16">
      <c r="N1089" s="220"/>
      <c r="P1089"/>
    </row>
    <row r="1090" spans="14:16">
      <c r="N1090" s="220"/>
      <c r="P1090"/>
    </row>
    <row r="1091" spans="14:16">
      <c r="N1091" s="220"/>
      <c r="P1091"/>
    </row>
    <row r="1092" spans="14:16">
      <c r="N1092" s="220"/>
      <c r="P1092"/>
    </row>
    <row r="1093" spans="14:16">
      <c r="N1093" s="220"/>
      <c r="P1093"/>
    </row>
    <row r="1094" spans="14:16">
      <c r="N1094" s="220"/>
      <c r="P1094"/>
    </row>
    <row r="1095" spans="14:16">
      <c r="N1095" s="220"/>
      <c r="P1095"/>
    </row>
    <row r="1096" spans="14:16">
      <c r="N1096" s="220"/>
      <c r="P1096"/>
    </row>
    <row r="1097" spans="14:16">
      <c r="N1097" s="220"/>
      <c r="P1097"/>
    </row>
    <row r="1098" spans="14:16">
      <c r="N1098" s="220"/>
      <c r="P1098"/>
    </row>
    <row r="1099" spans="14:16">
      <c r="N1099" s="220"/>
      <c r="P1099"/>
    </row>
    <row r="1100" spans="14:16">
      <c r="N1100" s="220"/>
      <c r="P1100"/>
    </row>
    <row r="1101" spans="14:16">
      <c r="N1101" s="220"/>
      <c r="P1101"/>
    </row>
    <row r="1102" spans="14:16">
      <c r="N1102" s="220"/>
      <c r="P1102"/>
    </row>
    <row r="1103" spans="14:16">
      <c r="N1103" s="220"/>
      <c r="P1103"/>
    </row>
    <row r="1104" spans="14:16">
      <c r="N1104" s="220"/>
      <c r="P1104"/>
    </row>
    <row r="1105" spans="14:16">
      <c r="N1105" s="220"/>
      <c r="P1105"/>
    </row>
    <row r="1106" spans="14:16">
      <c r="N1106" s="220"/>
      <c r="P1106"/>
    </row>
    <row r="1107" spans="14:16">
      <c r="N1107" s="220"/>
      <c r="P1107"/>
    </row>
    <row r="1108" spans="14:16">
      <c r="N1108" s="220"/>
      <c r="P1108"/>
    </row>
    <row r="1109" spans="14:16">
      <c r="N1109" s="220"/>
      <c r="P1109"/>
    </row>
    <row r="1110" spans="14:16">
      <c r="N1110" s="220"/>
      <c r="P1110"/>
    </row>
    <row r="1111" spans="14:16">
      <c r="N1111" s="220"/>
      <c r="P1111"/>
    </row>
    <row r="1112" spans="14:16">
      <c r="N1112" s="220"/>
      <c r="P1112"/>
    </row>
    <row r="1113" spans="14:16">
      <c r="N1113" s="220"/>
      <c r="P1113"/>
    </row>
    <row r="1114" spans="14:16">
      <c r="N1114" s="220"/>
      <c r="P1114"/>
    </row>
    <row r="1115" spans="14:16">
      <c r="N1115" s="220"/>
      <c r="P1115"/>
    </row>
    <row r="1116" spans="14:16">
      <c r="N1116" s="220"/>
      <c r="P1116"/>
    </row>
    <row r="1117" spans="14:16">
      <c r="N1117" s="220"/>
      <c r="P1117"/>
    </row>
    <row r="1118" spans="14:16">
      <c r="N1118" s="220"/>
      <c r="P1118"/>
    </row>
    <row r="1119" spans="14:16">
      <c r="N1119" s="220"/>
      <c r="P1119"/>
    </row>
    <row r="1120" spans="14:16">
      <c r="N1120" s="220"/>
      <c r="P1120"/>
    </row>
    <row r="1121" spans="14:16">
      <c r="N1121" s="220"/>
      <c r="P1121"/>
    </row>
    <row r="1122" spans="14:16">
      <c r="N1122" s="220"/>
      <c r="P1122"/>
    </row>
    <row r="1123" spans="14:16">
      <c r="N1123" s="220"/>
      <c r="P1123"/>
    </row>
    <row r="1124" spans="14:16">
      <c r="N1124" s="220"/>
      <c r="P1124"/>
    </row>
    <row r="1125" spans="14:16">
      <c r="N1125" s="220"/>
      <c r="P1125"/>
    </row>
    <row r="1126" spans="14:16">
      <c r="N1126" s="220"/>
      <c r="P1126"/>
    </row>
    <row r="1127" spans="14:16">
      <c r="N1127" s="220"/>
      <c r="P1127"/>
    </row>
    <row r="1128" spans="14:16">
      <c r="N1128" s="220"/>
      <c r="P1128"/>
    </row>
    <row r="1129" spans="14:16">
      <c r="N1129" s="220"/>
      <c r="P1129"/>
    </row>
    <row r="1130" spans="14:16">
      <c r="N1130" s="220"/>
      <c r="P1130"/>
    </row>
    <row r="1131" spans="14:16">
      <c r="N1131" s="220"/>
      <c r="P1131"/>
    </row>
    <row r="1132" spans="14:16">
      <c r="N1132" s="220"/>
      <c r="P1132"/>
    </row>
    <row r="1133" spans="14:16">
      <c r="N1133" s="220"/>
      <c r="P1133"/>
    </row>
    <row r="1134" spans="14:16">
      <c r="N1134" s="220"/>
      <c r="P1134"/>
    </row>
    <row r="1135" spans="14:16">
      <c r="N1135" s="220"/>
      <c r="P1135"/>
    </row>
    <row r="1136" spans="14:16">
      <c r="N1136" s="220"/>
      <c r="P1136"/>
    </row>
    <row r="1137" spans="14:16">
      <c r="N1137" s="220"/>
      <c r="P1137"/>
    </row>
    <row r="1138" spans="14:16">
      <c r="N1138" s="220"/>
      <c r="P1138"/>
    </row>
    <row r="1139" spans="14:16">
      <c r="N1139" s="220"/>
      <c r="P1139"/>
    </row>
    <row r="1140" spans="14:16">
      <c r="N1140" s="220"/>
      <c r="P1140"/>
    </row>
    <row r="1141" spans="14:16">
      <c r="N1141" s="220"/>
      <c r="P1141"/>
    </row>
    <row r="1142" spans="14:16">
      <c r="N1142" s="220"/>
      <c r="P1142"/>
    </row>
    <row r="1143" spans="14:16">
      <c r="N1143" s="220"/>
      <c r="P1143"/>
    </row>
    <row r="1144" spans="14:16">
      <c r="N1144" s="220"/>
      <c r="P1144"/>
    </row>
    <row r="1145" spans="14:16">
      <c r="N1145" s="220"/>
      <c r="P1145"/>
    </row>
    <row r="1146" spans="14:16">
      <c r="N1146" s="220"/>
      <c r="P1146"/>
    </row>
    <row r="1147" spans="14:16">
      <c r="N1147" s="220"/>
      <c r="P1147"/>
    </row>
    <row r="1148" spans="14:16">
      <c r="N1148" s="220"/>
      <c r="P1148"/>
    </row>
    <row r="1149" spans="14:16">
      <c r="N1149" s="220"/>
      <c r="P1149"/>
    </row>
    <row r="1150" spans="14:16">
      <c r="N1150" s="220"/>
      <c r="P1150"/>
    </row>
    <row r="1151" spans="14:16">
      <c r="N1151" s="220"/>
      <c r="P1151"/>
    </row>
    <row r="1152" spans="14:16">
      <c r="N1152" s="220"/>
      <c r="P1152"/>
    </row>
    <row r="1153" spans="14:16">
      <c r="N1153" s="220"/>
      <c r="P1153"/>
    </row>
    <row r="1154" spans="14:16">
      <c r="N1154" s="220"/>
      <c r="P1154"/>
    </row>
    <row r="1155" spans="14:16">
      <c r="N1155" s="220"/>
      <c r="P1155"/>
    </row>
    <row r="1156" spans="14:16">
      <c r="N1156" s="220"/>
      <c r="P1156"/>
    </row>
    <row r="1157" spans="14:16">
      <c r="N1157" s="220"/>
      <c r="P1157"/>
    </row>
    <row r="1158" spans="14:16">
      <c r="N1158" s="220"/>
      <c r="P1158"/>
    </row>
    <row r="1159" spans="14:16">
      <c r="N1159" s="220"/>
      <c r="P1159"/>
    </row>
    <row r="1160" spans="14:16">
      <c r="N1160" s="220"/>
      <c r="P1160"/>
    </row>
    <row r="1161" spans="14:16">
      <c r="N1161" s="220"/>
      <c r="P1161"/>
    </row>
    <row r="1162" spans="14:16">
      <c r="N1162" s="220"/>
      <c r="P1162"/>
    </row>
    <row r="1163" spans="14:16">
      <c r="N1163" s="220"/>
      <c r="P1163"/>
    </row>
    <row r="1164" spans="14:16">
      <c r="N1164" s="220"/>
      <c r="P1164"/>
    </row>
    <row r="1165" spans="14:16">
      <c r="N1165" s="220"/>
      <c r="P1165"/>
    </row>
    <row r="1166" spans="14:16">
      <c r="N1166" s="220"/>
      <c r="P1166"/>
    </row>
    <row r="1167" spans="14:16">
      <c r="N1167" s="220"/>
      <c r="P1167"/>
    </row>
    <row r="1168" spans="14:16">
      <c r="N1168" s="220"/>
      <c r="P1168"/>
    </row>
    <row r="1169" spans="14:16">
      <c r="N1169" s="220"/>
      <c r="P1169"/>
    </row>
    <row r="1170" spans="14:16">
      <c r="N1170" s="220"/>
      <c r="P1170"/>
    </row>
    <row r="1171" spans="14:16">
      <c r="N1171" s="220"/>
      <c r="P1171"/>
    </row>
    <row r="1172" spans="14:16">
      <c r="N1172" s="220"/>
      <c r="P1172"/>
    </row>
  </sheetData>
  <sheetProtection algorithmName="SHA-512" hashValue="oBr3r++tewZWFTe3ICH7QEpFhI3kPOhIHjbbX8TtfGuhVuIY0OUWwdtVCB5gd0SxdrkmT4N1z4bR7Qr4QYwBYQ==" saltValue="V47lIquJuF+F/OoL8qaK6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はじめに</vt:lpstr>
      <vt:lpstr>計画書①（事業所概要・目標）</vt:lpstr>
      <vt:lpstr>計画書② (取組）</vt:lpstr>
      <vt:lpstr>計画書③（任意記載）</vt:lpstr>
      <vt:lpstr>事業所排出量内訳 (基準年度)</vt:lpstr>
      <vt:lpstr>計画書提出書</vt:lpstr>
      <vt:lpstr>計画書（公表用）</vt:lpstr>
      <vt:lpstr>報告書①（事業所概要・実績）</vt:lpstr>
      <vt:lpstr>報告書② 第1年度(取組）</vt:lpstr>
      <vt:lpstr>報告書② 第2年度(取組）</vt:lpstr>
      <vt:lpstr>報告書② 第3年度(取組）</vt:lpstr>
      <vt:lpstr>報告書③（任意記載）</vt:lpstr>
      <vt:lpstr>事業所排出量内訳（第1年度)</vt:lpstr>
      <vt:lpstr>事業所排出量内訳（第2年度)</vt:lpstr>
      <vt:lpstr>事業所排出量内訳（第3年度)</vt:lpstr>
      <vt:lpstr>報告書提出書</vt:lpstr>
      <vt:lpstr>報告書（公表用）</vt:lpstr>
      <vt:lpstr>委任状</vt:lpstr>
      <vt:lpstr>評価点まとめ</vt:lpstr>
      <vt:lpstr>はじめに!Print_Area</vt:lpstr>
      <vt:lpstr>係数!Print_Area</vt:lpstr>
      <vt:lpstr>'計画書（公表用）'!Print_Area</vt:lpstr>
      <vt:lpstr>'計画書①（事業所概要・目標）'!Print_Area</vt:lpstr>
      <vt:lpstr>'計画書② (取組）'!Print_Area</vt:lpstr>
      <vt:lpstr>計画書提出書!Print_Area</vt:lpstr>
      <vt:lpstr>'事業所排出量内訳 (基準年度)'!Print_Area</vt:lpstr>
      <vt:lpstr>'事業所排出量内訳（第1年度)'!Print_Area</vt:lpstr>
      <vt:lpstr>'事業所排出量内訳（第2年度)'!Print_Area</vt:lpstr>
      <vt:lpstr>'事業所排出量内訳（第3年度)'!Print_Area</vt:lpstr>
      <vt:lpstr>'報告書（公表用）'!Print_Area</vt:lpstr>
      <vt:lpstr>'報告書①（事業所概要・実績）'!Print_Area</vt:lpstr>
      <vt:lpstr>'報告書② 第1年度(取組）'!Print_Area</vt:lpstr>
      <vt:lpstr>'報告書② 第2年度(取組）'!Print_Area</vt:lpstr>
      <vt:lpstr>'報告書② 第3年度(取組）'!Print_Area</vt:lpstr>
      <vt:lpstr>'報告書③（任意記載）'!Print_Area</vt:lpstr>
      <vt:lpstr>報告書提出書!Print_Area</vt:lpstr>
      <vt:lpstr>その他対策</vt:lpstr>
      <vt:lpstr>基本対策</vt:lpstr>
      <vt:lpstr>係数2022</vt:lpstr>
      <vt:lpstr>係数2023</vt:lpstr>
      <vt:lpstr>細分類</vt:lpstr>
      <vt:lpstr>小分類</vt:lpstr>
      <vt:lpstr>選択対策</vt:lpstr>
      <vt:lpstr>中分類</vt:lpstr>
      <vt:lpstr>転記データアドレス</vt:lpstr>
      <vt:lpstr>入力欄_はじめに</vt:lpstr>
      <vt:lpstr>入力欄_基準年度_排出量内訳</vt:lpstr>
      <vt:lpstr>入力欄_計画書①</vt:lpstr>
      <vt:lpstr>入力欄_計画書②</vt:lpstr>
      <vt:lpstr>入力欄_計画書③</vt:lpstr>
      <vt:lpstr>入力欄_報告書①</vt:lpstr>
      <vt:lpstr>入力欄_報告書②1</vt:lpstr>
      <vt:lpstr>入力欄_報告書②2</vt:lpstr>
      <vt:lpstr>入力欄_報告書②3</vt:lpstr>
      <vt:lpstr>入力欄_報告書③</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細井 秀彦</cp:lastModifiedBy>
  <cp:lastPrinted>2024-07-09T05:44:54Z</cp:lastPrinted>
  <dcterms:created xsi:type="dcterms:W3CDTF">2018-03-15T09:01:59Z</dcterms:created>
  <dcterms:modified xsi:type="dcterms:W3CDTF">2024-07-11T07:33:37Z</dcterms:modified>
</cp:coreProperties>
</file>