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Override PartName="/xl/comments4.xml" ContentType="application/vnd.openxmlformats-officedocument.spreadsheetml.comments+xml"/>
  <Override PartName="/xl/drawings/drawing15.xml" ContentType="application/vnd.openxmlformats-officedocument.drawing+xml"/>
  <Override PartName="/xl/comments5.xml" ContentType="application/vnd.openxmlformats-officedocument.spreadsheetml.comments+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defaultThemeVersion="124226"/>
  <mc:AlternateContent xmlns:mc="http://schemas.openxmlformats.org/markup-compatibility/2006">
    <mc:Choice Requires="x15">
      <x15ac:absPath xmlns:x15ac="http://schemas.microsoft.com/office/spreadsheetml/2010/11/ac" url="\\192.168.20.240\share-ChiEne\03_業務\05_受注Job\2024年度業務\2023-0525-18-0149_01_【プロポ】令和6年度仙台市温室効果ガス削減アクションプログラム\99_R5年度修正対応\計画書・報告書作成支援ツール・【転記ツール】_Ver18-2_20240708\"/>
    </mc:Choice>
  </mc:AlternateContent>
  <xr:revisionPtr revIDLastSave="0" documentId="13_ncr:1_{0A64AE75-4F10-4541-9D1B-099BAD9264E4}" xr6:coauthVersionLast="47" xr6:coauthVersionMax="47" xr10:uidLastSave="{00000000-0000-0000-0000-000000000000}"/>
  <workbookProtection workbookAlgorithmName="SHA-512" workbookHashValue="75Bgx+gxoKlNmq6PMX+VVaRfO2FQv9/bVAPdpPz8JSwqr1Aw9eeZm9VP4cmlFyZPXQdzTBAGOhAHPDCYKqabtA==" workbookSaltValue="If4Qh7vcrXPpD5QzD7ZjIg==" workbookSpinCount="100000" lockStructure="1"/>
  <bookViews>
    <workbookView xWindow="-108" yWindow="-108" windowWidth="23256" windowHeight="12456" tabRatio="828" xr2:uid="{00000000-000D-0000-FFFF-FFFF00000000}"/>
  </bookViews>
  <sheets>
    <sheet name="はじめに" sheetId="2" r:id="rId1"/>
    <sheet name="計画書①（事業所概要・目標）" sheetId="7" r:id="rId2"/>
    <sheet name="計画書② (取組）" sheetId="11" r:id="rId3"/>
    <sheet name="計画書③（任意記載）" sheetId="33" r:id="rId4"/>
    <sheet name="計算シート（基準年度）" sheetId="45" r:id="rId5"/>
    <sheet name="事業所排出量内訳 (基準年度)" sheetId="44" r:id="rId6"/>
    <sheet name="計画書提出書" sheetId="1" r:id="rId7"/>
    <sheet name="計画書（公表用）" sheetId="18" r:id="rId8"/>
    <sheet name="報告書①（事業所概要・実績）" sheetId="23" r:id="rId9"/>
    <sheet name="報告書② 第1年度(取組）" sheetId="40" r:id="rId10"/>
    <sheet name="報告書② 第2年度(取組）" sheetId="41" r:id="rId11"/>
    <sheet name="報告書② 第3年度(取組）" sheetId="42" r:id="rId12"/>
    <sheet name="報告書③（任意記載）" sheetId="35" r:id="rId13"/>
    <sheet name="計算シート（第１～第３年度）" sheetId="37" r:id="rId14"/>
    <sheet name="事業所排出量内訳 (第1年度)" sheetId="46" r:id="rId15"/>
    <sheet name="事業所排出量内訳 (第2年度)" sheetId="47" r:id="rId16"/>
    <sheet name="事業所排出量内訳 (第3年度)" sheetId="48" r:id="rId17"/>
    <sheet name="報告書提出書" sheetId="21" r:id="rId18"/>
    <sheet name="報告書（公表用）" sheetId="22" r:id="rId19"/>
    <sheet name="委任状" sheetId="6" r:id="rId20"/>
    <sheet name="評価点まとめ" sheetId="32" r:id="rId21"/>
    <sheet name="係数" sheetId="43" state="veryHidden" r:id="rId22"/>
    <sheet name="産業分類" sheetId="19" state="veryHidden" r:id="rId23"/>
    <sheet name="対策リスト" sheetId="31" state="veryHidden" r:id="rId24"/>
    <sheet name="マクロテスト" sheetId="49" state="veryHidden" r:id="rId25"/>
    <sheet name="リスト1" sheetId="39" state="veryHidden" r:id="rId26"/>
  </sheets>
  <definedNames>
    <definedName name="_xlnm.Print_Area" localSheetId="0">はじめに!$A$1:$N$30</definedName>
    <definedName name="_xlnm.Print_Area" localSheetId="21">係数!$B$1:$Z$80</definedName>
    <definedName name="_xlnm.Print_Area" localSheetId="7">'計画書（公表用）'!$A$2:$Q$35</definedName>
    <definedName name="_xlnm.Print_Area" localSheetId="1">'計画書①（事業所概要・目標）'!$A$2:$P$28</definedName>
    <definedName name="_xlnm.Print_Area" localSheetId="2">'計画書② (取組）'!$A$2:$F$17,'計画書② (取組）'!$A$36:$F$72</definedName>
    <definedName name="_xlnm.Print_Area" localSheetId="3">'計画書③（任意記載）'!$A$1:$F$26</definedName>
    <definedName name="_xlnm.Print_Area" localSheetId="6">計画書提出書!$A$2:$Q$34</definedName>
    <definedName name="_xlnm.Print_Area" localSheetId="4">'計算シート（基準年度）'!$A$1:$R$21</definedName>
    <definedName name="_xlnm.Print_Area" localSheetId="13">'計算シート（第１～第３年度）'!$A$1:$R$68</definedName>
    <definedName name="_xlnm.Print_Area" localSheetId="5">'事業所排出量内訳 (基準年度)'!$C$1:$AB$98</definedName>
    <definedName name="_xlnm.Print_Area" localSheetId="14">'事業所排出量内訳 (第1年度)'!$C$1:$AB$98</definedName>
    <definedName name="_xlnm.Print_Area" localSheetId="15">'事業所排出量内訳 (第2年度)'!$C$1:$AB$98</definedName>
    <definedName name="_xlnm.Print_Area" localSheetId="16">'事業所排出量内訳 (第3年度)'!$C$1:$AB$98</definedName>
    <definedName name="_xlnm.Print_Area" localSheetId="18">'報告書（公表用）'!$A$2:$Q$52</definedName>
    <definedName name="_xlnm.Print_Area" localSheetId="8">'報告書①（事業所概要・実績）'!$A$1:$P$37</definedName>
    <definedName name="_xlnm.Print_Area" localSheetId="9">'報告書② 第1年度(取組）'!$A$1:$J$79</definedName>
    <definedName name="_xlnm.Print_Area" localSheetId="10">'報告書② 第2年度(取組）'!$A$1:$J$79</definedName>
    <definedName name="_xlnm.Print_Area" localSheetId="11">'報告書② 第3年度(取組）'!$A$1:$H$79</definedName>
    <definedName name="_xlnm.Print_Area" localSheetId="12">'報告書③（任意記載）'!$A$1:$F$13</definedName>
    <definedName name="_xlnm.Print_Area" localSheetId="17">報告書提出書!$A$2:$Q$34</definedName>
    <definedName name="その他対策">対策リスト!$G$3:$G$15</definedName>
    <definedName name="一般その他化石2022" localSheetId="5">'事業所排出量内訳 (基準年度)'!$AH$11:$AH$31</definedName>
    <definedName name="一般その他化石2022" localSheetId="14">'事業所排出量内訳 (第1年度)'!$AH$11:$AH$31</definedName>
    <definedName name="一般その他化石2022" localSheetId="15">'事業所排出量内訳 (第2年度)'!$AH$11:$AH$31</definedName>
    <definedName name="一般その他化石2022" localSheetId="16">'事業所排出量内訳 (第3年度)'!$AH$11:$AH$31</definedName>
    <definedName name="一般その他化石2023" localSheetId="5">'事業所排出量内訳 (基準年度)'!$AN$11:$AN$32</definedName>
    <definedName name="一般その他化石2023" localSheetId="14">'事業所排出量内訳 (第1年度)'!$AN$11:$AN$32</definedName>
    <definedName name="一般その他化石2023" localSheetId="15">'事業所排出量内訳 (第2年度)'!$AN$11:$AN$31</definedName>
    <definedName name="一般その他化石2023" localSheetId="16">'事業所排出量内訳 (第3年度)'!$AN$11:$AN$32</definedName>
    <definedName name="一般その他非化石2022" localSheetId="5">'事業所排出量内訳 (基準年度)'!$AH$32</definedName>
    <definedName name="一般その他非化石2022" localSheetId="14">'事業所排出量内訳 (第1年度)'!$AH$32</definedName>
    <definedName name="一般その他非化石2022" localSheetId="15">'事業所排出量内訳 (第2年度)'!$AH$32</definedName>
    <definedName name="一般その他非化石2022" localSheetId="16">'事業所排出量内訳 (第3年度)'!$AH$32</definedName>
    <definedName name="一般その他非化石2023" localSheetId="5">'事業所排出量内訳 (基準年度)'!$AN$36:$AN$56</definedName>
    <definedName name="一般その他非化石2023" localSheetId="14">'事業所排出量内訳 (第1年度)'!$AN$36:$AN$56</definedName>
    <definedName name="一般その他非化石2023" localSheetId="15">'事業所排出量内訳 (第2年度)'!$AN$36:$AN$56</definedName>
    <definedName name="一般その他非化石2023" localSheetId="16">'事業所排出量内訳 (第3年度)'!$AN$36:$AN$56</definedName>
    <definedName name="基本対策">対策リスト!$A$3:$B$15</definedName>
    <definedName name="係数2022">係数!$C$3:$L$80</definedName>
    <definedName name="係数2023">係数!$Q$2:$Z$80</definedName>
    <definedName name="細分類">産業分類!$G$2:$H$1460</definedName>
    <definedName name="小分類">産業分類!$D$2:$E$531</definedName>
    <definedName name="選択対策">対策リスト!$D$3:$E$45</definedName>
    <definedName name="中分類">産業分類!$A$2:$B$100</definedName>
    <definedName name="転記データアドレス">リスト1!$B$2:$G$491</definedName>
    <definedName name="入力欄_はじめに">はじめに!$E$4:$E$5,はじめに!$G$5,はじめに!$I$5,はじめに!$E$6:$N$9,はじめに!$E$14:$N$14,はじめに!$F$15,はじめに!$H$15,はじめに!$E$16:$N$16,はじめに!$E$17:$H$17,はじめに!$E$21:$N$21,はじめに!$F$22,はじめに!$H$22,はじめに!$E$23:$N$27,はじめに!$E$30,はじめに!$G$30,はじめに!$I$30,はじめに!$F$29</definedName>
    <definedName name="入力欄_計画書①">'計画書①（事業所概要・目標）'!$H$25:$I$25,'計画書①（事業所概要・目標）'!$M$25:$N$25,'計画書①（事業所概要・目標）'!$H$27:$I$27,'計画書①（事業所概要・目標）'!$M$27:$N$27,'計画書①（事業所概要・目標）'!$C$28:$P$28</definedName>
    <definedName name="入力欄_計画書②">'計画書② (取組）'!$E$5:$F$34,'計画書② (取組）'!$C$39:$C$58,'計画書② (取組）'!$E$39:$F$58,'計画書② (取組）'!$C$63:$F$72</definedName>
    <definedName name="入力欄_計画書③">'計画書③（任意記載）'!$B$4:$D$13,'計画書③（任意記載）'!$B$17:$D$26</definedName>
    <definedName name="入力欄_計算シート1">'計算シート（第１～第３年度）'!$C$4:$N$10,'計算シート（第１～第３年度）'!$A$13:$A$22</definedName>
    <definedName name="入力欄_計算シート2">'計算シート（第１～第３年度）'!$C$26:$N$32,'計算シート（第１～第３年度）'!$C$35:$N$44</definedName>
    <definedName name="入力欄_計算シート3">'計算シート（第１～第３年度）'!$C$48:$N$54,'計算シート（第１～第３年度）'!$C$57:$N$66</definedName>
    <definedName name="入力欄_計算シート基準年度">'計算シート（基準年度）'!$C$3:$N$9,'計算シート（基準年度）'!$C$12:$N$21</definedName>
    <definedName name="入力欄_排出量内訳_基準年度">'事業所排出量内訳 (基準年度)'!$J$6:$J$21,'事業所排出量内訳 (基準年度)'!$E$13:$I$17,'事業所排出量内訳 (基準年度)'!$I$18:$I$21,'事業所排出量内訳 (基準年度)'!$L$21:$N$21,'事業所排出量内訳 (基準年度)'!$N$18:$N$20,'事業所排出量内訳 (基準年度)'!$D$23:$J$28,'事業所排出量内訳 (基準年度)'!$I$29,'事業所排出量内訳 (基準年度)'!$J$29,'事業所排出量内訳 (基準年度)'!$L$29,'事業所排出量内訳 (基準年度)'!$M$29,'事業所排出量内訳 (基準年度)'!$W$30:$W$32,'事業所排出量内訳 (基準年度)'!$U$35:$W$35,'事業所排出量内訳 (基準年度)'!$U$38:$V$38,'事業所排出量内訳 (基準年度)'!$U$42:$U$46,'事業所排出量内訳 (基準年度)'!$X$42:$Y$46,'事業所排出量内訳 (基準年度)'!$G$47:$H$53,'事業所排出量内訳 (基準年度)'!$C$59:$H$65,'事業所排出量内訳 (基準年度)'!$G$71:$H$73,'事業所排出量内訳 (基準年度)'!$W$51:$W$53,'事業所排出量内訳 (基準年度)'!$X$53,'事業所排出量内訳 (基準年度)'!$Y$53,'事業所排出量内訳 (基準年度)'!$V$57:$Y$58,'事業所排出量内訳 (基準年度)'!$V$63:$X$63,'事業所排出量内訳 (基準年度)'!$V$67:$V$70</definedName>
    <definedName name="入力欄_排出量内訳_第1年度">'事業所排出量内訳 (第1年度)'!$J$6:$J$12,'事業所排出量内訳 (第1年度)'!$E$13:$J$17,'事業所排出量内訳 (第1年度)'!$I$18:$J$21,'事業所排出量内訳 (第1年度)'!$L$21:$N$21,'事業所排出量内訳 (第1年度)'!$N$18:$N$20,'事業所排出量内訳 (第1年度)'!$D$23:$J$28,'事業所排出量内訳 (第1年度)'!$I$29,'事業所排出量内訳 (第1年度)'!$J$29,'事業所排出量内訳 (第1年度)'!$L$29:$M$29,'事業所排出量内訳 (第1年度)'!$W$30:$W$32,'事業所排出量内訳 (第1年度)'!$U$35:$W$35,'事業所排出量内訳 (第1年度)'!$U$38:$V$38,'事業所排出量内訳 (第1年度)'!$U$42:$U$46,'事業所排出量内訳 (第1年度)'!$X$42:$Y$46,'事業所排出量内訳 (第1年度)'!$G$47:$H$53,'事業所排出量内訳 (第1年度)'!$C$59:$H$65,'事業所排出量内訳 (第1年度)'!$G$73:$H$73,'事業所排出量内訳 (第1年度)'!$W$51:$W$52,'事業所排出量内訳 (第1年度)'!$W$53:$Y$53,'事業所排出量内訳 (第1年度)'!$V$57:$Y$58,'事業所排出量内訳 (第1年度)'!$V$63:$X$63,'事業所排出量内訳 (第1年度)'!$V$67:$V$70</definedName>
    <definedName name="入力欄_排出量内訳_第2年度">'事業所排出量内訳 (第2年度)'!$E$13:$I$17,'事業所排出量内訳 (第2年度)'!$J$6:$J$20,'事業所排出量内訳 (第2年度)'!$I$18:$I$21,'事業所排出量内訳 (第2年度)'!$J$21,'事業所排出量内訳 (第2年度)'!$L$21,'事業所排出量内訳 (第2年度)'!$M$21,'事業所排出量内訳 (第2年度)'!$N$18:$N$21,'事業所排出量内訳 (第2年度)'!$D$23:$J$28,'事業所排出量内訳 (第2年度)'!$I$29:$J$29,'事業所排出量内訳 (第2年度)'!$L$29,'事業所排出量内訳 (第2年度)'!$M$29,'事業所排出量内訳 (第2年度)'!$W$30:$W$32,'事業所排出量内訳 (第2年度)'!$U$35:$W$35,'事業所排出量内訳 (第2年度)'!$U$38:$V$38,'事業所排出量内訳 (第2年度)'!$U$42:$U$46,'事業所排出量内訳 (第2年度)'!$X$42:$Y$46,'事業所排出量内訳 (第2年度)'!$W$51:$W$52,'事業所排出量内訳 (第2年度)'!$W$53:$Y$53,'事業所排出量内訳 (第2年度)'!$V$57:$Y$58,'事業所排出量内訳 (第2年度)'!$V$63:$X$63,'事業所排出量内訳 (第2年度)'!$G$47:$H$53,'事業所排出量内訳 (第2年度)'!$C$59:$H$65,'事業所排出量内訳 (第2年度)'!$G$73:$H$73,'事業所排出量内訳 (第2年度)'!$V$67:$V$70</definedName>
    <definedName name="入力欄_排出量内訳_第3年度">'事業所排出量内訳 (第3年度)'!$E$13:$I$17,'事業所排出量内訳 (第3年度)'!$J$6:$J$17,'事業所排出量内訳 (第3年度)'!$I$18:$J$21,'事業所排出量内訳 (第3年度)'!$L$21:$M$21,'事業所排出量内訳 (第3年度)'!$N$18:$N$21,'事業所排出量内訳 (第3年度)'!$D$23:$J$28,'事業所排出量内訳 (第3年度)'!$I$29,'事業所排出量内訳 (第3年度)'!$J$29,'事業所排出量内訳 (第3年度)'!$L$29:$M$29,'事業所排出量内訳 (第3年度)'!$W$30:$W$32,'事業所排出量内訳 (第3年度)'!$U$35:$W$35,'事業所排出量内訳 (第3年度)'!$U$38:$V$38,'事業所排出量内訳 (第3年度)'!$U$42:$U$46,'事業所排出量内訳 (第3年度)'!$X$42:$Y$46,'事業所排出量内訳 (第3年度)'!$G$47:$H$53,'事業所排出量内訳 (第3年度)'!$C$59:$H$65,'事業所排出量内訳 (第3年度)'!$G$73:$H$73,'事業所排出量内訳 (第3年度)'!$W$51:$W$52,'事業所排出量内訳 (第3年度)'!$W$53:$Y$53,'事業所排出量内訳 (第3年度)'!$V$57:$Y$58,'事業所排出量内訳 (第3年度)'!$V$63:$X$63,'事業所排出量内訳 (第3年度)'!$V$67:$V$70</definedName>
    <definedName name="入力欄_報告書①">'報告書①（事業所概要・実績）'!$C$29:$P$29,'報告書①（事業所概要・実績）'!$C$33:$P$33,'報告書①（事業所概要・実績）'!$C$37:$P$37</definedName>
    <definedName name="入力欄_報告書②1">'報告書② 第1年度(取組）'!$F$6:$F$35,'報告書② 第1年度(取組）'!$D$38:$F$38,'報告書② 第1年度(取組）'!$F$45:$F$64,'報告書② 第1年度(取組）'!$F$70:$F$79,'報告書② 第1年度(取組）'!$C$91:$C$110,'報告書② 第1年度(取組）'!$C$121:$D$130</definedName>
    <definedName name="入力欄_報告書②2">'報告書② 第2年度(取組）'!$G$6:$G$35,'報告書② 第2年度(取組）'!$D$39:$F$39,'報告書② 第2年度(取組）'!$G$45:$G$64,'報告書② 第2年度(取組）'!$G$70:$G$79,'報告書② 第2年度(取組）'!$C$91:$C$110,'報告書② 第2年度(取組）'!$C$121:$D$130</definedName>
    <definedName name="入力欄_報告書②3">'報告書② 第3年度(取組）'!$H$6:$H$35,'報告書② 第3年度(取組）'!$D$40:$F$40,'報告書② 第3年度(取組）'!$H$45:$H$64,'報告書② 第3年度(取組）'!$H$70:$H$79,'報告書② 第3年度(取組）'!$C$91:$C$110,'報告書② 第3年度(取組）'!$C$121:$D$130</definedName>
    <definedName name="入力欄_報告書③">'報告書③（任意記載）'!$B$4:$D$13</definedName>
    <definedName name="非化石燃料">係数!$Q$32:$Q$48</definedName>
    <definedName name="非化石燃料2023">係数!$Q$32:$Z$48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0" i="44" l="1"/>
  <c r="N19" i="44"/>
  <c r="N18" i="44"/>
  <c r="N20" i="46"/>
  <c r="N19" i="46"/>
  <c r="N18" i="46"/>
  <c r="N20" i="47"/>
  <c r="N19" i="47"/>
  <c r="N18" i="47"/>
  <c r="N20" i="48"/>
  <c r="N19" i="48"/>
  <c r="N18" i="48"/>
  <c r="K19" i="22" l="1"/>
  <c r="P19" i="22"/>
  <c r="AP40" i="46"/>
  <c r="AQ40" i="46"/>
  <c r="AR40" i="46"/>
  <c r="AP40" i="47"/>
  <c r="AQ40" i="47"/>
  <c r="AR40" i="47"/>
  <c r="AP40" i="48"/>
  <c r="AQ40" i="48"/>
  <c r="AR40" i="48"/>
  <c r="AP40" i="44"/>
  <c r="AQ40" i="44"/>
  <c r="AR40" i="44"/>
  <c r="L9" i="42" l="1"/>
  <c r="J8" i="11" l="1"/>
  <c r="V42" i="44"/>
  <c r="P19" i="18" l="1"/>
  <c r="K19" i="18"/>
  <c r="T1" i="48"/>
  <c r="T1" i="47"/>
  <c r="T1" i="46"/>
  <c r="T1" i="44"/>
  <c r="J1" i="44"/>
  <c r="G31" i="22"/>
  <c r="G23" i="22"/>
  <c r="G27" i="22" l="1"/>
  <c r="H25" i="23" l="1"/>
  <c r="M25" i="23"/>
  <c r="H23" i="23" l="1"/>
  <c r="M23" i="23"/>
  <c r="G20" i="18" l="1"/>
  <c r="P17" i="18" l="1"/>
  <c r="K17" i="18"/>
  <c r="J1" i="46"/>
  <c r="M40" i="47"/>
  <c r="J1" i="47"/>
  <c r="J1" i="48"/>
  <c r="Z51" i="44"/>
  <c r="Z58" i="44"/>
  <c r="Z57" i="44"/>
  <c r="J39" i="48" l="1"/>
  <c r="J42" i="48" s="1"/>
  <c r="J39" i="47"/>
  <c r="J42" i="47" s="1"/>
  <c r="J39" i="46"/>
  <c r="J42" i="46" s="1"/>
  <c r="J39" i="44"/>
  <c r="J42" i="44" s="1"/>
  <c r="I37" i="48" l="1"/>
  <c r="N37" i="48" s="1"/>
  <c r="G72" i="48"/>
  <c r="W27" i="48" s="1"/>
  <c r="G71" i="48"/>
  <c r="G72" i="47"/>
  <c r="W27" i="47" s="1"/>
  <c r="G71" i="47"/>
  <c r="G72" i="46"/>
  <c r="W27" i="46" s="1"/>
  <c r="G71" i="46"/>
  <c r="I12" i="48"/>
  <c r="I11" i="48"/>
  <c r="I10" i="48"/>
  <c r="I9" i="48"/>
  <c r="I8" i="48"/>
  <c r="I7" i="48"/>
  <c r="I6" i="48"/>
  <c r="I6" i="47"/>
  <c r="I7" i="47"/>
  <c r="I8" i="47"/>
  <c r="I9" i="47"/>
  <c r="I10" i="47"/>
  <c r="I11" i="47"/>
  <c r="I12" i="47"/>
  <c r="Q58" i="37"/>
  <c r="Q59" i="37"/>
  <c r="Q60" i="37"/>
  <c r="Q61" i="37"/>
  <c r="Q62" i="37"/>
  <c r="Q63" i="37"/>
  <c r="Q64" i="37"/>
  <c r="Q65" i="37"/>
  <c r="Q66" i="37"/>
  <c r="O58" i="37"/>
  <c r="O59" i="37"/>
  <c r="O60" i="37"/>
  <c r="O61" i="37"/>
  <c r="O62" i="37"/>
  <c r="O63" i="37"/>
  <c r="O64" i="37"/>
  <c r="O65" i="37"/>
  <c r="O66" i="37"/>
  <c r="Q57" i="37"/>
  <c r="V42" i="48" s="1"/>
  <c r="O57" i="37"/>
  <c r="Q49" i="37"/>
  <c r="Q50" i="37"/>
  <c r="Q51" i="37"/>
  <c r="Q52" i="37"/>
  <c r="Q53" i="37"/>
  <c r="Q54" i="37"/>
  <c r="O49" i="37"/>
  <c r="O50" i="37"/>
  <c r="O51" i="37"/>
  <c r="O52" i="37"/>
  <c r="O53" i="37"/>
  <c r="O54" i="37"/>
  <c r="Q48" i="37"/>
  <c r="O48" i="37"/>
  <c r="Q36" i="37"/>
  <c r="Q37" i="37"/>
  <c r="Q38" i="37"/>
  <c r="Q39" i="37"/>
  <c r="Q40" i="37"/>
  <c r="Q41" i="37"/>
  <c r="Q42" i="37"/>
  <c r="Q43" i="37"/>
  <c r="Q44" i="37"/>
  <c r="O36" i="37"/>
  <c r="O37" i="37"/>
  <c r="O38" i="37"/>
  <c r="O39" i="37"/>
  <c r="O40" i="37"/>
  <c r="O41" i="37"/>
  <c r="O42" i="37"/>
  <c r="O43" i="37"/>
  <c r="O44" i="37"/>
  <c r="Q35" i="37"/>
  <c r="O35" i="37"/>
  <c r="Q27" i="37"/>
  <c r="Q28" i="37"/>
  <c r="Q29" i="37"/>
  <c r="Q30" i="37"/>
  <c r="Q31" i="37"/>
  <c r="Q32" i="37"/>
  <c r="O27" i="37"/>
  <c r="O28" i="37"/>
  <c r="O29" i="37"/>
  <c r="O30" i="37"/>
  <c r="O31" i="37"/>
  <c r="O32" i="37"/>
  <c r="Q26" i="37"/>
  <c r="O26" i="37"/>
  <c r="Q22" i="37"/>
  <c r="Q14" i="37"/>
  <c r="Q15" i="37"/>
  <c r="Q16" i="37"/>
  <c r="Q17" i="37"/>
  <c r="Q18" i="37"/>
  <c r="Q19" i="37"/>
  <c r="Q20" i="37"/>
  <c r="Q21" i="37"/>
  <c r="O14" i="37"/>
  <c r="O15" i="37"/>
  <c r="O16" i="37"/>
  <c r="O17" i="37"/>
  <c r="O18" i="37"/>
  <c r="O19" i="37"/>
  <c r="O20" i="37"/>
  <c r="O21" i="37"/>
  <c r="O22" i="37"/>
  <c r="O13" i="37"/>
  <c r="Q13" i="37" s="1"/>
  <c r="Q5" i="37"/>
  <c r="Q6" i="37"/>
  <c r="Q7" i="37"/>
  <c r="Q8" i="37"/>
  <c r="Q9" i="37"/>
  <c r="Q10" i="37"/>
  <c r="O5" i="37"/>
  <c r="O6" i="37"/>
  <c r="O7" i="37"/>
  <c r="O8" i="37"/>
  <c r="O9" i="37"/>
  <c r="O10" i="37"/>
  <c r="O4" i="37"/>
  <c r="Q4" i="37" s="1"/>
  <c r="O3" i="45"/>
  <c r="Q3" i="45" s="1"/>
  <c r="Y63" i="44"/>
  <c r="N39" i="44" s="1"/>
  <c r="V42" i="47"/>
  <c r="Z42" i="47" s="1"/>
  <c r="A65" i="37"/>
  <c r="A63" i="37"/>
  <c r="A61" i="37"/>
  <c r="A59" i="37"/>
  <c r="A57" i="37"/>
  <c r="A43" i="37"/>
  <c r="A41" i="37"/>
  <c r="A39" i="37"/>
  <c r="A37" i="37"/>
  <c r="A35" i="37"/>
  <c r="A21" i="37"/>
  <c r="A19" i="37"/>
  <c r="A17" i="37"/>
  <c r="A15" i="37"/>
  <c r="A13" i="37"/>
  <c r="V71" i="48"/>
  <c r="G66" i="48"/>
  <c r="V22" i="48" s="1"/>
  <c r="Y63" i="48"/>
  <c r="AR60" i="48"/>
  <c r="AQ60" i="48"/>
  <c r="AP60" i="48"/>
  <c r="AR59" i="48"/>
  <c r="AQ59" i="48"/>
  <c r="AP59" i="48"/>
  <c r="W59" i="48"/>
  <c r="X59" i="48" s="1"/>
  <c r="AR58" i="48"/>
  <c r="AQ58" i="48"/>
  <c r="AP58" i="48"/>
  <c r="AB58" i="48"/>
  <c r="Z58" i="48"/>
  <c r="AR57" i="48"/>
  <c r="AQ57" i="48"/>
  <c r="AP57" i="48"/>
  <c r="AB57" i="48"/>
  <c r="Z57" i="48"/>
  <c r="AR56" i="48"/>
  <c r="AQ56" i="48"/>
  <c r="AP56" i="48"/>
  <c r="AR55" i="48"/>
  <c r="AQ55" i="48"/>
  <c r="AP55" i="48"/>
  <c r="AR54" i="48"/>
  <c r="AQ54" i="48"/>
  <c r="AP54" i="48"/>
  <c r="G54" i="48"/>
  <c r="V19" i="48" s="1"/>
  <c r="AR53" i="48"/>
  <c r="AQ53" i="48"/>
  <c r="AP53" i="48"/>
  <c r="AB53" i="48"/>
  <c r="Z53" i="48"/>
  <c r="AR52" i="48"/>
  <c r="AQ52" i="48"/>
  <c r="AP52" i="48"/>
  <c r="AB52" i="48"/>
  <c r="Z52" i="48"/>
  <c r="AR51" i="48"/>
  <c r="AQ51" i="48"/>
  <c r="AP51" i="48"/>
  <c r="AB51" i="48"/>
  <c r="Z51" i="48"/>
  <c r="AR50" i="48"/>
  <c r="AQ50" i="48"/>
  <c r="AP50" i="48"/>
  <c r="AR49" i="48"/>
  <c r="AQ49" i="48"/>
  <c r="AP49" i="48"/>
  <c r="AR48" i="48"/>
  <c r="AQ48" i="48"/>
  <c r="AP48" i="48"/>
  <c r="AR47" i="48"/>
  <c r="AQ47" i="48"/>
  <c r="AP47" i="48"/>
  <c r="AR46" i="48"/>
  <c r="AQ46" i="48"/>
  <c r="AP46" i="48"/>
  <c r="AR45" i="48"/>
  <c r="AQ45" i="48"/>
  <c r="AP45" i="48"/>
  <c r="AR44" i="48"/>
  <c r="AQ44" i="48"/>
  <c r="AP44" i="48"/>
  <c r="AR43" i="48"/>
  <c r="AQ43" i="48"/>
  <c r="AP43" i="48"/>
  <c r="AR42" i="48"/>
  <c r="AQ42" i="48"/>
  <c r="AP42" i="48"/>
  <c r="AR41" i="48"/>
  <c r="AQ41" i="48"/>
  <c r="AP41" i="48"/>
  <c r="AR39" i="48"/>
  <c r="AQ39" i="48"/>
  <c r="AP39" i="48"/>
  <c r="AR38" i="48"/>
  <c r="AQ38" i="48"/>
  <c r="AP38" i="48"/>
  <c r="K39" i="48"/>
  <c r="M39" i="48" s="1"/>
  <c r="AR37" i="48"/>
  <c r="AQ37" i="48"/>
  <c r="AP37" i="48"/>
  <c r="AR36" i="48"/>
  <c r="AQ36" i="48"/>
  <c r="AP36" i="48"/>
  <c r="AR35" i="48"/>
  <c r="AQ35" i="48"/>
  <c r="AP35" i="48"/>
  <c r="AR34" i="48"/>
  <c r="AQ34" i="48"/>
  <c r="AP34" i="48"/>
  <c r="AR33" i="48"/>
  <c r="AQ33" i="48"/>
  <c r="AP33" i="48"/>
  <c r="AR32" i="48"/>
  <c r="AQ32" i="48"/>
  <c r="AP32" i="48"/>
  <c r="AK31" i="48"/>
  <c r="AJ31" i="48"/>
  <c r="AR31" i="48"/>
  <c r="AQ31" i="48"/>
  <c r="AP31" i="48"/>
  <c r="AK30" i="48"/>
  <c r="AJ30" i="48"/>
  <c r="AR30" i="48"/>
  <c r="AQ30" i="48"/>
  <c r="AP30" i="48"/>
  <c r="AK29" i="48"/>
  <c r="AJ29" i="48"/>
  <c r="AR29" i="48"/>
  <c r="AQ29" i="48"/>
  <c r="AP29" i="48"/>
  <c r="AK28" i="48"/>
  <c r="AJ28" i="48"/>
  <c r="K29" i="48"/>
  <c r="D29" i="48"/>
  <c r="AR28" i="48"/>
  <c r="AQ28" i="48"/>
  <c r="AP28" i="48"/>
  <c r="L28" i="48"/>
  <c r="K28" i="48"/>
  <c r="N28" i="48" s="1"/>
  <c r="AR27" i="48"/>
  <c r="AQ27" i="48"/>
  <c r="AP27" i="48"/>
  <c r="AK27" i="48"/>
  <c r="AJ27" i="48"/>
  <c r="L27" i="48"/>
  <c r="K27" i="48"/>
  <c r="N27" i="48" s="1"/>
  <c r="AR26" i="48"/>
  <c r="AQ26" i="48"/>
  <c r="AP26" i="48"/>
  <c r="AK26" i="48"/>
  <c r="AJ26" i="48"/>
  <c r="K26" i="48"/>
  <c r="AR25" i="48"/>
  <c r="AQ25" i="48"/>
  <c r="AP25" i="48"/>
  <c r="AK25" i="48"/>
  <c r="AJ25" i="48"/>
  <c r="K25" i="48"/>
  <c r="AR24" i="48"/>
  <c r="AQ24" i="48"/>
  <c r="AP24" i="48"/>
  <c r="AK24" i="48"/>
  <c r="AJ24" i="48"/>
  <c r="K24" i="48"/>
  <c r="AR23" i="48"/>
  <c r="AQ23" i="48"/>
  <c r="AP23" i="48"/>
  <c r="AK23" i="48"/>
  <c r="AJ23" i="48"/>
  <c r="K23" i="48"/>
  <c r="AR22" i="48"/>
  <c r="AQ22" i="48"/>
  <c r="AP22" i="48"/>
  <c r="AK22" i="48"/>
  <c r="AJ22" i="48"/>
  <c r="AR21" i="48"/>
  <c r="AQ21" i="48"/>
  <c r="AP21" i="48"/>
  <c r="AK21" i="48"/>
  <c r="AJ21" i="48"/>
  <c r="K21" i="48"/>
  <c r="E21" i="48"/>
  <c r="AR20" i="48"/>
  <c r="AQ20" i="48"/>
  <c r="AP20" i="48"/>
  <c r="AK20" i="48"/>
  <c r="AJ20" i="48"/>
  <c r="K20" i="48"/>
  <c r="AR19" i="48"/>
  <c r="AQ19" i="48"/>
  <c r="AP19" i="48"/>
  <c r="AK19" i="48"/>
  <c r="AJ19" i="48"/>
  <c r="K19" i="48"/>
  <c r="AR18" i="48"/>
  <c r="AQ18" i="48"/>
  <c r="AP18" i="48"/>
  <c r="AK18" i="48"/>
  <c r="AJ18" i="48"/>
  <c r="K18" i="48"/>
  <c r="AR17" i="48"/>
  <c r="AQ17" i="48"/>
  <c r="AP17" i="48"/>
  <c r="AK17" i="48"/>
  <c r="AJ17" i="48"/>
  <c r="L17" i="48"/>
  <c r="K17" i="48"/>
  <c r="AR16" i="48"/>
  <c r="AQ16" i="48"/>
  <c r="AP16" i="48"/>
  <c r="AK16" i="48"/>
  <c r="AJ16" i="48"/>
  <c r="L16" i="48"/>
  <c r="K16" i="48"/>
  <c r="AR15" i="48"/>
  <c r="AQ15" i="48"/>
  <c r="AP15" i="48"/>
  <c r="AK15" i="48"/>
  <c r="AJ15" i="48"/>
  <c r="L15" i="48"/>
  <c r="K15" i="48"/>
  <c r="AR14" i="48"/>
  <c r="AQ14" i="48"/>
  <c r="AP14" i="48"/>
  <c r="AK14" i="48"/>
  <c r="AJ14" i="48"/>
  <c r="L14" i="48"/>
  <c r="K14" i="48"/>
  <c r="AR13" i="48"/>
  <c r="AQ13" i="48"/>
  <c r="AP13" i="48"/>
  <c r="AK13" i="48"/>
  <c r="AJ13" i="48"/>
  <c r="K13" i="48"/>
  <c r="AR12" i="48"/>
  <c r="AQ12" i="48"/>
  <c r="AP12" i="48"/>
  <c r="AK12" i="48"/>
  <c r="AJ12" i="48"/>
  <c r="AR11" i="48"/>
  <c r="AQ11" i="48"/>
  <c r="AP11" i="48"/>
  <c r="AK11" i="48"/>
  <c r="AJ11" i="48"/>
  <c r="AR10" i="48"/>
  <c r="AQ10" i="48"/>
  <c r="AP10" i="48"/>
  <c r="AK10" i="48"/>
  <c r="AJ10" i="48"/>
  <c r="AR9" i="48"/>
  <c r="AQ9" i="48"/>
  <c r="AP9" i="48"/>
  <c r="AK9" i="48"/>
  <c r="AJ9" i="48"/>
  <c r="AR8" i="48"/>
  <c r="AQ8" i="48"/>
  <c r="AP8" i="48"/>
  <c r="AK8" i="48"/>
  <c r="AJ8" i="48"/>
  <c r="AR7" i="48"/>
  <c r="AQ7" i="48"/>
  <c r="AP7" i="48"/>
  <c r="AK7" i="48"/>
  <c r="AJ7" i="48"/>
  <c r="AR6" i="48"/>
  <c r="AQ6" i="48"/>
  <c r="AP6" i="48"/>
  <c r="AK6" i="48"/>
  <c r="AJ6" i="48"/>
  <c r="AR5" i="48"/>
  <c r="AQ5" i="48"/>
  <c r="AP5" i="48"/>
  <c r="AK5" i="48"/>
  <c r="AJ5" i="48"/>
  <c r="AR4" i="48"/>
  <c r="AQ4" i="48"/>
  <c r="AP4" i="48"/>
  <c r="AK4" i="48"/>
  <c r="AJ4" i="48"/>
  <c r="M40" i="48"/>
  <c r="N2" i="48"/>
  <c r="V71" i="47"/>
  <c r="G66" i="47"/>
  <c r="V22" i="47" s="1"/>
  <c r="Y63" i="47"/>
  <c r="AR60" i="47"/>
  <c r="AQ60" i="47"/>
  <c r="AP60" i="47"/>
  <c r="AR59" i="47"/>
  <c r="AQ59" i="47"/>
  <c r="AP59" i="47"/>
  <c r="W59" i="47"/>
  <c r="X59" i="47" s="1"/>
  <c r="AR58" i="47"/>
  <c r="AQ58" i="47"/>
  <c r="AP58" i="47"/>
  <c r="AB58" i="47"/>
  <c r="Z58" i="47"/>
  <c r="AR57" i="47"/>
  <c r="AQ57" i="47"/>
  <c r="AP57" i="47"/>
  <c r="AB57" i="47"/>
  <c r="Z57" i="47"/>
  <c r="AR56" i="47"/>
  <c r="AQ56" i="47"/>
  <c r="AP56" i="47"/>
  <c r="AR55" i="47"/>
  <c r="AQ55" i="47"/>
  <c r="AP55" i="47"/>
  <c r="AR54" i="47"/>
  <c r="AQ54" i="47"/>
  <c r="AP54" i="47"/>
  <c r="G54" i="47"/>
  <c r="V19" i="47" s="1"/>
  <c r="AR53" i="47"/>
  <c r="AQ53" i="47"/>
  <c r="AP53" i="47"/>
  <c r="AB53" i="47"/>
  <c r="Z53" i="47"/>
  <c r="AR52" i="47"/>
  <c r="AQ52" i="47"/>
  <c r="AP52" i="47"/>
  <c r="AB52" i="47"/>
  <c r="Z52" i="47"/>
  <c r="AR51" i="47"/>
  <c r="AQ51" i="47"/>
  <c r="AP51" i="47"/>
  <c r="AB51" i="47"/>
  <c r="Z51" i="47"/>
  <c r="AR50" i="47"/>
  <c r="AQ50" i="47"/>
  <c r="AP50" i="47"/>
  <c r="AR49" i="47"/>
  <c r="AQ49" i="47"/>
  <c r="AP49" i="47"/>
  <c r="AR48" i="47"/>
  <c r="AQ48" i="47"/>
  <c r="AP48" i="47"/>
  <c r="AR47" i="47"/>
  <c r="AQ47" i="47"/>
  <c r="AP47" i="47"/>
  <c r="AR46" i="47"/>
  <c r="AQ46" i="47"/>
  <c r="AP46" i="47"/>
  <c r="AR45" i="47"/>
  <c r="AQ45" i="47"/>
  <c r="AP45" i="47"/>
  <c r="AR44" i="47"/>
  <c r="AQ44" i="47"/>
  <c r="AP44" i="47"/>
  <c r="AR43" i="47"/>
  <c r="AQ43" i="47"/>
  <c r="AP43" i="47"/>
  <c r="AR42" i="47"/>
  <c r="AQ42" i="47"/>
  <c r="AP42" i="47"/>
  <c r="AR41" i="47"/>
  <c r="AQ41" i="47"/>
  <c r="AP41" i="47"/>
  <c r="AR39" i="47"/>
  <c r="AQ39" i="47"/>
  <c r="AP39" i="47"/>
  <c r="AR38" i="47"/>
  <c r="AQ38" i="47"/>
  <c r="AP38" i="47"/>
  <c r="K39" i="47"/>
  <c r="M39" i="47" s="1"/>
  <c r="AR37" i="47"/>
  <c r="AQ37" i="47"/>
  <c r="AP37" i="47"/>
  <c r="AR36" i="47"/>
  <c r="AQ36" i="47"/>
  <c r="AP36" i="47"/>
  <c r="I37" i="47"/>
  <c r="N37" i="47" s="1"/>
  <c r="AR35" i="47"/>
  <c r="AQ35" i="47"/>
  <c r="AP35" i="47"/>
  <c r="AR34" i="47"/>
  <c r="AQ34" i="47"/>
  <c r="AP34" i="47"/>
  <c r="AR33" i="47"/>
  <c r="AQ33" i="47"/>
  <c r="AP33" i="47"/>
  <c r="AR32" i="47"/>
  <c r="AQ32" i="47"/>
  <c r="AP32" i="47"/>
  <c r="AK31" i="47"/>
  <c r="AJ31" i="47"/>
  <c r="AR31" i="47"/>
  <c r="AQ31" i="47"/>
  <c r="AP31" i="47"/>
  <c r="AK30" i="47"/>
  <c r="AJ30" i="47"/>
  <c r="AR30" i="47"/>
  <c r="AQ30" i="47"/>
  <c r="AP30" i="47"/>
  <c r="AK29" i="47"/>
  <c r="AJ29" i="47"/>
  <c r="AR29" i="47"/>
  <c r="AQ29" i="47"/>
  <c r="AP29" i="47"/>
  <c r="AK28" i="47"/>
  <c r="AJ28" i="47"/>
  <c r="K29" i="47"/>
  <c r="D29" i="47"/>
  <c r="AR28" i="47"/>
  <c r="AQ28" i="47"/>
  <c r="AP28" i="47"/>
  <c r="L28" i="47"/>
  <c r="K28" i="47"/>
  <c r="N28" i="47" s="1"/>
  <c r="AR27" i="47"/>
  <c r="AQ27" i="47"/>
  <c r="AP27" i="47"/>
  <c r="AK27" i="47"/>
  <c r="AJ27" i="47"/>
  <c r="L27" i="47"/>
  <c r="K27" i="47"/>
  <c r="N27" i="47" s="1"/>
  <c r="AR26" i="47"/>
  <c r="AQ26" i="47"/>
  <c r="AP26" i="47"/>
  <c r="AK26" i="47"/>
  <c r="AJ26" i="47"/>
  <c r="K26" i="47"/>
  <c r="AR25" i="47"/>
  <c r="AQ25" i="47"/>
  <c r="AP25" i="47"/>
  <c r="AK25" i="47"/>
  <c r="AJ25" i="47"/>
  <c r="K25" i="47"/>
  <c r="AR24" i="47"/>
  <c r="AQ24" i="47"/>
  <c r="AP24" i="47"/>
  <c r="AK24" i="47"/>
  <c r="AJ24" i="47"/>
  <c r="K24" i="47"/>
  <c r="AR23" i="47"/>
  <c r="AQ23" i="47"/>
  <c r="AP23" i="47"/>
  <c r="AK23" i="47"/>
  <c r="AJ23" i="47"/>
  <c r="K23" i="47"/>
  <c r="AR22" i="47"/>
  <c r="AQ22" i="47"/>
  <c r="AP22" i="47"/>
  <c r="AK22" i="47"/>
  <c r="AJ22" i="47"/>
  <c r="AR21" i="47"/>
  <c r="AQ21" i="47"/>
  <c r="AP21" i="47"/>
  <c r="AK21" i="47"/>
  <c r="AJ21" i="47"/>
  <c r="K21" i="47"/>
  <c r="E21" i="47"/>
  <c r="AR20" i="47"/>
  <c r="AQ20" i="47"/>
  <c r="AP20" i="47"/>
  <c r="AK20" i="47"/>
  <c r="AJ20" i="47"/>
  <c r="K20" i="47"/>
  <c r="AR19" i="47"/>
  <c r="AQ19" i="47"/>
  <c r="AP19" i="47"/>
  <c r="AK19" i="47"/>
  <c r="AJ19" i="47"/>
  <c r="K19" i="47"/>
  <c r="AR18" i="47"/>
  <c r="AQ18" i="47"/>
  <c r="AP18" i="47"/>
  <c r="AK18" i="47"/>
  <c r="AJ18" i="47"/>
  <c r="K18" i="47"/>
  <c r="AR17" i="47"/>
  <c r="AQ17" i="47"/>
  <c r="AP17" i="47"/>
  <c r="AK17" i="47"/>
  <c r="AJ17" i="47"/>
  <c r="L17" i="47"/>
  <c r="K17" i="47"/>
  <c r="AR16" i="47"/>
  <c r="AQ16" i="47"/>
  <c r="AP16" i="47"/>
  <c r="AK16" i="47"/>
  <c r="AJ16" i="47"/>
  <c r="L16" i="47"/>
  <c r="K16" i="47"/>
  <c r="AR15" i="47"/>
  <c r="AQ15" i="47"/>
  <c r="AP15" i="47"/>
  <c r="AK15" i="47"/>
  <c r="AJ15" i="47"/>
  <c r="L15" i="47"/>
  <c r="K15" i="47"/>
  <c r="AR14" i="47"/>
  <c r="AQ14" i="47"/>
  <c r="AP14" i="47"/>
  <c r="AK14" i="47"/>
  <c r="AJ14" i="47"/>
  <c r="L14" i="47"/>
  <c r="K14" i="47"/>
  <c r="AR13" i="47"/>
  <c r="AQ13" i="47"/>
  <c r="AP13" i="47"/>
  <c r="AK13" i="47"/>
  <c r="AJ13" i="47"/>
  <c r="K13" i="47"/>
  <c r="AR12" i="47"/>
  <c r="AQ12" i="47"/>
  <c r="AP12" i="47"/>
  <c r="AK12" i="47"/>
  <c r="AJ12" i="47"/>
  <c r="AR11" i="47"/>
  <c r="AQ11" i="47"/>
  <c r="AP11" i="47"/>
  <c r="AK11" i="47"/>
  <c r="AJ11" i="47"/>
  <c r="AR10" i="47"/>
  <c r="AQ10" i="47"/>
  <c r="AP10" i="47"/>
  <c r="AK10" i="47"/>
  <c r="AJ10" i="47"/>
  <c r="AR9" i="47"/>
  <c r="AQ9" i="47"/>
  <c r="AP9" i="47"/>
  <c r="AK9" i="47"/>
  <c r="AJ9" i="47"/>
  <c r="AR8" i="47"/>
  <c r="AQ8" i="47"/>
  <c r="AP8" i="47"/>
  <c r="AK8" i="47"/>
  <c r="AJ8" i="47"/>
  <c r="AR7" i="47"/>
  <c r="AQ7" i="47"/>
  <c r="AP7" i="47"/>
  <c r="AK7" i="47"/>
  <c r="AJ7" i="47"/>
  <c r="AR6" i="47"/>
  <c r="AQ6" i="47"/>
  <c r="AP6" i="47"/>
  <c r="AK6" i="47"/>
  <c r="AJ6" i="47"/>
  <c r="AR5" i="47"/>
  <c r="AQ5" i="47"/>
  <c r="AP5" i="47"/>
  <c r="AK5" i="47"/>
  <c r="AJ5" i="47"/>
  <c r="AR4" i="47"/>
  <c r="AQ4" i="47"/>
  <c r="AP4" i="47"/>
  <c r="AK4" i="47"/>
  <c r="AJ4" i="47"/>
  <c r="N2" i="47"/>
  <c r="V71" i="46"/>
  <c r="G66" i="46"/>
  <c r="Y63" i="46"/>
  <c r="N39" i="46" s="1"/>
  <c r="AR60" i="46"/>
  <c r="AQ60" i="46"/>
  <c r="AP60" i="46"/>
  <c r="AR59" i="46"/>
  <c r="AQ59" i="46"/>
  <c r="AP59" i="46"/>
  <c r="W59" i="46"/>
  <c r="X59" i="46" s="1"/>
  <c r="AR58" i="46"/>
  <c r="AQ58" i="46"/>
  <c r="AP58" i="46"/>
  <c r="AB58" i="46"/>
  <c r="Z58" i="46"/>
  <c r="AR57" i="46"/>
  <c r="AQ57" i="46"/>
  <c r="AP57" i="46"/>
  <c r="AB57" i="46"/>
  <c r="Z57" i="46"/>
  <c r="AR56" i="46"/>
  <c r="AQ56" i="46"/>
  <c r="AP56" i="46"/>
  <c r="AR55" i="46"/>
  <c r="AQ55" i="46"/>
  <c r="AP55" i="46"/>
  <c r="AR54" i="46"/>
  <c r="AQ54" i="46"/>
  <c r="AP54" i="46"/>
  <c r="G54" i="46"/>
  <c r="V19" i="46" s="1"/>
  <c r="AR53" i="46"/>
  <c r="AQ53" i="46"/>
  <c r="AP53" i="46"/>
  <c r="AB53" i="46"/>
  <c r="Z53" i="46"/>
  <c r="AR52" i="46"/>
  <c r="AQ52" i="46"/>
  <c r="AP52" i="46"/>
  <c r="AB52" i="46"/>
  <c r="Z52" i="46"/>
  <c r="AR51" i="46"/>
  <c r="AQ51" i="46"/>
  <c r="AP51" i="46"/>
  <c r="AB51" i="46"/>
  <c r="Z51" i="46"/>
  <c r="AR50" i="46"/>
  <c r="AQ50" i="46"/>
  <c r="AP50" i="46"/>
  <c r="AR49" i="46"/>
  <c r="AQ49" i="46"/>
  <c r="AP49" i="46"/>
  <c r="AR48" i="46"/>
  <c r="AQ48" i="46"/>
  <c r="AP48" i="46"/>
  <c r="AR47" i="46"/>
  <c r="AQ47" i="46"/>
  <c r="AP47" i="46"/>
  <c r="AR46" i="46"/>
  <c r="AQ46" i="46"/>
  <c r="AP46" i="46"/>
  <c r="AR45" i="46"/>
  <c r="AQ45" i="46"/>
  <c r="AP45" i="46"/>
  <c r="AR44" i="46"/>
  <c r="AQ44" i="46"/>
  <c r="AP44" i="46"/>
  <c r="AR43" i="46"/>
  <c r="AQ43" i="46"/>
  <c r="AP43" i="46"/>
  <c r="AR42" i="46"/>
  <c r="AQ42" i="46"/>
  <c r="AP42" i="46"/>
  <c r="AR41" i="46"/>
  <c r="AQ41" i="46"/>
  <c r="AP41" i="46"/>
  <c r="AR39" i="46"/>
  <c r="AQ39" i="46"/>
  <c r="AP39" i="46"/>
  <c r="AR38" i="46"/>
  <c r="AQ38" i="46"/>
  <c r="AP38" i="46"/>
  <c r="K39" i="46"/>
  <c r="M39" i="46" s="1"/>
  <c r="AR37" i="46"/>
  <c r="AQ37" i="46"/>
  <c r="AP37" i="46"/>
  <c r="AR36" i="46"/>
  <c r="AQ36" i="46"/>
  <c r="AP36" i="46"/>
  <c r="I37" i="46"/>
  <c r="N37" i="46" s="1"/>
  <c r="AR35" i="46"/>
  <c r="AQ35" i="46"/>
  <c r="AP35" i="46"/>
  <c r="AR34" i="46"/>
  <c r="AQ34" i="46"/>
  <c r="AP34" i="46"/>
  <c r="AR33" i="46"/>
  <c r="AQ33" i="46"/>
  <c r="AP33" i="46"/>
  <c r="AR32" i="46"/>
  <c r="AQ32" i="46"/>
  <c r="AP32" i="46"/>
  <c r="AK31" i="46"/>
  <c r="AJ31" i="46"/>
  <c r="AR31" i="46"/>
  <c r="AQ31" i="46"/>
  <c r="AP31" i="46"/>
  <c r="AK30" i="46"/>
  <c r="AJ30" i="46"/>
  <c r="AR30" i="46"/>
  <c r="AQ30" i="46"/>
  <c r="AP30" i="46"/>
  <c r="AK29" i="46"/>
  <c r="AJ29" i="46"/>
  <c r="AR29" i="46"/>
  <c r="AQ29" i="46"/>
  <c r="AP29" i="46"/>
  <c r="AK28" i="46"/>
  <c r="AJ28" i="46"/>
  <c r="K29" i="46"/>
  <c r="D29" i="46"/>
  <c r="AR28" i="46"/>
  <c r="AQ28" i="46"/>
  <c r="AP28" i="46"/>
  <c r="L28" i="46"/>
  <c r="K28" i="46"/>
  <c r="N28" i="46" s="1"/>
  <c r="AR27" i="46"/>
  <c r="AQ27" i="46"/>
  <c r="AP27" i="46"/>
  <c r="AK27" i="46"/>
  <c r="AJ27" i="46"/>
  <c r="L27" i="46"/>
  <c r="K27" i="46"/>
  <c r="N27" i="46" s="1"/>
  <c r="AR26" i="46"/>
  <c r="AQ26" i="46"/>
  <c r="AP26" i="46"/>
  <c r="AK26" i="46"/>
  <c r="AJ26" i="46"/>
  <c r="K26" i="46"/>
  <c r="AR25" i="46"/>
  <c r="AQ25" i="46"/>
  <c r="AP25" i="46"/>
  <c r="AK25" i="46"/>
  <c r="AJ25" i="46"/>
  <c r="K25" i="46"/>
  <c r="AR24" i="46"/>
  <c r="AQ24" i="46"/>
  <c r="AP24" i="46"/>
  <c r="AK24" i="46"/>
  <c r="AJ24" i="46"/>
  <c r="K24" i="46"/>
  <c r="AR23" i="46"/>
  <c r="AQ23" i="46"/>
  <c r="AP23" i="46"/>
  <c r="AK23" i="46"/>
  <c r="AJ23" i="46"/>
  <c r="K23" i="46"/>
  <c r="AR22" i="46"/>
  <c r="AQ22" i="46"/>
  <c r="AP22" i="46"/>
  <c r="AK22" i="46"/>
  <c r="AJ22" i="46"/>
  <c r="V22" i="46"/>
  <c r="AR21" i="46"/>
  <c r="AQ21" i="46"/>
  <c r="AP21" i="46"/>
  <c r="AK21" i="46"/>
  <c r="AJ21" i="46"/>
  <c r="K21" i="46"/>
  <c r="E21" i="46"/>
  <c r="AR20" i="46"/>
  <c r="AQ20" i="46"/>
  <c r="AP20" i="46"/>
  <c r="AK20" i="46"/>
  <c r="AJ20" i="46"/>
  <c r="K20" i="46"/>
  <c r="AR19" i="46"/>
  <c r="AQ19" i="46"/>
  <c r="AP19" i="46"/>
  <c r="AK19" i="46"/>
  <c r="AJ19" i="46"/>
  <c r="K19" i="46"/>
  <c r="AR18" i="46"/>
  <c r="AQ18" i="46"/>
  <c r="AP18" i="46"/>
  <c r="AK18" i="46"/>
  <c r="AJ18" i="46"/>
  <c r="K18" i="46"/>
  <c r="AR17" i="46"/>
  <c r="AQ17" i="46"/>
  <c r="AP17" i="46"/>
  <c r="AK17" i="46"/>
  <c r="AJ17" i="46"/>
  <c r="L17" i="46"/>
  <c r="K17" i="46"/>
  <c r="AR16" i="46"/>
  <c r="AQ16" i="46"/>
  <c r="AP16" i="46"/>
  <c r="AK16" i="46"/>
  <c r="AJ16" i="46"/>
  <c r="L16" i="46"/>
  <c r="K16" i="46"/>
  <c r="AR15" i="46"/>
  <c r="AQ15" i="46"/>
  <c r="AP15" i="46"/>
  <c r="AK15" i="46"/>
  <c r="AJ15" i="46"/>
  <c r="L15" i="46"/>
  <c r="K15" i="46"/>
  <c r="AR14" i="46"/>
  <c r="AQ14" i="46"/>
  <c r="AP14" i="46"/>
  <c r="AK14" i="46"/>
  <c r="AJ14" i="46"/>
  <c r="L14" i="46"/>
  <c r="K14" i="46"/>
  <c r="AR13" i="46"/>
  <c r="AQ13" i="46"/>
  <c r="AP13" i="46"/>
  <c r="AK13" i="46"/>
  <c r="AJ13" i="46"/>
  <c r="K13" i="46"/>
  <c r="AR12" i="46"/>
  <c r="AQ12" i="46"/>
  <c r="AP12" i="46"/>
  <c r="AK12" i="46"/>
  <c r="AJ12" i="46"/>
  <c r="AR11" i="46"/>
  <c r="AQ11" i="46"/>
  <c r="AP11" i="46"/>
  <c r="AK11" i="46"/>
  <c r="AJ11" i="46"/>
  <c r="AR10" i="46"/>
  <c r="AQ10" i="46"/>
  <c r="AP10" i="46"/>
  <c r="AK10" i="46"/>
  <c r="AJ10" i="46"/>
  <c r="AR9" i="46"/>
  <c r="AQ9" i="46"/>
  <c r="AP9" i="46"/>
  <c r="AK9" i="46"/>
  <c r="AJ9" i="46"/>
  <c r="AR8" i="46"/>
  <c r="AQ8" i="46"/>
  <c r="AP8" i="46"/>
  <c r="AK8" i="46"/>
  <c r="AJ8" i="46"/>
  <c r="AR7" i="46"/>
  <c r="AQ7" i="46"/>
  <c r="AP7" i="46"/>
  <c r="AK7" i="46"/>
  <c r="AJ7" i="46"/>
  <c r="AR6" i="46"/>
  <c r="AQ6" i="46"/>
  <c r="AP6" i="46"/>
  <c r="AK6" i="46"/>
  <c r="AJ6" i="46"/>
  <c r="AR5" i="46"/>
  <c r="AQ5" i="46"/>
  <c r="AP5" i="46"/>
  <c r="AK5" i="46"/>
  <c r="AJ5" i="46"/>
  <c r="AR4" i="46"/>
  <c r="AQ4" i="46"/>
  <c r="AP4" i="46"/>
  <c r="AK4" i="46"/>
  <c r="AJ4" i="46"/>
  <c r="N2" i="46"/>
  <c r="AB52" i="44"/>
  <c r="AB53" i="44"/>
  <c r="AB51" i="44"/>
  <c r="W27" i="44"/>
  <c r="AB59" i="48" l="1"/>
  <c r="M27" i="47"/>
  <c r="K6" i="47"/>
  <c r="M27" i="48"/>
  <c r="AB59" i="47"/>
  <c r="Z59" i="46"/>
  <c r="M38" i="48"/>
  <c r="I38" i="48"/>
  <c r="K38" i="48" s="1"/>
  <c r="M38" i="47"/>
  <c r="K6" i="48"/>
  <c r="M6" i="48" s="1"/>
  <c r="N39" i="48"/>
  <c r="N39" i="47"/>
  <c r="Z59" i="47"/>
  <c r="Z59" i="48"/>
  <c r="AB59" i="46"/>
  <c r="R27" i="46"/>
  <c r="S12" i="46"/>
  <c r="S27" i="46"/>
  <c r="R6" i="46"/>
  <c r="I38" i="46"/>
  <c r="K38" i="46" s="1"/>
  <c r="S8" i="46"/>
  <c r="R20" i="46"/>
  <c r="M20" i="46" s="1"/>
  <c r="R14" i="46"/>
  <c r="M14" i="46" s="1"/>
  <c r="R27" i="48"/>
  <c r="R8" i="48"/>
  <c r="R11" i="48"/>
  <c r="S12" i="48"/>
  <c r="AX1" i="48"/>
  <c r="R20" i="48"/>
  <c r="M20" i="48" s="1"/>
  <c r="R12" i="48"/>
  <c r="S6" i="48"/>
  <c r="S27" i="48"/>
  <c r="R14" i="48"/>
  <c r="M14" i="48" s="1"/>
  <c r="S8" i="48"/>
  <c r="S7" i="48"/>
  <c r="R6" i="48"/>
  <c r="Z42" i="48"/>
  <c r="S14" i="48"/>
  <c r="S20" i="48"/>
  <c r="R25" i="48"/>
  <c r="M25" i="48" s="1"/>
  <c r="L26" i="48"/>
  <c r="K37" i="48"/>
  <c r="M37" i="48" s="1"/>
  <c r="R9" i="48"/>
  <c r="S11" i="48"/>
  <c r="L13" i="48"/>
  <c r="R23" i="48"/>
  <c r="M23" i="48" s="1"/>
  <c r="L24" i="48"/>
  <c r="S25" i="48"/>
  <c r="M28" i="48"/>
  <c r="R38" i="48"/>
  <c r="AW1" i="48"/>
  <c r="S9" i="48"/>
  <c r="R15" i="48"/>
  <c r="M15" i="48" s="1"/>
  <c r="S23" i="48"/>
  <c r="R7" i="48"/>
  <c r="S15" i="48"/>
  <c r="R17" i="48"/>
  <c r="M17" i="48" s="1"/>
  <c r="N17" i="48" s="1"/>
  <c r="R26" i="48"/>
  <c r="M26" i="48" s="1"/>
  <c r="N26" i="48" s="1"/>
  <c r="R28" i="48"/>
  <c r="R36" i="48"/>
  <c r="R37" i="48"/>
  <c r="R10" i="48"/>
  <c r="R13" i="48"/>
  <c r="M13" i="48" s="1"/>
  <c r="S17" i="48"/>
  <c r="R18" i="48"/>
  <c r="M18" i="48" s="1"/>
  <c r="R24" i="48"/>
  <c r="M24" i="48" s="1"/>
  <c r="N24" i="48" s="1"/>
  <c r="S26" i="48"/>
  <c r="S28" i="48"/>
  <c r="I40" i="48"/>
  <c r="S10" i="48"/>
  <c r="S13" i="48"/>
  <c r="R16" i="48"/>
  <c r="M16" i="48" s="1"/>
  <c r="S18" i="48"/>
  <c r="R19" i="48"/>
  <c r="M19" i="48" s="1"/>
  <c r="S24" i="48"/>
  <c r="L25" i="48"/>
  <c r="R34" i="48"/>
  <c r="R35" i="48"/>
  <c r="S16" i="48"/>
  <c r="S19" i="48"/>
  <c r="L23" i="48"/>
  <c r="R27" i="47"/>
  <c r="L23" i="47"/>
  <c r="S19" i="47"/>
  <c r="S16" i="47"/>
  <c r="R12" i="47"/>
  <c r="R8" i="47"/>
  <c r="S8" i="47"/>
  <c r="R35" i="47"/>
  <c r="R34" i="47"/>
  <c r="L25" i="47"/>
  <c r="S24" i="47"/>
  <c r="R19" i="47"/>
  <c r="M19" i="47" s="1"/>
  <c r="S18" i="47"/>
  <c r="R16" i="47"/>
  <c r="M16" i="47" s="1"/>
  <c r="S13" i="47"/>
  <c r="S10" i="47"/>
  <c r="R10" i="47"/>
  <c r="S7" i="47"/>
  <c r="S27" i="47"/>
  <c r="I40" i="47"/>
  <c r="S28" i="47"/>
  <c r="S26" i="47"/>
  <c r="R24" i="47"/>
  <c r="M24" i="47" s="1"/>
  <c r="N24" i="47" s="1"/>
  <c r="R18" i="47"/>
  <c r="M18" i="47" s="1"/>
  <c r="S17" i="47"/>
  <c r="R13" i="47"/>
  <c r="M13" i="47" s="1"/>
  <c r="R37" i="47"/>
  <c r="R36" i="47"/>
  <c r="R28" i="47"/>
  <c r="R26" i="47"/>
  <c r="M26" i="47" s="1"/>
  <c r="N26" i="47" s="1"/>
  <c r="R17" i="47"/>
  <c r="M17" i="47" s="1"/>
  <c r="N17" i="47" s="1"/>
  <c r="S15" i="47"/>
  <c r="R7" i="47"/>
  <c r="AX1" i="47"/>
  <c r="I38" i="47"/>
  <c r="K38" i="47" s="1"/>
  <c r="S12" i="47"/>
  <c r="S23" i="47"/>
  <c r="R15" i="47"/>
  <c r="M15" i="47" s="1"/>
  <c r="N15" i="47" s="1"/>
  <c r="S9" i="47"/>
  <c r="AW1" i="47"/>
  <c r="R20" i="47"/>
  <c r="M20" i="47" s="1"/>
  <c r="R38" i="47"/>
  <c r="S25" i="47"/>
  <c r="L24" i="47"/>
  <c r="R23" i="47"/>
  <c r="M23" i="47" s="1"/>
  <c r="L13" i="47"/>
  <c r="S11" i="47"/>
  <c r="R9" i="47"/>
  <c r="S6" i="47"/>
  <c r="L26" i="47"/>
  <c r="R25" i="47"/>
  <c r="M25" i="47" s="1"/>
  <c r="N25" i="47" s="1"/>
  <c r="S20" i="47"/>
  <c r="S14" i="47"/>
  <c r="R11" i="47"/>
  <c r="R14" i="47"/>
  <c r="M14" i="47" s="1"/>
  <c r="R6" i="47"/>
  <c r="K37" i="47"/>
  <c r="M28" i="47"/>
  <c r="S6" i="46"/>
  <c r="R11" i="46"/>
  <c r="S14" i="46"/>
  <c r="N14" i="46" s="1"/>
  <c r="S20" i="46"/>
  <c r="R25" i="46"/>
  <c r="M25" i="46" s="1"/>
  <c r="L26" i="46"/>
  <c r="K37" i="46"/>
  <c r="M37" i="46" s="1"/>
  <c r="L13" i="46"/>
  <c r="R23" i="46"/>
  <c r="M23" i="46" s="1"/>
  <c r="L24" i="46"/>
  <c r="S25" i="46"/>
  <c r="M28" i="46"/>
  <c r="R38" i="46"/>
  <c r="R9" i="46"/>
  <c r="AW1" i="46"/>
  <c r="S9" i="46"/>
  <c r="R15" i="46"/>
  <c r="M15" i="46" s="1"/>
  <c r="S23" i="46"/>
  <c r="S11" i="46"/>
  <c r="AX1" i="46"/>
  <c r="R7" i="46"/>
  <c r="S15" i="46"/>
  <c r="R17" i="46"/>
  <c r="M17" i="46" s="1"/>
  <c r="R26" i="46"/>
  <c r="M26" i="46" s="1"/>
  <c r="R28" i="46"/>
  <c r="R36" i="46"/>
  <c r="R37" i="46"/>
  <c r="S7" i="46"/>
  <c r="R10" i="46"/>
  <c r="R13" i="46"/>
  <c r="M13" i="46" s="1"/>
  <c r="S17" i="46"/>
  <c r="R18" i="46"/>
  <c r="M18" i="46" s="1"/>
  <c r="R24" i="46"/>
  <c r="M24" i="46" s="1"/>
  <c r="S26" i="46"/>
  <c r="M27" i="46"/>
  <c r="S28" i="46"/>
  <c r="I40" i="46"/>
  <c r="S10" i="46"/>
  <c r="S13" i="46"/>
  <c r="R16" i="46"/>
  <c r="M16" i="46" s="1"/>
  <c r="S18" i="46"/>
  <c r="R19" i="46"/>
  <c r="M19" i="46" s="1"/>
  <c r="S24" i="46"/>
  <c r="L25" i="46"/>
  <c r="R34" i="46"/>
  <c r="R35" i="46"/>
  <c r="R8" i="46"/>
  <c r="R12" i="46"/>
  <c r="S16" i="46"/>
  <c r="S19" i="46"/>
  <c r="L23" i="46"/>
  <c r="O15" i="45"/>
  <c r="M6" i="47" l="1"/>
  <c r="M30" i="47"/>
  <c r="V11" i="47" s="1"/>
  <c r="M30" i="48"/>
  <c r="V11" i="48" s="1"/>
  <c r="M30" i="46"/>
  <c r="V11" i="46" s="1"/>
  <c r="M40" i="46"/>
  <c r="M38" i="46"/>
  <c r="K40" i="46"/>
  <c r="N6" i="48"/>
  <c r="K40" i="48"/>
  <c r="K40" i="47"/>
  <c r="N13" i="48"/>
  <c r="N13" i="47"/>
  <c r="N15" i="48"/>
  <c r="N14" i="47"/>
  <c r="N14" i="48"/>
  <c r="N16" i="48"/>
  <c r="N23" i="48"/>
  <c r="N16" i="46"/>
  <c r="N24" i="46"/>
  <c r="N23" i="46"/>
  <c r="N25" i="48"/>
  <c r="M37" i="47"/>
  <c r="N17" i="46"/>
  <c r="N23" i="47"/>
  <c r="N30" i="47" s="1"/>
  <c r="N6" i="47"/>
  <c r="N13" i="46"/>
  <c r="N26" i="46"/>
  <c r="N16" i="47"/>
  <c r="N15" i="46"/>
  <c r="N25" i="46"/>
  <c r="Z53" i="44"/>
  <c r="Z52" i="44"/>
  <c r="P24" i="7"/>
  <c r="G66" i="44"/>
  <c r="V22" i="44" s="1"/>
  <c r="G54" i="44"/>
  <c r="N30" i="46" l="1"/>
  <c r="N30" i="48"/>
  <c r="X11" i="48"/>
  <c r="X12" i="48" s="1"/>
  <c r="X11" i="47"/>
  <c r="X12" i="47" s="1"/>
  <c r="X11" i="46"/>
  <c r="X12" i="46" s="1"/>
  <c r="Z11" i="46"/>
  <c r="Z59" i="44"/>
  <c r="K16" i="44"/>
  <c r="K17" i="44"/>
  <c r="K18" i="44"/>
  <c r="K19" i="44"/>
  <c r="K20" i="44"/>
  <c r="Z12" i="47" l="1"/>
  <c r="Z11" i="47"/>
  <c r="Z11" i="48"/>
  <c r="E3" i="2"/>
  <c r="N2" i="44"/>
  <c r="Q21" i="45"/>
  <c r="W46" i="44" s="1"/>
  <c r="AA46" i="44" s="1"/>
  <c r="O21" i="45"/>
  <c r="Q20" i="45"/>
  <c r="V46" i="44" s="1"/>
  <c r="Z46" i="44" s="1"/>
  <c r="O20" i="45"/>
  <c r="A20" i="45"/>
  <c r="Q19" i="45"/>
  <c r="W45" i="44" s="1"/>
  <c r="AA45" i="44" s="1"/>
  <c r="O19" i="45"/>
  <c r="Q18" i="45"/>
  <c r="V45" i="44" s="1"/>
  <c r="Z45" i="44" s="1"/>
  <c r="O18" i="45"/>
  <c r="A18" i="45"/>
  <c r="Q17" i="45"/>
  <c r="W44" i="44" s="1"/>
  <c r="AA44" i="44" s="1"/>
  <c r="O17" i="45"/>
  <c r="Q16" i="45"/>
  <c r="V44" i="44" s="1"/>
  <c r="Z44" i="44" s="1"/>
  <c r="O16" i="45"/>
  <c r="A16" i="45"/>
  <c r="Q15" i="45"/>
  <c r="W43" i="44" s="1"/>
  <c r="AA43" i="44" s="1"/>
  <c r="Q14" i="45"/>
  <c r="V43" i="44" s="1"/>
  <c r="Z43" i="44" s="1"/>
  <c r="O14" i="45"/>
  <c r="A14" i="45"/>
  <c r="O13" i="45"/>
  <c r="Q13" i="45" s="1"/>
  <c r="W42" i="44" s="1"/>
  <c r="O12" i="45"/>
  <c r="Q12" i="45" s="1"/>
  <c r="A12" i="45"/>
  <c r="Q9" i="45"/>
  <c r="I12" i="44" s="1"/>
  <c r="K12" i="44" s="1"/>
  <c r="O9" i="45"/>
  <c r="O8" i="45"/>
  <c r="Q8" i="45" s="1"/>
  <c r="I11" i="44" s="1"/>
  <c r="K11" i="44" s="1"/>
  <c r="Q7" i="45"/>
  <c r="I10" i="44" s="1"/>
  <c r="K10" i="44" s="1"/>
  <c r="O7" i="45"/>
  <c r="O6" i="45"/>
  <c r="Q6" i="45" s="1"/>
  <c r="I9" i="44" s="1"/>
  <c r="K9" i="44" s="1"/>
  <c r="O5" i="45"/>
  <c r="Q5" i="45" s="1"/>
  <c r="I8" i="44" s="1"/>
  <c r="K8" i="44" s="1"/>
  <c r="O4" i="45"/>
  <c r="I6" i="44"/>
  <c r="K6" i="44" s="1"/>
  <c r="AR60" i="44"/>
  <c r="AQ60" i="44"/>
  <c r="AP60" i="44"/>
  <c r="AR59" i="44"/>
  <c r="AQ59" i="44"/>
  <c r="AP59" i="44"/>
  <c r="V71" i="44"/>
  <c r="AR58" i="44"/>
  <c r="AQ58" i="44"/>
  <c r="AP58" i="44"/>
  <c r="AR57" i="44"/>
  <c r="AQ57" i="44"/>
  <c r="AP57" i="44"/>
  <c r="AR56" i="44"/>
  <c r="AQ56" i="44"/>
  <c r="AP56" i="44"/>
  <c r="AR55" i="44"/>
  <c r="AQ55" i="44"/>
  <c r="AP55" i="44"/>
  <c r="AR54" i="44"/>
  <c r="AQ54" i="44"/>
  <c r="AP54" i="44"/>
  <c r="AR53" i="44"/>
  <c r="AQ53" i="44"/>
  <c r="AP53" i="44"/>
  <c r="AR52" i="44"/>
  <c r="AQ52" i="44"/>
  <c r="AP52" i="44"/>
  <c r="AR51" i="44"/>
  <c r="AQ51" i="44"/>
  <c r="AP51" i="44"/>
  <c r="V19" i="44"/>
  <c r="AR50" i="44"/>
  <c r="AQ50" i="44"/>
  <c r="AP50" i="44"/>
  <c r="AR49" i="44"/>
  <c r="AQ49" i="44"/>
  <c r="AP49" i="44"/>
  <c r="AR48" i="44"/>
  <c r="AQ48" i="44"/>
  <c r="AP48" i="44"/>
  <c r="AR47" i="44"/>
  <c r="AQ47" i="44"/>
  <c r="AP47" i="44"/>
  <c r="W59" i="44"/>
  <c r="X59" i="44" s="1"/>
  <c r="AR46" i="44"/>
  <c r="AQ46" i="44"/>
  <c r="AP46" i="44"/>
  <c r="AB58" i="44"/>
  <c r="AR45" i="44"/>
  <c r="AQ45" i="44"/>
  <c r="AP45" i="44"/>
  <c r="AB57" i="44"/>
  <c r="AR44" i="44"/>
  <c r="AQ44" i="44"/>
  <c r="AP44" i="44"/>
  <c r="AR43" i="44"/>
  <c r="AQ43" i="44"/>
  <c r="AP43" i="44"/>
  <c r="AR42" i="44"/>
  <c r="AQ42" i="44"/>
  <c r="AP42" i="44"/>
  <c r="AR41" i="44"/>
  <c r="AQ41" i="44"/>
  <c r="AP41" i="44"/>
  <c r="AR39" i="44"/>
  <c r="AQ39" i="44"/>
  <c r="AP39" i="44"/>
  <c r="AR38" i="44"/>
  <c r="AQ38" i="44"/>
  <c r="AP38" i="44"/>
  <c r="AR37" i="44"/>
  <c r="AQ37" i="44"/>
  <c r="AP37" i="44"/>
  <c r="AR36" i="44"/>
  <c r="AQ36" i="44"/>
  <c r="AP36" i="44"/>
  <c r="AR35" i="44"/>
  <c r="AQ35" i="44"/>
  <c r="AP35" i="44"/>
  <c r="AR34" i="44"/>
  <c r="AQ34" i="44"/>
  <c r="AP34" i="44"/>
  <c r="AR33" i="44"/>
  <c r="AQ33" i="44"/>
  <c r="AP33" i="44"/>
  <c r="AR32" i="44"/>
  <c r="AQ32" i="44"/>
  <c r="AP32" i="44"/>
  <c r="AK31" i="44"/>
  <c r="AJ31" i="44"/>
  <c r="AK30" i="44"/>
  <c r="AJ30" i="44"/>
  <c r="AR31" i="44"/>
  <c r="AQ31" i="44"/>
  <c r="AP31" i="44"/>
  <c r="AK29" i="44"/>
  <c r="AJ29" i="44"/>
  <c r="AR30" i="44"/>
  <c r="AQ30" i="44"/>
  <c r="AP30" i="44"/>
  <c r="AK28" i="44"/>
  <c r="AJ28" i="44"/>
  <c r="AR29" i="44"/>
  <c r="AQ29" i="44"/>
  <c r="AP29" i="44"/>
  <c r="AR28" i="44"/>
  <c r="AQ28" i="44"/>
  <c r="AP28" i="44"/>
  <c r="AK27" i="44"/>
  <c r="AJ27" i="44"/>
  <c r="AR27" i="44"/>
  <c r="AQ27" i="44"/>
  <c r="AP27" i="44"/>
  <c r="AR26" i="44"/>
  <c r="AQ26" i="44"/>
  <c r="AP26" i="44"/>
  <c r="AK26" i="44"/>
  <c r="AJ26" i="44"/>
  <c r="K29" i="44"/>
  <c r="D29" i="44"/>
  <c r="AR25" i="44"/>
  <c r="AQ25" i="44"/>
  <c r="AP25" i="44"/>
  <c r="AK25" i="44"/>
  <c r="AJ25" i="44"/>
  <c r="L28" i="44"/>
  <c r="K28" i="44"/>
  <c r="N28" i="44" s="1"/>
  <c r="AR24" i="44"/>
  <c r="AQ24" i="44"/>
  <c r="AP24" i="44"/>
  <c r="AK24" i="44"/>
  <c r="AJ24" i="44"/>
  <c r="L27" i="44"/>
  <c r="K27" i="44"/>
  <c r="AR23" i="44"/>
  <c r="AQ23" i="44"/>
  <c r="AP23" i="44"/>
  <c r="AK23" i="44"/>
  <c r="AJ23" i="44"/>
  <c r="K26" i="44"/>
  <c r="AR22" i="44"/>
  <c r="AQ22" i="44"/>
  <c r="AP22" i="44"/>
  <c r="AK22" i="44"/>
  <c r="AJ22" i="44"/>
  <c r="K25" i="44"/>
  <c r="AR21" i="44"/>
  <c r="AQ21" i="44"/>
  <c r="AP21" i="44"/>
  <c r="AK21" i="44"/>
  <c r="AJ21" i="44"/>
  <c r="K24" i="44"/>
  <c r="AR20" i="44"/>
  <c r="AQ20" i="44"/>
  <c r="AP20" i="44"/>
  <c r="AK20" i="44"/>
  <c r="AJ20" i="44"/>
  <c r="K23" i="44"/>
  <c r="AR19" i="44"/>
  <c r="AQ19" i="44"/>
  <c r="AP19" i="44"/>
  <c r="AK19" i="44"/>
  <c r="AJ19" i="44"/>
  <c r="AR18" i="44"/>
  <c r="AQ18" i="44"/>
  <c r="AP18" i="44"/>
  <c r="AK18" i="44"/>
  <c r="AJ18" i="44"/>
  <c r="K21" i="44"/>
  <c r="E21" i="44"/>
  <c r="AR17" i="44"/>
  <c r="AQ17" i="44"/>
  <c r="AP17" i="44"/>
  <c r="AK17" i="44"/>
  <c r="AJ17" i="44"/>
  <c r="AR16" i="44"/>
  <c r="AQ16" i="44"/>
  <c r="AP16" i="44"/>
  <c r="AK16" i="44"/>
  <c r="AJ16" i="44"/>
  <c r="AR15" i="44"/>
  <c r="AQ15" i="44"/>
  <c r="AP15" i="44"/>
  <c r="AK15" i="44"/>
  <c r="AJ15" i="44"/>
  <c r="K15" i="44"/>
  <c r="AR14" i="44"/>
  <c r="AQ14" i="44"/>
  <c r="AP14" i="44"/>
  <c r="AK14" i="44"/>
  <c r="AJ14" i="44"/>
  <c r="K14" i="44"/>
  <c r="AR13" i="44"/>
  <c r="AQ13" i="44"/>
  <c r="AP13" i="44"/>
  <c r="AK13" i="44"/>
  <c r="AJ13" i="44"/>
  <c r="K13" i="44"/>
  <c r="AR12" i="44"/>
  <c r="AQ12" i="44"/>
  <c r="AP12" i="44"/>
  <c r="AK12" i="44"/>
  <c r="AJ12" i="44"/>
  <c r="AR11" i="44"/>
  <c r="AQ11" i="44"/>
  <c r="AP11" i="44"/>
  <c r="AK11" i="44"/>
  <c r="AJ11" i="44"/>
  <c r="AR10" i="44"/>
  <c r="AQ10" i="44"/>
  <c r="AP10" i="44"/>
  <c r="AK10" i="44"/>
  <c r="AJ10" i="44"/>
  <c r="AR9" i="44"/>
  <c r="AQ9" i="44"/>
  <c r="AP9" i="44"/>
  <c r="AK9" i="44"/>
  <c r="AJ9" i="44"/>
  <c r="AR8" i="44"/>
  <c r="AQ8" i="44"/>
  <c r="AP8" i="44"/>
  <c r="AK8" i="44"/>
  <c r="AJ8" i="44"/>
  <c r="AR7" i="44"/>
  <c r="AQ7" i="44"/>
  <c r="AP7" i="44"/>
  <c r="AK7" i="44"/>
  <c r="AJ7" i="44"/>
  <c r="AR6" i="44"/>
  <c r="AQ6" i="44"/>
  <c r="AP6" i="44"/>
  <c r="AK6" i="44"/>
  <c r="AJ6" i="44"/>
  <c r="AR5" i="44"/>
  <c r="AQ5" i="44"/>
  <c r="AP5" i="44"/>
  <c r="AK5" i="44"/>
  <c r="AJ5" i="44"/>
  <c r="AR4" i="44"/>
  <c r="AQ4" i="44"/>
  <c r="AP4" i="44"/>
  <c r="AK4" i="44"/>
  <c r="AJ4" i="44"/>
  <c r="Q4" i="45" l="1"/>
  <c r="I7" i="44" s="1"/>
  <c r="K7" i="44" s="1"/>
  <c r="R39" i="44"/>
  <c r="R34" i="44"/>
  <c r="I40" i="44"/>
  <c r="M38" i="44"/>
  <c r="I36" i="44"/>
  <c r="K36" i="44" s="1"/>
  <c r="Z42" i="44"/>
  <c r="Z47" i="44" s="1"/>
  <c r="N34" i="44" s="1"/>
  <c r="N33" i="44" s="1"/>
  <c r="V47" i="44"/>
  <c r="AA42" i="44"/>
  <c r="AA47" i="44" s="1"/>
  <c r="N35" i="44" s="1"/>
  <c r="W47" i="44"/>
  <c r="I35" i="44" s="1"/>
  <c r="K35" i="44" s="1"/>
  <c r="L25" i="44"/>
  <c r="L26" i="44"/>
  <c r="I37" i="44"/>
  <c r="N37" i="44" s="1"/>
  <c r="L17" i="44"/>
  <c r="L16" i="44"/>
  <c r="L15" i="44"/>
  <c r="R18" i="44"/>
  <c r="M18" i="44" s="1"/>
  <c r="R8" i="44"/>
  <c r="M8" i="44" s="1"/>
  <c r="S20" i="44"/>
  <c r="R20" i="44"/>
  <c r="M20" i="44" s="1"/>
  <c r="S19" i="44"/>
  <c r="R19" i="44"/>
  <c r="M19" i="44" s="1"/>
  <c r="S18" i="44"/>
  <c r="L13" i="44"/>
  <c r="R16" i="44"/>
  <c r="M16" i="44" s="1"/>
  <c r="S16" i="44"/>
  <c r="R17" i="44"/>
  <c r="M17" i="44" s="1"/>
  <c r="S17" i="44"/>
  <c r="L24" i="44"/>
  <c r="L14" i="44"/>
  <c r="L23" i="44"/>
  <c r="AB59" i="44"/>
  <c r="K39" i="44"/>
  <c r="M39" i="44" s="1"/>
  <c r="M27" i="44"/>
  <c r="N27" i="44"/>
  <c r="AX1" i="44"/>
  <c r="R6" i="44"/>
  <c r="M6" i="44" s="1"/>
  <c r="S8" i="44"/>
  <c r="R13" i="44"/>
  <c r="M13" i="44" s="1"/>
  <c r="R24" i="44"/>
  <c r="M24" i="44" s="1"/>
  <c r="R26" i="44"/>
  <c r="M26" i="44" s="1"/>
  <c r="R11" i="44"/>
  <c r="M11" i="44" s="1"/>
  <c r="S13" i="44"/>
  <c r="S24" i="44"/>
  <c r="S26" i="44"/>
  <c r="R36" i="44"/>
  <c r="S6" i="44"/>
  <c r="R9" i="44"/>
  <c r="M9" i="44" s="1"/>
  <c r="S11" i="44"/>
  <c r="M28" i="44"/>
  <c r="R38" i="44"/>
  <c r="S9" i="44"/>
  <c r="R14" i="44"/>
  <c r="M14" i="44" s="1"/>
  <c r="R27" i="44"/>
  <c r="R35" i="44"/>
  <c r="I38" i="44"/>
  <c r="K38" i="44" s="1"/>
  <c r="R7" i="44"/>
  <c r="R12" i="44"/>
  <c r="M12" i="44" s="1"/>
  <c r="S14" i="44"/>
  <c r="S27" i="44"/>
  <c r="AW1" i="44"/>
  <c r="S7" i="44"/>
  <c r="S12" i="44"/>
  <c r="R23" i="44"/>
  <c r="M23" i="44" s="1"/>
  <c r="R25" i="44"/>
  <c r="M25" i="44" s="1"/>
  <c r="R10" i="44"/>
  <c r="M10" i="44" s="1"/>
  <c r="R15" i="44"/>
  <c r="M15" i="44" s="1"/>
  <c r="S23" i="44"/>
  <c r="S25" i="44"/>
  <c r="R28" i="44"/>
  <c r="R37" i="44"/>
  <c r="S10" i="44"/>
  <c r="S15" i="44"/>
  <c r="S28" i="44"/>
  <c r="M30" i="44" l="1"/>
  <c r="V11" i="44" s="1"/>
  <c r="N42" i="44"/>
  <c r="M7" i="44"/>
  <c r="M22" i="44" s="1"/>
  <c r="I34" i="44"/>
  <c r="I33" i="44" s="1"/>
  <c r="I42" i="44" s="1"/>
  <c r="X47" i="44"/>
  <c r="M35" i="44"/>
  <c r="I41" i="44"/>
  <c r="N12" i="44"/>
  <c r="N6" i="44"/>
  <c r="K40" i="44"/>
  <c r="M40" i="44" s="1"/>
  <c r="N11" i="44"/>
  <c r="N13" i="44"/>
  <c r="N9" i="44"/>
  <c r="N25" i="44"/>
  <c r="N15" i="44"/>
  <c r="N10" i="44"/>
  <c r="N26" i="44"/>
  <c r="N16" i="44"/>
  <c r="N8" i="44"/>
  <c r="N17" i="44"/>
  <c r="N14" i="44"/>
  <c r="K37" i="44"/>
  <c r="M37" i="44" s="1"/>
  <c r="N23" i="44"/>
  <c r="N24" i="44"/>
  <c r="N30" i="44" l="1"/>
  <c r="N7" i="44"/>
  <c r="K34" i="44"/>
  <c r="M34" i="44" s="1"/>
  <c r="M33" i="44" s="1"/>
  <c r="M36" i="44" s="1"/>
  <c r="V10" i="44"/>
  <c r="V12" i="44" s="1"/>
  <c r="K41" i="44"/>
  <c r="K33" i="44"/>
  <c r="K42" i="44" s="1"/>
  <c r="X11" i="44"/>
  <c r="X12" i="44" s="1"/>
  <c r="M41" i="44" l="1"/>
  <c r="M42" i="44"/>
  <c r="X16" i="44"/>
  <c r="Z12" i="44"/>
  <c r="Z11" i="44"/>
  <c r="V16" i="44" l="1"/>
  <c r="Z16" i="44" s="1"/>
  <c r="P34" i="23"/>
  <c r="P30" i="23"/>
  <c r="P26" i="23"/>
  <c r="P23" i="23"/>
  <c r="P22" i="23"/>
  <c r="C26" i="23"/>
  <c r="C23" i="23"/>
  <c r="C22" i="23"/>
  <c r="A26" i="7"/>
  <c r="A24" i="7"/>
  <c r="N35" i="23"/>
  <c r="I35" i="23"/>
  <c r="N31" i="23"/>
  <c r="I31" i="23"/>
  <c r="N27" i="23"/>
  <c r="I27" i="23"/>
  <c r="N26" i="7"/>
  <c r="I26" i="7"/>
  <c r="P25" i="7"/>
  <c r="C30" i="23" l="1"/>
  <c r="G20" i="22"/>
  <c r="AA81" i="31"/>
  <c r="AB81" i="31" s="1"/>
  <c r="AC81" i="31" s="1"/>
  <c r="AA80" i="31"/>
  <c r="AB80" i="31" s="1"/>
  <c r="AC80" i="31" s="1"/>
  <c r="AA79" i="31"/>
  <c r="AB79" i="31" s="1"/>
  <c r="AC79" i="31" s="1"/>
  <c r="AA78" i="31"/>
  <c r="AB78" i="31" s="1"/>
  <c r="AC78" i="31" s="1"/>
  <c r="AA77" i="31"/>
  <c r="AB77" i="31" s="1"/>
  <c r="AC77" i="31" s="1"/>
  <c r="AA76" i="31"/>
  <c r="AB76" i="31" s="1"/>
  <c r="AC76" i="31" s="1"/>
  <c r="AA75" i="31"/>
  <c r="AB75" i="31" s="1"/>
  <c r="AC75" i="31" s="1"/>
  <c r="AA74" i="31"/>
  <c r="AB74" i="31" s="1"/>
  <c r="AC74" i="31" s="1"/>
  <c r="AA73" i="31"/>
  <c r="AB73" i="31" s="1"/>
  <c r="AC73" i="31" s="1"/>
  <c r="AA72" i="31"/>
  <c r="AB72" i="31" s="1"/>
  <c r="AC72" i="31" s="1"/>
  <c r="AA71" i="31"/>
  <c r="AB71" i="31" s="1"/>
  <c r="AC71" i="31" s="1"/>
  <c r="AA70" i="31"/>
  <c r="AB70" i="31" s="1"/>
  <c r="AC70" i="31" s="1"/>
  <c r="AA69" i="31"/>
  <c r="AB69" i="31" s="1"/>
  <c r="AC69" i="31" s="1"/>
  <c r="AA68" i="31"/>
  <c r="AB68" i="31" s="1"/>
  <c r="AC68" i="31" s="1"/>
  <c r="AA67" i="31"/>
  <c r="AB67" i="31" s="1"/>
  <c r="AC67" i="31" s="1"/>
  <c r="AA66" i="31"/>
  <c r="AB66" i="31" s="1"/>
  <c r="AA65" i="31"/>
  <c r="AB65" i="31" s="1"/>
  <c r="AA64" i="31"/>
  <c r="AB64" i="31" s="1"/>
  <c r="AA63" i="31"/>
  <c r="AB63" i="31" s="1"/>
  <c r="AA62" i="31"/>
  <c r="AB62" i="31" s="1"/>
  <c r="AA61" i="31"/>
  <c r="AB61" i="31" s="1"/>
  <c r="AC61" i="31" s="1"/>
  <c r="AA60" i="31"/>
  <c r="AB60" i="31" s="1"/>
  <c r="AC60" i="31" s="1"/>
  <c r="AA59" i="31"/>
  <c r="AB59" i="31" s="1"/>
  <c r="AC59" i="31" s="1"/>
  <c r="AA58" i="31"/>
  <c r="AB58" i="31" s="1"/>
  <c r="AC58" i="31" s="1"/>
  <c r="AA57" i="31"/>
  <c r="AB57" i="31" s="1"/>
  <c r="AC57" i="31" s="1"/>
  <c r="AA56" i="31"/>
  <c r="AB56" i="31" s="1"/>
  <c r="AC56" i="31" s="1"/>
  <c r="AA55" i="31"/>
  <c r="AB55" i="31" s="1"/>
  <c r="AC55" i="31" s="1"/>
  <c r="AA54" i="31"/>
  <c r="AB54" i="31" s="1"/>
  <c r="AC54" i="31" s="1"/>
  <c r="AB53" i="31"/>
  <c r="AC53" i="31" s="1"/>
  <c r="AA53" i="31"/>
  <c r="AA52" i="31"/>
  <c r="AB52" i="31" s="1"/>
  <c r="AC52" i="31" s="1"/>
  <c r="AA51" i="31"/>
  <c r="AB51" i="31" s="1"/>
  <c r="AC51" i="31" s="1"/>
  <c r="AA50" i="31"/>
  <c r="AB50" i="31" s="1"/>
  <c r="AC50" i="31" s="1"/>
  <c r="AA49" i="31"/>
  <c r="AB49" i="31" s="1"/>
  <c r="AC49" i="31" s="1"/>
  <c r="AA48" i="31"/>
  <c r="AB48" i="31" s="1"/>
  <c r="AC48" i="31" s="1"/>
  <c r="AA47" i="31"/>
  <c r="AB47" i="31" s="1"/>
  <c r="AC47" i="31" s="1"/>
  <c r="AA46" i="31"/>
  <c r="AB46" i="31" s="1"/>
  <c r="AC46" i="31" s="1"/>
  <c r="AA45" i="31"/>
  <c r="AB45" i="31" s="1"/>
  <c r="AC45" i="31" s="1"/>
  <c r="AA44" i="31"/>
  <c r="AB44" i="31" s="1"/>
  <c r="AC44" i="31" s="1"/>
  <c r="AA43" i="31"/>
  <c r="AB43" i="31" s="1"/>
  <c r="AA42" i="31"/>
  <c r="AB42" i="31" s="1"/>
  <c r="BD41" i="31"/>
  <c r="BA41" i="31"/>
  <c r="BE41" i="31" s="1"/>
  <c r="AA41" i="31"/>
  <c r="AB41" i="31" s="1"/>
  <c r="AC41" i="31" s="1"/>
  <c r="BD40" i="31"/>
  <c r="BA40" i="31"/>
  <c r="BE40" i="31" s="1"/>
  <c r="AA40" i="31"/>
  <c r="AB40" i="31" s="1"/>
  <c r="AC40" i="31" s="1"/>
  <c r="BD39" i="31"/>
  <c r="BA39" i="31"/>
  <c r="BE39" i="31" s="1"/>
  <c r="AA39" i="31"/>
  <c r="AB39" i="31" s="1"/>
  <c r="AC39" i="31" s="1"/>
  <c r="BD38" i="31"/>
  <c r="BA38" i="31"/>
  <c r="BE38" i="31" s="1"/>
  <c r="AA38" i="31"/>
  <c r="AB38" i="31" s="1"/>
  <c r="AC38" i="31" s="1"/>
  <c r="BD37" i="31"/>
  <c r="BA37" i="31"/>
  <c r="BE37" i="31" s="1"/>
  <c r="AA37" i="31"/>
  <c r="AB37" i="31" s="1"/>
  <c r="AC37" i="31" s="1"/>
  <c r="BD36" i="31"/>
  <c r="BA36" i="31"/>
  <c r="BE36" i="31" s="1"/>
  <c r="AA36" i="31"/>
  <c r="AB36" i="31" s="1"/>
  <c r="AC36" i="31" s="1"/>
  <c r="BD35" i="31"/>
  <c r="BA35" i="31"/>
  <c r="BE35" i="31" s="1"/>
  <c r="AA35" i="31"/>
  <c r="AB35" i="31" s="1"/>
  <c r="AC35" i="31" s="1"/>
  <c r="BD34" i="31"/>
  <c r="BA34" i="31"/>
  <c r="BE34" i="31" s="1"/>
  <c r="AA34" i="31"/>
  <c r="AB34" i="31" s="1"/>
  <c r="AC34" i="31" s="1"/>
  <c r="BD33" i="31"/>
  <c r="BA33" i="31"/>
  <c r="BE33" i="31" s="1"/>
  <c r="AA33" i="31"/>
  <c r="AB33" i="31" s="1"/>
  <c r="AC33" i="31" s="1"/>
  <c r="BD32" i="31"/>
  <c r="BA32" i="31"/>
  <c r="BE32" i="31" s="1"/>
  <c r="AA32" i="31"/>
  <c r="AB32" i="31" s="1"/>
  <c r="AC32" i="31" s="1"/>
  <c r="BD31" i="31"/>
  <c r="BA31" i="31"/>
  <c r="BE31" i="31" s="1"/>
  <c r="AA31" i="31"/>
  <c r="AB31" i="31" s="1"/>
  <c r="AC31" i="31" s="1"/>
  <c r="BD30" i="31"/>
  <c r="BA30" i="31"/>
  <c r="BE30" i="31" s="1"/>
  <c r="AA30" i="31"/>
  <c r="AB30" i="31" s="1"/>
  <c r="AC30" i="31" s="1"/>
  <c r="BD29" i="31"/>
  <c r="BA29" i="31"/>
  <c r="BE29" i="31" s="1"/>
  <c r="AA29" i="31"/>
  <c r="AB29" i="31" s="1"/>
  <c r="AC29" i="31" s="1"/>
  <c r="BD28" i="31"/>
  <c r="BA28" i="31"/>
  <c r="BE28" i="31" s="1"/>
  <c r="AA28" i="31"/>
  <c r="AB28" i="31" s="1"/>
  <c r="AC28" i="31" s="1"/>
  <c r="BD27" i="31"/>
  <c r="BA27" i="31"/>
  <c r="BE27" i="31" s="1"/>
  <c r="AA27" i="31"/>
  <c r="AB27" i="31" s="1"/>
  <c r="AC27" i="31" s="1"/>
  <c r="BD26" i="31"/>
  <c r="BA26" i="31"/>
  <c r="BE26" i="31" s="1"/>
  <c r="AA26" i="31"/>
  <c r="AB26" i="31" s="1"/>
  <c r="AC26" i="31" s="1"/>
  <c r="BD25" i="31"/>
  <c r="BA25" i="31"/>
  <c r="BB25" i="31" s="1"/>
  <c r="BC25" i="31" s="1"/>
  <c r="AA25" i="31"/>
  <c r="AB25" i="31" s="1"/>
  <c r="AC25" i="31" s="1"/>
  <c r="BD24" i="31"/>
  <c r="BA24" i="31"/>
  <c r="BE24" i="31" s="1"/>
  <c r="AA24" i="31"/>
  <c r="AB24" i="31" s="1"/>
  <c r="BD23" i="31"/>
  <c r="BA23" i="31"/>
  <c r="BB23" i="31" s="1"/>
  <c r="BC23" i="31" s="1"/>
  <c r="AA23" i="31"/>
  <c r="AB23" i="31" s="1"/>
  <c r="BD22" i="31"/>
  <c r="BA22" i="31"/>
  <c r="BE22" i="31" s="1"/>
  <c r="AA22" i="31"/>
  <c r="BD21" i="31"/>
  <c r="BA21" i="31"/>
  <c r="BB21" i="31" s="1"/>
  <c r="BC21" i="31" s="1"/>
  <c r="AA21" i="31"/>
  <c r="AB21" i="31" s="1"/>
  <c r="AC21" i="31" s="1"/>
  <c r="BD20" i="31"/>
  <c r="BA20" i="31"/>
  <c r="BE20" i="31" s="1"/>
  <c r="AA20" i="31"/>
  <c r="AB20" i="31" s="1"/>
  <c r="AC20" i="31" s="1"/>
  <c r="BD19" i="31"/>
  <c r="BA19" i="31"/>
  <c r="BB19" i="31" s="1"/>
  <c r="BC19" i="31" s="1"/>
  <c r="AA19" i="31"/>
  <c r="AB19" i="31" s="1"/>
  <c r="AC19" i="31" s="1"/>
  <c r="BD18" i="31"/>
  <c r="BA18" i="31"/>
  <c r="BE18" i="31" s="1"/>
  <c r="AA18" i="31"/>
  <c r="AB18" i="31" s="1"/>
  <c r="AC18" i="31" s="1"/>
  <c r="BD17" i="31"/>
  <c r="BA17" i="31"/>
  <c r="BB17" i="31" s="1"/>
  <c r="BC17" i="31" s="1"/>
  <c r="AA17" i="31"/>
  <c r="AB17" i="31" s="1"/>
  <c r="AC17" i="31" s="1"/>
  <c r="BD16" i="31"/>
  <c r="BA16" i="31"/>
  <c r="BE16" i="31" s="1"/>
  <c r="AA16" i="31"/>
  <c r="AB16" i="31" s="1"/>
  <c r="AC16" i="31" s="1"/>
  <c r="BD15" i="31"/>
  <c r="BA15" i="31"/>
  <c r="BB15" i="31" s="1"/>
  <c r="BC15" i="31" s="1"/>
  <c r="AA15" i="31"/>
  <c r="AB15" i="31" s="1"/>
  <c r="BD14" i="31"/>
  <c r="BA14" i="31"/>
  <c r="BB14" i="31" s="1"/>
  <c r="BC14" i="31" s="1"/>
  <c r="AA14" i="31"/>
  <c r="AB14" i="31" s="1"/>
  <c r="BD13" i="31"/>
  <c r="BA13" i="31"/>
  <c r="BE13" i="31" s="1"/>
  <c r="AA13" i="31"/>
  <c r="AB13" i="31" s="1"/>
  <c r="BD12" i="31"/>
  <c r="BA12" i="31"/>
  <c r="BE12" i="31" s="1"/>
  <c r="AA12" i="31"/>
  <c r="AB12" i="31" s="1"/>
  <c r="CD11" i="31"/>
  <c r="BD11" i="31"/>
  <c r="BA11" i="31"/>
  <c r="BB11" i="31" s="1"/>
  <c r="BC11" i="31" s="1"/>
  <c r="AA11" i="31"/>
  <c r="AB11" i="31" s="1"/>
  <c r="CD10" i="31"/>
  <c r="BD10" i="31"/>
  <c r="BA10" i="31"/>
  <c r="BB10" i="31" s="1"/>
  <c r="BC10" i="31" s="1"/>
  <c r="AA10" i="31"/>
  <c r="AB10" i="31" s="1"/>
  <c r="CD9" i="31"/>
  <c r="BD9" i="31"/>
  <c r="BA9" i="31"/>
  <c r="BE9" i="31" s="1"/>
  <c r="AA9" i="31"/>
  <c r="AB9" i="31" s="1"/>
  <c r="CD8" i="31"/>
  <c r="BD8" i="31"/>
  <c r="BA8" i="31"/>
  <c r="AA8" i="31"/>
  <c r="AB8" i="31" s="1"/>
  <c r="CD7" i="31"/>
  <c r="BD7" i="31"/>
  <c r="BA7" i="31"/>
  <c r="BE7" i="31" s="1"/>
  <c r="AA7" i="31"/>
  <c r="AB7" i="31" s="1"/>
  <c r="CD6" i="31"/>
  <c r="BD6" i="31"/>
  <c r="BA6" i="31"/>
  <c r="BE6" i="31" s="1"/>
  <c r="AA6" i="31"/>
  <c r="AB6" i="31" s="1"/>
  <c r="CD5" i="31"/>
  <c r="BD5" i="31"/>
  <c r="BA5" i="31"/>
  <c r="BE5" i="31" s="1"/>
  <c r="AA5" i="31"/>
  <c r="AB5" i="31" s="1"/>
  <c r="CD4" i="31"/>
  <c r="BD4" i="31"/>
  <c r="BA4" i="31"/>
  <c r="BE4" i="31" s="1"/>
  <c r="AA4" i="31"/>
  <c r="AB4" i="31" s="1"/>
  <c r="CD3" i="31"/>
  <c r="BD3" i="31"/>
  <c r="BA3" i="31"/>
  <c r="BB3" i="31" s="1"/>
  <c r="AA3" i="31"/>
  <c r="AB3" i="31" s="1"/>
  <c r="CD2" i="31"/>
  <c r="BD2" i="31"/>
  <c r="BA2" i="31"/>
  <c r="AA2" i="31"/>
  <c r="I13" i="6"/>
  <c r="I11" i="6"/>
  <c r="I9" i="6"/>
  <c r="P52" i="22"/>
  <c r="P51" i="22"/>
  <c r="P50" i="22"/>
  <c r="P49" i="22"/>
  <c r="P48" i="22"/>
  <c r="P46" i="22"/>
  <c r="P45" i="22"/>
  <c r="P44" i="22"/>
  <c r="P43" i="22"/>
  <c r="P42" i="22"/>
  <c r="K37" i="22"/>
  <c r="K36" i="22"/>
  <c r="G17" i="22"/>
  <c r="G16" i="22"/>
  <c r="E8" i="22"/>
  <c r="E7" i="22"/>
  <c r="E6" i="22"/>
  <c r="N3" i="22"/>
  <c r="H30" i="21"/>
  <c r="H29" i="21"/>
  <c r="H28" i="21"/>
  <c r="H27" i="21"/>
  <c r="H26" i="21"/>
  <c r="H25" i="21"/>
  <c r="H24" i="21"/>
  <c r="D22" i="21"/>
  <c r="E13" i="22" s="1"/>
  <c r="D21" i="21"/>
  <c r="E12" i="22" s="1"/>
  <c r="D20" i="21"/>
  <c r="E11" i="22" s="1"/>
  <c r="D19" i="21"/>
  <c r="E10" i="22" s="1"/>
  <c r="D17" i="21"/>
  <c r="D16" i="21"/>
  <c r="J10" i="21"/>
  <c r="J9" i="21"/>
  <c r="D15" i="21" s="1"/>
  <c r="J8" i="21"/>
  <c r="P5" i="21"/>
  <c r="N5" i="21"/>
  <c r="L5" i="21"/>
  <c r="W46" i="48"/>
  <c r="AA46" i="48" s="1"/>
  <c r="V46" i="48"/>
  <c r="Z46" i="48" s="1"/>
  <c r="W45" i="48"/>
  <c r="AA45" i="48" s="1"/>
  <c r="V45" i="48"/>
  <c r="Z45" i="48" s="1"/>
  <c r="W44" i="48"/>
  <c r="AA44" i="48" s="1"/>
  <c r="V44" i="48"/>
  <c r="Z44" i="48" s="1"/>
  <c r="W43" i="48"/>
  <c r="AA43" i="48" s="1"/>
  <c r="V43" i="48"/>
  <c r="W42" i="48"/>
  <c r="W46" i="47"/>
  <c r="AA46" i="47" s="1"/>
  <c r="V46" i="47"/>
  <c r="Z46" i="47" s="1"/>
  <c r="W45" i="47"/>
  <c r="AA45" i="47" s="1"/>
  <c r="K12" i="47"/>
  <c r="K11" i="47"/>
  <c r="K10" i="47"/>
  <c r="K9" i="47"/>
  <c r="K8" i="47"/>
  <c r="K7" i="47"/>
  <c r="M7" i="47" s="1"/>
  <c r="W46" i="46"/>
  <c r="AA46" i="46" s="1"/>
  <c r="V46" i="46"/>
  <c r="Z46" i="46" s="1"/>
  <c r="W45" i="46"/>
  <c r="AA45" i="46" s="1"/>
  <c r="V45" i="46"/>
  <c r="Z45" i="46" s="1"/>
  <c r="W44" i="46"/>
  <c r="AA44" i="46" s="1"/>
  <c r="V44" i="46"/>
  <c r="Z44" i="46" s="1"/>
  <c r="W43" i="46"/>
  <c r="AA43" i="46" s="1"/>
  <c r="V43" i="46"/>
  <c r="Z43" i="46" s="1"/>
  <c r="W42" i="46"/>
  <c r="V42" i="46"/>
  <c r="Z42" i="46" s="1"/>
  <c r="I12" i="46"/>
  <c r="K12" i="46" s="1"/>
  <c r="M12" i="46" s="1"/>
  <c r="I11" i="46"/>
  <c r="K11" i="46" s="1"/>
  <c r="I10" i="46"/>
  <c r="K10" i="46" s="1"/>
  <c r="I9" i="46"/>
  <c r="K9" i="46" s="1"/>
  <c r="I8" i="46"/>
  <c r="K8" i="46" s="1"/>
  <c r="M8" i="46" s="1"/>
  <c r="N8" i="46" s="1"/>
  <c r="I7" i="46"/>
  <c r="K7" i="46" s="1"/>
  <c r="I6" i="46"/>
  <c r="K6" i="46" s="1"/>
  <c r="L71" i="42"/>
  <c r="L70" i="42"/>
  <c r="L73" i="42" s="1"/>
  <c r="L47" i="42"/>
  <c r="L46" i="42"/>
  <c r="L45" i="42"/>
  <c r="D39" i="42"/>
  <c r="D38" i="42"/>
  <c r="K35" i="22" s="1"/>
  <c r="G35" i="42"/>
  <c r="E35" i="42"/>
  <c r="G34" i="42"/>
  <c r="E34" i="42"/>
  <c r="G33" i="42"/>
  <c r="E33" i="42"/>
  <c r="G32" i="42"/>
  <c r="E32" i="42"/>
  <c r="G31" i="42"/>
  <c r="E31" i="42"/>
  <c r="G30" i="42"/>
  <c r="E30" i="42"/>
  <c r="G29" i="42"/>
  <c r="E29" i="42"/>
  <c r="G28" i="42"/>
  <c r="E28" i="42"/>
  <c r="G27" i="42"/>
  <c r="E27" i="42"/>
  <c r="G26" i="42"/>
  <c r="E26" i="42"/>
  <c r="G25" i="42"/>
  <c r="E25" i="42"/>
  <c r="G24" i="42"/>
  <c r="E24" i="42"/>
  <c r="G23" i="42"/>
  <c r="E23" i="42"/>
  <c r="G22" i="42"/>
  <c r="E22" i="42"/>
  <c r="G21" i="42"/>
  <c r="E21" i="42"/>
  <c r="G20" i="42"/>
  <c r="E20" i="42"/>
  <c r="G19" i="42"/>
  <c r="E19" i="42"/>
  <c r="G18" i="42"/>
  <c r="E18" i="42"/>
  <c r="G17" i="42"/>
  <c r="E17" i="42"/>
  <c r="G16" i="42"/>
  <c r="E16" i="42"/>
  <c r="G15" i="42"/>
  <c r="E15" i="42"/>
  <c r="G14" i="42"/>
  <c r="E14" i="42"/>
  <c r="G13" i="42"/>
  <c r="E13" i="42"/>
  <c r="G12" i="42"/>
  <c r="E12" i="42"/>
  <c r="G11" i="42"/>
  <c r="E11" i="42"/>
  <c r="G10" i="42"/>
  <c r="E10" i="42"/>
  <c r="G9" i="42"/>
  <c r="E9" i="42"/>
  <c r="G8" i="42"/>
  <c r="E8" i="42"/>
  <c r="L7" i="42"/>
  <c r="G7" i="42"/>
  <c r="E7" i="42"/>
  <c r="L6" i="42"/>
  <c r="G6" i="42"/>
  <c r="E6" i="42"/>
  <c r="J2" i="42"/>
  <c r="D38" i="41"/>
  <c r="F35" i="41"/>
  <c r="E35" i="41"/>
  <c r="F34" i="41"/>
  <c r="F34" i="42" s="1"/>
  <c r="E34" i="41"/>
  <c r="F33" i="41"/>
  <c r="E33" i="41"/>
  <c r="F32" i="41"/>
  <c r="F32" i="42" s="1"/>
  <c r="E32" i="41"/>
  <c r="F31" i="41"/>
  <c r="E31" i="41"/>
  <c r="F30" i="41"/>
  <c r="F30" i="42" s="1"/>
  <c r="E30" i="41"/>
  <c r="F29" i="41"/>
  <c r="E29" i="41"/>
  <c r="F28" i="41"/>
  <c r="E28" i="41"/>
  <c r="F27" i="41"/>
  <c r="F27" i="42" s="1"/>
  <c r="E27" i="41"/>
  <c r="F26" i="41"/>
  <c r="F26" i="42" s="1"/>
  <c r="E26" i="41"/>
  <c r="F25" i="41"/>
  <c r="F25" i="42" s="1"/>
  <c r="E25" i="41"/>
  <c r="F24" i="41"/>
  <c r="F24" i="42" s="1"/>
  <c r="E24" i="41"/>
  <c r="F23" i="41"/>
  <c r="F23" i="42" s="1"/>
  <c r="E23" i="41"/>
  <c r="F22" i="41"/>
  <c r="F22" i="42" s="1"/>
  <c r="E22" i="41"/>
  <c r="F21" i="41"/>
  <c r="F21" i="42" s="1"/>
  <c r="E21" i="41"/>
  <c r="F20" i="41"/>
  <c r="F20" i="42" s="1"/>
  <c r="E20" i="41"/>
  <c r="F19" i="41"/>
  <c r="F19" i="42" s="1"/>
  <c r="E19" i="41"/>
  <c r="F18" i="41"/>
  <c r="F18" i="42" s="1"/>
  <c r="E18" i="41"/>
  <c r="F17" i="41"/>
  <c r="E17" i="41"/>
  <c r="F16" i="41"/>
  <c r="F16" i="42" s="1"/>
  <c r="E16" i="41"/>
  <c r="F15" i="41"/>
  <c r="F15" i="42" s="1"/>
  <c r="E15" i="41"/>
  <c r="F14" i="41"/>
  <c r="F14" i="42" s="1"/>
  <c r="E14" i="41"/>
  <c r="F13" i="41"/>
  <c r="F13" i="42" s="1"/>
  <c r="E13" i="41"/>
  <c r="F12" i="41"/>
  <c r="F12" i="42" s="1"/>
  <c r="E12" i="41"/>
  <c r="F11" i="41"/>
  <c r="F11" i="42" s="1"/>
  <c r="E11" i="41"/>
  <c r="F10" i="41"/>
  <c r="E10" i="41"/>
  <c r="F9" i="41"/>
  <c r="F9" i="42" s="1"/>
  <c r="E9" i="41"/>
  <c r="F8" i="41"/>
  <c r="F8" i="42" s="1"/>
  <c r="E8" i="41"/>
  <c r="F7" i="41"/>
  <c r="F7" i="42" s="1"/>
  <c r="E7" i="41"/>
  <c r="F6" i="41"/>
  <c r="F6" i="42" s="1"/>
  <c r="E6" i="41"/>
  <c r="E35" i="40"/>
  <c r="E34" i="40"/>
  <c r="E33" i="40"/>
  <c r="E32" i="40"/>
  <c r="E31" i="40"/>
  <c r="E30" i="40"/>
  <c r="E29" i="40"/>
  <c r="E28" i="40"/>
  <c r="E27" i="40"/>
  <c r="E26" i="40"/>
  <c r="E25" i="40"/>
  <c r="E24" i="40"/>
  <c r="E23" i="40"/>
  <c r="E22" i="40"/>
  <c r="E21" i="40"/>
  <c r="E20" i="40"/>
  <c r="E19" i="40"/>
  <c r="E18" i="40"/>
  <c r="E17" i="40"/>
  <c r="E16" i="40"/>
  <c r="E15" i="40"/>
  <c r="E14" i="40"/>
  <c r="E13" i="40"/>
  <c r="E12" i="40"/>
  <c r="E11" i="40"/>
  <c r="E10" i="40"/>
  <c r="E9" i="40"/>
  <c r="E8" i="40"/>
  <c r="E7" i="40"/>
  <c r="E6" i="40"/>
  <c r="P17" i="22"/>
  <c r="K17" i="22"/>
  <c r="E8" i="23"/>
  <c r="E7" i="23"/>
  <c r="E6" i="23"/>
  <c r="M3" i="23"/>
  <c r="I35" i="18"/>
  <c r="P35" i="18" s="1"/>
  <c r="E35" i="18"/>
  <c r="I34" i="18"/>
  <c r="P34" i="18" s="1"/>
  <c r="E34" i="18"/>
  <c r="I33" i="18"/>
  <c r="P33" i="18" s="1"/>
  <c r="E33" i="18"/>
  <c r="I32" i="18"/>
  <c r="P32" i="18" s="1"/>
  <c r="E32" i="18"/>
  <c r="I31" i="18"/>
  <c r="P31" i="18" s="1"/>
  <c r="E31" i="18"/>
  <c r="E29" i="18"/>
  <c r="P29" i="18" s="1"/>
  <c r="E28" i="18"/>
  <c r="P28" i="18" s="1"/>
  <c r="E27" i="18"/>
  <c r="P27" i="18" s="1"/>
  <c r="E26" i="18"/>
  <c r="P26" i="18" s="1"/>
  <c r="E25" i="18"/>
  <c r="P25" i="18" s="1"/>
  <c r="G17" i="18"/>
  <c r="G16" i="18"/>
  <c r="E12" i="18"/>
  <c r="H30" i="1"/>
  <c r="H29" i="1"/>
  <c r="H28" i="1"/>
  <c r="H27" i="1"/>
  <c r="H26" i="1"/>
  <c r="H25" i="1"/>
  <c r="H24" i="1"/>
  <c r="D22" i="1"/>
  <c r="E13" i="18" s="1"/>
  <c r="D21" i="1"/>
  <c r="D20" i="1"/>
  <c r="E11" i="18" s="1"/>
  <c r="D19" i="1"/>
  <c r="E10" i="18" s="1"/>
  <c r="D17" i="1"/>
  <c r="E8" i="18" s="1"/>
  <c r="D16" i="1"/>
  <c r="E7" i="18" s="1"/>
  <c r="J10" i="1"/>
  <c r="J9" i="1"/>
  <c r="D15" i="1" s="1"/>
  <c r="E6" i="18" s="1"/>
  <c r="J8" i="1"/>
  <c r="P5" i="1"/>
  <c r="N5" i="1"/>
  <c r="L5" i="1"/>
  <c r="N65" i="11"/>
  <c r="N64" i="11"/>
  <c r="J64" i="11"/>
  <c r="N63" i="11"/>
  <c r="J63" i="11"/>
  <c r="D58" i="11"/>
  <c r="D57" i="11"/>
  <c r="D56" i="11"/>
  <c r="D55" i="11"/>
  <c r="D54" i="11"/>
  <c r="D53" i="11"/>
  <c r="D52" i="11"/>
  <c r="D51" i="11"/>
  <c r="D50" i="11"/>
  <c r="D49" i="11"/>
  <c r="D48" i="11"/>
  <c r="D47" i="11"/>
  <c r="D46" i="11"/>
  <c r="D45" i="11"/>
  <c r="D44" i="11"/>
  <c r="D43" i="11"/>
  <c r="D42" i="11"/>
  <c r="P41" i="11"/>
  <c r="O41" i="11"/>
  <c r="J41" i="11"/>
  <c r="D41" i="11"/>
  <c r="P40" i="11"/>
  <c r="O40" i="11"/>
  <c r="J40" i="11"/>
  <c r="D40" i="11"/>
  <c r="P39" i="11"/>
  <c r="O39" i="11"/>
  <c r="J39" i="11"/>
  <c r="D39" i="11"/>
  <c r="O8" i="11"/>
  <c r="N8" i="11" s="1"/>
  <c r="O7" i="11"/>
  <c r="N7" i="11" s="1"/>
  <c r="J7" i="11"/>
  <c r="O6" i="11"/>
  <c r="N6" i="11" s="1"/>
  <c r="J6" i="11"/>
  <c r="O5" i="11"/>
  <c r="J5" i="11"/>
  <c r="E8" i="7"/>
  <c r="E7" i="7"/>
  <c r="E6" i="7"/>
  <c r="S20" i="2"/>
  <c r="S21" i="2" s="1"/>
  <c r="S18" i="2"/>
  <c r="S19" i="2" s="1"/>
  <c r="S16" i="2"/>
  <c r="S17" i="2" s="1"/>
  <c r="L49" i="42" l="1"/>
  <c r="BB18" i="31"/>
  <c r="BC18" i="31" s="1"/>
  <c r="BE21" i="31"/>
  <c r="BE14" i="31"/>
  <c r="AC24" i="31"/>
  <c r="J9" i="11"/>
  <c r="J10" i="11"/>
  <c r="BB13" i="31"/>
  <c r="BC13" i="31" s="1"/>
  <c r="AC23" i="31"/>
  <c r="N41" i="11"/>
  <c r="N40" i="11"/>
  <c r="AB22" i="31"/>
  <c r="AC65" i="31" s="1"/>
  <c r="AO28" i="31"/>
  <c r="AO36" i="31"/>
  <c r="AO44" i="31"/>
  <c r="AO29" i="31"/>
  <c r="AO26" i="31"/>
  <c r="AO31" i="31"/>
  <c r="AO39" i="31"/>
  <c r="AO35" i="31"/>
  <c r="AO30" i="31"/>
  <c r="AO32" i="31"/>
  <c r="AO40" i="31"/>
  <c r="AO37" i="31"/>
  <c r="AO33" i="31"/>
  <c r="AO41" i="31"/>
  <c r="AO27" i="31"/>
  <c r="AO2" i="31"/>
  <c r="AO34" i="31"/>
  <c r="AO42" i="31"/>
  <c r="AO43" i="31"/>
  <c r="AO38" i="31"/>
  <c r="I36" i="46"/>
  <c r="I33" i="48"/>
  <c r="I42" i="48" s="1"/>
  <c r="I36" i="48"/>
  <c r="I41" i="48" s="1"/>
  <c r="N35" i="48"/>
  <c r="M33" i="48"/>
  <c r="BB9" i="31"/>
  <c r="BC9" i="31" s="1"/>
  <c r="R47" i="42"/>
  <c r="Q8" i="42"/>
  <c r="R8" i="42"/>
  <c r="P7" i="42"/>
  <c r="P6" i="42"/>
  <c r="P9" i="42" s="1"/>
  <c r="S8" i="42"/>
  <c r="BE15" i="31"/>
  <c r="BE17" i="31"/>
  <c r="BE19" i="31"/>
  <c r="R7" i="42"/>
  <c r="S7" i="42"/>
  <c r="Q7" i="42"/>
  <c r="BB39" i="31"/>
  <c r="BC39" i="31" s="1"/>
  <c r="L72" i="42"/>
  <c r="BB35" i="31"/>
  <c r="BC35" i="31" s="1"/>
  <c r="BB38" i="31"/>
  <c r="BC38" i="31" s="1"/>
  <c r="BB31" i="31"/>
  <c r="BC31" i="31" s="1"/>
  <c r="BE25" i="31"/>
  <c r="BE23" i="31"/>
  <c r="BB30" i="31"/>
  <c r="BC30" i="31" s="1"/>
  <c r="BB26" i="31"/>
  <c r="BC26" i="31" s="1"/>
  <c r="BB28" i="31"/>
  <c r="BC28" i="31" s="1"/>
  <c r="BB22" i="31"/>
  <c r="BC22" i="31" s="1"/>
  <c r="BB12" i="31"/>
  <c r="BC12" i="31" s="1"/>
  <c r="BO13" i="31"/>
  <c r="J65" i="11"/>
  <c r="BE11" i="31"/>
  <c r="N66" i="11"/>
  <c r="N39" i="11"/>
  <c r="BB7" i="31"/>
  <c r="BC7" i="31" s="1"/>
  <c r="BE10" i="31"/>
  <c r="C34" i="23"/>
  <c r="G28" i="22" s="1"/>
  <c r="G24" i="22"/>
  <c r="S47" i="42"/>
  <c r="J66" i="11"/>
  <c r="BB4" i="31"/>
  <c r="BE3" i="31"/>
  <c r="BB5" i="31"/>
  <c r="J42" i="11"/>
  <c r="AO10" i="31"/>
  <c r="AO13" i="31"/>
  <c r="AO19" i="31"/>
  <c r="L8" i="42"/>
  <c r="AA42" i="48"/>
  <c r="AA47" i="48" s="1"/>
  <c r="W47" i="48"/>
  <c r="I35" i="48" s="1"/>
  <c r="K35" i="48" s="1"/>
  <c r="M35" i="48" s="1"/>
  <c r="Z43" i="48"/>
  <c r="Z47" i="48" s="1"/>
  <c r="N34" i="48" s="1"/>
  <c r="N33" i="48" s="1"/>
  <c r="N42" i="48" s="1"/>
  <c r="V47" i="48"/>
  <c r="I34" i="48" s="1"/>
  <c r="K34" i="48" s="1"/>
  <c r="M34" i="48" s="1"/>
  <c r="K10" i="48"/>
  <c r="M10" i="48" s="1"/>
  <c r="N10" i="48" s="1"/>
  <c r="V44" i="47"/>
  <c r="Z44" i="47" s="1"/>
  <c r="W44" i="47"/>
  <c r="AA44" i="47" s="1"/>
  <c r="K11" i="48"/>
  <c r="K12" i="48"/>
  <c r="M12" i="48" s="1"/>
  <c r="N12" i="48" s="1"/>
  <c r="V45" i="47"/>
  <c r="Z45" i="47" s="1"/>
  <c r="K8" i="48"/>
  <c r="M8" i="48" s="1"/>
  <c r="N8" i="48" s="1"/>
  <c r="V43" i="47"/>
  <c r="W43" i="47"/>
  <c r="AA43" i="47" s="1"/>
  <c r="K9" i="48"/>
  <c r="W42" i="47"/>
  <c r="K7" i="48"/>
  <c r="M11" i="47"/>
  <c r="N11" i="47"/>
  <c r="N12" i="47"/>
  <c r="M12" i="47"/>
  <c r="N9" i="47"/>
  <c r="M9" i="47"/>
  <c r="M10" i="47"/>
  <c r="N10" i="47"/>
  <c r="N7" i="47"/>
  <c r="M8" i="47"/>
  <c r="N8" i="47"/>
  <c r="W47" i="46"/>
  <c r="I35" i="46" s="1"/>
  <c r="K35" i="46" s="1"/>
  <c r="M35" i="46" s="1"/>
  <c r="AA42" i="46"/>
  <c r="AA47" i="46" s="1"/>
  <c r="N35" i="46" s="1"/>
  <c r="Z47" i="46"/>
  <c r="N34" i="46" s="1"/>
  <c r="N33" i="46" s="1"/>
  <c r="V47" i="46"/>
  <c r="X47" i="46" s="1"/>
  <c r="M9" i="46"/>
  <c r="N9" i="46"/>
  <c r="M10" i="46"/>
  <c r="N10" i="46"/>
  <c r="M7" i="46"/>
  <c r="N7" i="46"/>
  <c r="N11" i="46"/>
  <c r="M11" i="46"/>
  <c r="M6" i="46"/>
  <c r="N12" i="46"/>
  <c r="F10" i="42"/>
  <c r="O9" i="11"/>
  <c r="P8" i="42"/>
  <c r="R72" i="42"/>
  <c r="F31" i="42"/>
  <c r="F35" i="42"/>
  <c r="F17" i="42"/>
  <c r="R6" i="42" s="1"/>
  <c r="F29" i="42"/>
  <c r="F33" i="42"/>
  <c r="F28" i="42"/>
  <c r="J43" i="11"/>
  <c r="E9" i="22"/>
  <c r="E18" i="2"/>
  <c r="N5" i="11"/>
  <c r="N9" i="11" s="1"/>
  <c r="J67" i="11"/>
  <c r="E9" i="18"/>
  <c r="L48" i="42"/>
  <c r="Q47" i="42"/>
  <c r="T47" i="42" s="1"/>
  <c r="Q72" i="42"/>
  <c r="S72" i="42" s="1"/>
  <c r="BE2" i="31"/>
  <c r="AO17" i="31"/>
  <c r="BB20" i="31"/>
  <c r="BC20" i="31" s="1"/>
  <c r="AO25" i="31"/>
  <c r="BB27" i="31"/>
  <c r="BC27" i="31" s="1"/>
  <c r="BB33" i="31"/>
  <c r="BC33" i="31" s="1"/>
  <c r="BB41" i="31"/>
  <c r="BC41" i="31" s="1"/>
  <c r="AO6" i="31"/>
  <c r="AO15" i="31"/>
  <c r="BO8" i="31"/>
  <c r="BO11" i="31"/>
  <c r="AO23" i="31"/>
  <c r="BO3" i="31"/>
  <c r="BB6" i="31"/>
  <c r="BC6" i="31" s="1"/>
  <c r="BO7" i="31"/>
  <c r="BO9" i="31"/>
  <c r="AO11" i="31"/>
  <c r="AO12" i="31"/>
  <c r="BB16" i="31"/>
  <c r="BC16" i="31" s="1"/>
  <c r="BB32" i="31"/>
  <c r="BC32" i="31" s="1"/>
  <c r="BB40" i="31"/>
  <c r="BC40" i="31" s="1"/>
  <c r="AO3" i="31"/>
  <c r="AO4" i="31"/>
  <c r="AO21" i="31"/>
  <c r="BB24" i="31"/>
  <c r="BC24" i="31" s="1"/>
  <c r="BB29" i="31"/>
  <c r="BC29" i="31" s="1"/>
  <c r="BB37" i="31"/>
  <c r="BC37" i="31" s="1"/>
  <c r="AO14" i="31"/>
  <c r="BB34" i="31"/>
  <c r="BC34" i="31" s="1"/>
  <c r="BO14" i="31"/>
  <c r="BO6" i="31"/>
  <c r="BO5" i="31"/>
  <c r="BO12" i="31"/>
  <c r="BO4" i="31"/>
  <c r="BB2" i="31"/>
  <c r="BO10" i="31"/>
  <c r="BO2" i="31"/>
  <c r="BE8" i="31"/>
  <c r="BB8" i="31"/>
  <c r="BC8" i="31" s="1"/>
  <c r="BB36" i="31"/>
  <c r="BC36" i="31" s="1"/>
  <c r="AO5" i="31"/>
  <c r="AO7" i="31"/>
  <c r="AO16" i="31"/>
  <c r="AO18" i="31"/>
  <c r="AO20" i="31"/>
  <c r="AO22" i="31"/>
  <c r="AO24" i="31"/>
  <c r="AB2" i="31"/>
  <c r="AC2" i="31" s="1"/>
  <c r="AO8" i="31"/>
  <c r="AO9" i="31"/>
  <c r="AP42" i="31"/>
  <c r="AP11" i="31"/>
  <c r="AP25" i="31"/>
  <c r="AP36" i="31"/>
  <c r="AP7" i="31"/>
  <c r="AP2" i="31"/>
  <c r="AP33" i="31"/>
  <c r="AP43" i="31"/>
  <c r="AP14" i="31"/>
  <c r="AP39" i="31"/>
  <c r="AP24" i="31"/>
  <c r="AP10" i="31"/>
  <c r="AP32" i="31"/>
  <c r="AP20" i="31"/>
  <c r="AP30" i="31"/>
  <c r="AP37" i="31"/>
  <c r="AP29" i="31"/>
  <c r="AP17" i="31"/>
  <c r="AP8" i="31"/>
  <c r="AP4" i="31"/>
  <c r="AP41" i="31"/>
  <c r="AP38" i="31"/>
  <c r="AP12" i="31"/>
  <c r="AP6" i="31"/>
  <c r="AP19" i="31"/>
  <c r="AP27" i="31"/>
  <c r="AP21" i="31"/>
  <c r="AP13" i="31"/>
  <c r="AP23" i="31"/>
  <c r="AP5" i="31"/>
  <c r="AP9" i="31"/>
  <c r="AP22" i="31"/>
  <c r="AP31" i="31"/>
  <c r="AP28" i="31"/>
  <c r="AP15" i="31"/>
  <c r="AP26" i="31"/>
  <c r="AP18" i="31"/>
  <c r="AP34" i="31"/>
  <c r="AP44" i="31"/>
  <c r="AP40" i="31"/>
  <c r="AP3" i="31"/>
  <c r="AP16" i="31"/>
  <c r="AP35" i="31"/>
  <c r="K10" i="11" l="1"/>
  <c r="K34" i="22"/>
  <c r="K9" i="11"/>
  <c r="G34" i="22"/>
  <c r="N42" i="46"/>
  <c r="J44" i="11"/>
  <c r="AC43" i="31"/>
  <c r="AC64" i="31"/>
  <c r="AC63" i="31"/>
  <c r="AC66" i="31"/>
  <c r="K36" i="46"/>
  <c r="K41" i="46" s="1"/>
  <c r="X16" i="46" s="1"/>
  <c r="I41" i="46"/>
  <c r="N35" i="47"/>
  <c r="N33" i="47"/>
  <c r="N42" i="47" s="1"/>
  <c r="I33" i="47"/>
  <c r="I42" i="47" s="1"/>
  <c r="N34" i="47"/>
  <c r="M33" i="47"/>
  <c r="I36" i="47"/>
  <c r="I41" i="47" s="1"/>
  <c r="X47" i="48"/>
  <c r="M36" i="48"/>
  <c r="M42" i="48"/>
  <c r="T8" i="42"/>
  <c r="G37" i="22" s="1"/>
  <c r="T7" i="42"/>
  <c r="G36" i="22" s="1"/>
  <c r="Q6" i="42"/>
  <c r="T6" i="42" s="1"/>
  <c r="S6" i="42"/>
  <c r="S9" i="42" s="1"/>
  <c r="L10" i="42"/>
  <c r="M10" i="42" s="1"/>
  <c r="R9" i="42"/>
  <c r="N23" i="18"/>
  <c r="H23" i="18"/>
  <c r="M22" i="47"/>
  <c r="N22" i="47"/>
  <c r="M22" i="46"/>
  <c r="N6" i="46"/>
  <c r="N22" i="46" s="1"/>
  <c r="AC62" i="31"/>
  <c r="AC10" i="31"/>
  <c r="AC22" i="31"/>
  <c r="AC15" i="31"/>
  <c r="AC42" i="31"/>
  <c r="BC2" i="31"/>
  <c r="BC4" i="31"/>
  <c r="BC5" i="31"/>
  <c r="BC3" i="31"/>
  <c r="AC8" i="31"/>
  <c r="AC3" i="31"/>
  <c r="AC13" i="31"/>
  <c r="AC4" i="31"/>
  <c r="AC9" i="31"/>
  <c r="AC5" i="31"/>
  <c r="AC14" i="31"/>
  <c r="AC7" i="31"/>
  <c r="AC12" i="31"/>
  <c r="AC6" i="31"/>
  <c r="AC11" i="31"/>
  <c r="K36" i="48"/>
  <c r="K33" i="48"/>
  <c r="K42" i="48" s="1"/>
  <c r="M11" i="48"/>
  <c r="N11" i="48"/>
  <c r="M7" i="48"/>
  <c r="N7" i="48"/>
  <c r="AA42" i="47"/>
  <c r="AA47" i="47" s="1"/>
  <c r="W47" i="47"/>
  <c r="I35" i="47" s="1"/>
  <c r="K35" i="47" s="1"/>
  <c r="M35" i="47" s="1"/>
  <c r="Z43" i="47"/>
  <c r="Z47" i="47" s="1"/>
  <c r="V47" i="47"/>
  <c r="I34" i="47"/>
  <c r="K34" i="47" s="1"/>
  <c r="M34" i="47" s="1"/>
  <c r="M9" i="48"/>
  <c r="N9" i="48"/>
  <c r="I34" i="46"/>
  <c r="I33" i="46" s="1"/>
  <c r="I42" i="46" s="1"/>
  <c r="P72" i="42"/>
  <c r="P47" i="42"/>
  <c r="E9" i="7"/>
  <c r="E9" i="23"/>
  <c r="BP11" i="31"/>
  <c r="BP5" i="31"/>
  <c r="BP12" i="31"/>
  <c r="BP4" i="31"/>
  <c r="BP14" i="31"/>
  <c r="BP8" i="31"/>
  <c r="BP10" i="31"/>
  <c r="BP6" i="31"/>
  <c r="BP2" i="31"/>
  <c r="BP9" i="31"/>
  <c r="BP7" i="31"/>
  <c r="BP3" i="31"/>
  <c r="BP13" i="31"/>
  <c r="X47" i="47" l="1"/>
  <c r="M36" i="47"/>
  <c r="M42" i="47"/>
  <c r="M22" i="48"/>
  <c r="U6" i="42"/>
  <c r="Q9" i="42"/>
  <c r="U8" i="42"/>
  <c r="U7" i="42"/>
  <c r="N22" i="48"/>
  <c r="AV2" i="31"/>
  <c r="C45" i="40" s="1"/>
  <c r="E45" i="40" s="1"/>
  <c r="BK10" i="31"/>
  <c r="BW4" i="31"/>
  <c r="D72" i="42" s="1"/>
  <c r="I50" i="22" s="1"/>
  <c r="BX4" i="31"/>
  <c r="D72" i="41" s="1"/>
  <c r="AT2" i="31"/>
  <c r="C45" i="42" s="1"/>
  <c r="E42" i="22" s="1"/>
  <c r="BY4" i="31"/>
  <c r="D72" i="40" s="1"/>
  <c r="BV8" i="31"/>
  <c r="C76" i="40" s="1"/>
  <c r="CC8" i="31" s="1"/>
  <c r="AU3" i="31"/>
  <c r="C46" i="41" s="1"/>
  <c r="D46" i="41" s="1"/>
  <c r="AU2" i="31"/>
  <c r="C45" i="41" s="1"/>
  <c r="D45" i="41" s="1"/>
  <c r="AV11" i="31"/>
  <c r="C54" i="40" s="1"/>
  <c r="E54" i="40" s="1"/>
  <c r="AT26" i="31"/>
  <c r="AT23" i="31"/>
  <c r="AU22" i="31"/>
  <c r="AU13" i="31"/>
  <c r="C56" i="41" s="1"/>
  <c r="D56" i="41" s="1"/>
  <c r="AV19" i="31"/>
  <c r="C62" i="40" s="1"/>
  <c r="D62" i="40" s="1"/>
  <c r="AV22" i="31"/>
  <c r="AT4" i="31"/>
  <c r="C47" i="42" s="1"/>
  <c r="AT9" i="31"/>
  <c r="C52" i="42" s="1"/>
  <c r="AU23" i="31"/>
  <c r="AV17" i="31"/>
  <c r="C60" i="40" s="1"/>
  <c r="D60" i="40" s="1"/>
  <c r="AT3" i="31"/>
  <c r="C46" i="42" s="1"/>
  <c r="AV4" i="31"/>
  <c r="C47" i="40" s="1"/>
  <c r="D47" i="40" s="1"/>
  <c r="AV3" i="31"/>
  <c r="C46" i="40" s="1"/>
  <c r="AT5" i="31"/>
  <c r="C48" i="42" s="1"/>
  <c r="AT17" i="31"/>
  <c r="C60" i="42" s="1"/>
  <c r="AT10" i="31"/>
  <c r="C53" i="42" s="1"/>
  <c r="AU4" i="31"/>
  <c r="C47" i="41" s="1"/>
  <c r="D47" i="41" s="1"/>
  <c r="AU6" i="31"/>
  <c r="C49" i="41" s="1"/>
  <c r="AU12" i="31"/>
  <c r="C55" i="41" s="1"/>
  <c r="D55" i="41" s="1"/>
  <c r="AT11" i="31"/>
  <c r="C54" i="42" s="1"/>
  <c r="AU20" i="31"/>
  <c r="C63" i="41" s="1"/>
  <c r="F63" i="41" s="1"/>
  <c r="BT10" i="31"/>
  <c r="C78" i="42" s="1"/>
  <c r="E78" i="42" s="1"/>
  <c r="BW11" i="31"/>
  <c r="D79" i="42" s="1"/>
  <c r="BW10" i="31"/>
  <c r="D78" i="42" s="1"/>
  <c r="BY12" i="31"/>
  <c r="BT5" i="31"/>
  <c r="C73" i="42" s="1"/>
  <c r="E73" i="42" s="1"/>
  <c r="BV12" i="31"/>
  <c r="BW7" i="31"/>
  <c r="D75" i="42" s="1"/>
  <c r="BW8" i="31"/>
  <c r="D76" i="42" s="1"/>
  <c r="BU3" i="31"/>
  <c r="C71" i="41" s="1"/>
  <c r="E71" i="41" s="1"/>
  <c r="BU11" i="31"/>
  <c r="C79" i="41" s="1"/>
  <c r="E79" i="41" s="1"/>
  <c r="BV11" i="31"/>
  <c r="C79" i="40" s="1"/>
  <c r="CC11" i="31" s="1"/>
  <c r="BJ10" i="31"/>
  <c r="BU13" i="31"/>
  <c r="BY13" i="31"/>
  <c r="BT14" i="31"/>
  <c r="BY10" i="31"/>
  <c r="D78" i="40" s="1"/>
  <c r="BU7" i="31"/>
  <c r="C75" i="41" s="1"/>
  <c r="CB7" i="31" s="1"/>
  <c r="BJ13" i="31"/>
  <c r="BW6" i="31"/>
  <c r="D74" i="42" s="1"/>
  <c r="I52" i="22" s="1"/>
  <c r="BW14" i="31"/>
  <c r="BV9" i="31"/>
  <c r="C77" i="40" s="1"/>
  <c r="CC9" i="31" s="1"/>
  <c r="BT4" i="31"/>
  <c r="C72" i="42" s="1"/>
  <c r="E50" i="22" s="1"/>
  <c r="BT12" i="31"/>
  <c r="BU12" i="31"/>
  <c r="BX7" i="31"/>
  <c r="D75" i="41" s="1"/>
  <c r="BU6" i="31"/>
  <c r="C74" i="41" s="1"/>
  <c r="E74" i="41" s="1"/>
  <c r="BY5" i="31"/>
  <c r="D73" i="40" s="1"/>
  <c r="BJ2" i="31"/>
  <c r="BX11" i="31"/>
  <c r="D79" i="41" s="1"/>
  <c r="BU2" i="31"/>
  <c r="C70" i="41" s="1"/>
  <c r="E70" i="41" s="1"/>
  <c r="BJ5" i="31"/>
  <c r="BJ3" i="31"/>
  <c r="BK4" i="31"/>
  <c r="BW3" i="31"/>
  <c r="D71" i="42" s="1"/>
  <c r="I49" i="22" s="1"/>
  <c r="BW12" i="31"/>
  <c r="BY11" i="31"/>
  <c r="D79" i="40" s="1"/>
  <c r="BT6" i="31"/>
  <c r="C74" i="42" s="1"/>
  <c r="CA6" i="31" s="1"/>
  <c r="BU8" i="31"/>
  <c r="C76" i="41" s="1"/>
  <c r="CB8" i="31" s="1"/>
  <c r="BT3" i="31"/>
  <c r="C71" i="42" s="1"/>
  <c r="CA3" i="31" s="1"/>
  <c r="BT11" i="31"/>
  <c r="C79" i="42" s="1"/>
  <c r="E79" i="42" s="1"/>
  <c r="BJ7" i="31"/>
  <c r="BK14" i="31"/>
  <c r="BU9" i="31"/>
  <c r="C77" i="41" s="1"/>
  <c r="E77" i="41" s="1"/>
  <c r="BK2" i="31"/>
  <c r="BY9" i="31"/>
  <c r="D77" i="40" s="1"/>
  <c r="BK6" i="31"/>
  <c r="BV6" i="31"/>
  <c r="C74" i="40" s="1"/>
  <c r="CC6" i="31" s="1"/>
  <c r="BU5" i="31"/>
  <c r="C73" i="41" s="1"/>
  <c r="CB5" i="31" s="1"/>
  <c r="BV5" i="31"/>
  <c r="C73" i="40" s="1"/>
  <c r="E73" i="40" s="1"/>
  <c r="BV4" i="31"/>
  <c r="C72" i="40" s="1"/>
  <c r="CC4" i="31" s="1"/>
  <c r="BU14" i="31"/>
  <c r="BX12" i="31"/>
  <c r="BK13" i="31"/>
  <c r="BT9" i="31"/>
  <c r="C77" i="42" s="1"/>
  <c r="F77" i="42" s="1"/>
  <c r="BK5" i="31"/>
  <c r="BV13" i="31"/>
  <c r="BY7" i="31"/>
  <c r="D75" i="40" s="1"/>
  <c r="BW2" i="31"/>
  <c r="D70" i="42" s="1"/>
  <c r="I48" i="22" s="1"/>
  <c r="BV10" i="31"/>
  <c r="C78" i="40" s="1"/>
  <c r="CC10" i="31" s="1"/>
  <c r="BK12" i="31"/>
  <c r="BX5" i="31"/>
  <c r="D73" i="41" s="1"/>
  <c r="BT2" i="31"/>
  <c r="C70" i="42" s="1"/>
  <c r="CA2" i="31" s="1"/>
  <c r="BX14" i="31"/>
  <c r="BU10" i="31"/>
  <c r="C78" i="41" s="1"/>
  <c r="F78" i="41" s="1"/>
  <c r="BK8" i="31"/>
  <c r="BX6" i="31"/>
  <c r="D74" i="41" s="1"/>
  <c r="BT8" i="31"/>
  <c r="C76" i="42" s="1"/>
  <c r="CA8" i="31" s="1"/>
  <c r="BW5" i="31"/>
  <c r="D73" i="42" s="1"/>
  <c r="I51" i="22" s="1"/>
  <c r="BY2" i="31"/>
  <c r="D70" i="40" s="1"/>
  <c r="BV14" i="31"/>
  <c r="BK3" i="31"/>
  <c r="BK11" i="31"/>
  <c r="BJ6" i="31"/>
  <c r="BJ14" i="31"/>
  <c r="BX8" i="31"/>
  <c r="D76" i="41" s="1"/>
  <c r="BV3" i="31"/>
  <c r="C71" i="40" s="1"/>
  <c r="CC3" i="31" s="1"/>
  <c r="BV2" i="31"/>
  <c r="C70" i="40" s="1"/>
  <c r="E70" i="40" s="1"/>
  <c r="BJ11" i="31"/>
  <c r="BT13" i="31"/>
  <c r="BX2" i="31"/>
  <c r="D70" i="41" s="1"/>
  <c r="BV7" i="31"/>
  <c r="C75" i="40" s="1"/>
  <c r="E75" i="40" s="1"/>
  <c r="BW13" i="31"/>
  <c r="BJ9" i="31"/>
  <c r="BK9" i="31"/>
  <c r="BX10" i="31"/>
  <c r="D78" i="41" s="1"/>
  <c r="BT7" i="31"/>
  <c r="C75" i="42" s="1"/>
  <c r="F75" i="42" s="1"/>
  <c r="BX3" i="31"/>
  <c r="D71" i="41" s="1"/>
  <c r="BY3" i="31"/>
  <c r="D71" i="40" s="1"/>
  <c r="BJ4" i="31"/>
  <c r="BJ12" i="31"/>
  <c r="BY6" i="31"/>
  <c r="D74" i="40" s="1"/>
  <c r="BY14" i="31"/>
  <c r="BW9" i="31"/>
  <c r="D77" i="42" s="1"/>
  <c r="BU4" i="31"/>
  <c r="C72" i="41" s="1"/>
  <c r="CB4" i="31" s="1"/>
  <c r="G72" i="42" s="1"/>
  <c r="BX13" i="31"/>
  <c r="BK7" i="31"/>
  <c r="BJ8" i="31"/>
  <c r="BY8" i="31"/>
  <c r="D76" i="40" s="1"/>
  <c r="BX9" i="31"/>
  <c r="D77" i="41" s="1"/>
  <c r="AV18" i="31"/>
  <c r="C61" i="40" s="1"/>
  <c r="E61" i="40" s="1"/>
  <c r="AT15" i="31"/>
  <c r="C58" i="42" s="1"/>
  <c r="AV23" i="31"/>
  <c r="AV20" i="31"/>
  <c r="C63" i="40" s="1"/>
  <c r="E63" i="40" s="1"/>
  <c r="AV10" i="31"/>
  <c r="C53" i="40" s="1"/>
  <c r="E53" i="40" s="1"/>
  <c r="AU25" i="31"/>
  <c r="AT7" i="31"/>
  <c r="C50" i="42" s="1"/>
  <c r="AV6" i="31"/>
  <c r="C49" i="40" s="1"/>
  <c r="E49" i="40" s="1"/>
  <c r="AU24" i="31"/>
  <c r="AV7" i="31"/>
  <c r="C50" i="40" s="1"/>
  <c r="D50" i="40" s="1"/>
  <c r="AT12" i="31"/>
  <c r="C55" i="42" s="1"/>
  <c r="AU5" i="31"/>
  <c r="C48" i="41" s="1"/>
  <c r="AT16" i="31"/>
  <c r="C59" i="42" s="1"/>
  <c r="AT8" i="31"/>
  <c r="C51" i="42" s="1"/>
  <c r="AV21" i="31"/>
  <c r="C64" i="40" s="1"/>
  <c r="D64" i="40" s="1"/>
  <c r="AU14" i="31"/>
  <c r="C57" i="41" s="1"/>
  <c r="AU7" i="31"/>
  <c r="C50" i="41" s="1"/>
  <c r="D50" i="41" s="1"/>
  <c r="AV24" i="31"/>
  <c r="AT13" i="31"/>
  <c r="C56" i="42" s="1"/>
  <c r="AU15" i="31"/>
  <c r="C58" i="41" s="1"/>
  <c r="D58" i="41" s="1"/>
  <c r="AT6" i="31"/>
  <c r="C49" i="42" s="1"/>
  <c r="AT18" i="31"/>
  <c r="C61" i="42" s="1"/>
  <c r="AV14" i="31"/>
  <c r="C57" i="40" s="1"/>
  <c r="E57" i="40" s="1"/>
  <c r="AU11" i="31"/>
  <c r="C54" i="41" s="1"/>
  <c r="AU26" i="31"/>
  <c r="AV26" i="31"/>
  <c r="AU8" i="31"/>
  <c r="C51" i="41" s="1"/>
  <c r="D51" i="41" s="1"/>
  <c r="AV13" i="31"/>
  <c r="C56" i="40" s="1"/>
  <c r="D56" i="40" s="1"/>
  <c r="AV25" i="31"/>
  <c r="AV9" i="31"/>
  <c r="C52" i="40" s="1"/>
  <c r="E52" i="40" s="1"/>
  <c r="AV16" i="31"/>
  <c r="C59" i="40" s="1"/>
  <c r="AU9" i="31"/>
  <c r="C52" i="41" s="1"/>
  <c r="AU10" i="31"/>
  <c r="C53" i="41" s="1"/>
  <c r="D53" i="41" s="1"/>
  <c r="AV8" i="31"/>
  <c r="C51" i="40" s="1"/>
  <c r="D51" i="40" s="1"/>
  <c r="AT19" i="31"/>
  <c r="C62" i="42" s="1"/>
  <c r="AU17" i="31"/>
  <c r="C60" i="41" s="1"/>
  <c r="AV12" i="31"/>
  <c r="C55" i="40" s="1"/>
  <c r="E55" i="40" s="1"/>
  <c r="AT20" i="31"/>
  <c r="C63" i="42" s="1"/>
  <c r="AU16" i="31"/>
  <c r="C59" i="41" s="1"/>
  <c r="AU19" i="31"/>
  <c r="C62" i="41" s="1"/>
  <c r="E62" i="41" s="1"/>
  <c r="AT14" i="31"/>
  <c r="C57" i="42" s="1"/>
  <c r="AT22" i="31"/>
  <c r="AU18" i="31"/>
  <c r="C61" i="41" s="1"/>
  <c r="E61" i="41" s="1"/>
  <c r="AT25" i="31"/>
  <c r="AV15" i="31"/>
  <c r="C58" i="40" s="1"/>
  <c r="E58" i="40" s="1"/>
  <c r="AT21" i="31"/>
  <c r="C64" i="42" s="1"/>
  <c r="AU21" i="31"/>
  <c r="C64" i="41" s="1"/>
  <c r="E64" i="41" s="1"/>
  <c r="AV5" i="31"/>
  <c r="C48" i="40" s="1"/>
  <c r="E48" i="40" s="1"/>
  <c r="AT24" i="31"/>
  <c r="V10" i="47"/>
  <c r="V12" i="47" s="1"/>
  <c r="K41" i="48"/>
  <c r="V16" i="48"/>
  <c r="Z16" i="48" s="1"/>
  <c r="K36" i="47"/>
  <c r="K34" i="46"/>
  <c r="M34" i="46" s="1"/>
  <c r="M33" i="46" s="1"/>
  <c r="V10" i="46"/>
  <c r="V12" i="46" s="1"/>
  <c r="Z12" i="46" s="1"/>
  <c r="D45" i="40"/>
  <c r="G75" i="42" l="1"/>
  <c r="G74" i="42"/>
  <c r="E76" i="40"/>
  <c r="CA9" i="31"/>
  <c r="M42" i="46"/>
  <c r="M36" i="46"/>
  <c r="M41" i="46" s="1"/>
  <c r="O41" i="46" s="1"/>
  <c r="CB2" i="31"/>
  <c r="E75" i="41"/>
  <c r="D54" i="40"/>
  <c r="E53" i="42"/>
  <c r="E52" i="42"/>
  <c r="D45" i="42"/>
  <c r="G45" i="42"/>
  <c r="D52" i="42"/>
  <c r="CB6" i="31"/>
  <c r="E72" i="41"/>
  <c r="U9" i="42"/>
  <c r="D5" i="32" s="1"/>
  <c r="T9" i="42"/>
  <c r="G35" i="22"/>
  <c r="E71" i="40"/>
  <c r="F45" i="41"/>
  <c r="F45" i="42" s="1"/>
  <c r="E48" i="22"/>
  <c r="D53" i="42"/>
  <c r="F75" i="41"/>
  <c r="G78" i="42"/>
  <c r="F78" i="42"/>
  <c r="CA10" i="31"/>
  <c r="E76" i="41"/>
  <c r="CA4" i="31"/>
  <c r="CC5" i="31"/>
  <c r="CB3" i="31"/>
  <c r="E73" i="41"/>
  <c r="F79" i="42"/>
  <c r="E75" i="42"/>
  <c r="E72" i="42"/>
  <c r="F71" i="41"/>
  <c r="E49" i="22"/>
  <c r="E45" i="41"/>
  <c r="E45" i="42" s="1"/>
  <c r="G77" i="42"/>
  <c r="E74" i="40"/>
  <c r="D50" i="42"/>
  <c r="D60" i="42"/>
  <c r="E60" i="42"/>
  <c r="D54" i="42"/>
  <c r="E54" i="42"/>
  <c r="D64" i="42"/>
  <c r="E64" i="42"/>
  <c r="G63" i="42"/>
  <c r="E63" i="42"/>
  <c r="D61" i="42"/>
  <c r="E61" i="42"/>
  <c r="D51" i="42"/>
  <c r="E51" i="42"/>
  <c r="D48" i="42"/>
  <c r="E71" i="42"/>
  <c r="E47" i="40"/>
  <c r="E47" i="41" s="1"/>
  <c r="E47" i="42" s="1"/>
  <c r="E46" i="22"/>
  <c r="D59" i="42"/>
  <c r="E59" i="42"/>
  <c r="G62" i="42"/>
  <c r="E62" i="42"/>
  <c r="D56" i="42"/>
  <c r="E56" i="42"/>
  <c r="D55" i="42"/>
  <c r="E55" i="42"/>
  <c r="D46" i="42"/>
  <c r="D58" i="42"/>
  <c r="E58" i="42"/>
  <c r="G71" i="42"/>
  <c r="D57" i="42"/>
  <c r="E57" i="42"/>
  <c r="X16" i="48"/>
  <c r="M41" i="48"/>
  <c r="G46" i="42"/>
  <c r="F61" i="41"/>
  <c r="E43" i="22"/>
  <c r="F47" i="41"/>
  <c r="F47" i="42" s="1"/>
  <c r="D48" i="40"/>
  <c r="F60" i="41"/>
  <c r="F60" i="42" s="1"/>
  <c r="D59" i="40"/>
  <c r="E45" i="22"/>
  <c r="G48" i="42"/>
  <c r="F64" i="42"/>
  <c r="D62" i="42"/>
  <c r="E51" i="40"/>
  <c r="E51" i="41" s="1"/>
  <c r="G64" i="42"/>
  <c r="G61" i="42"/>
  <c r="E50" i="40"/>
  <c r="E50" i="41" s="1"/>
  <c r="E50" i="42" s="1"/>
  <c r="D61" i="41"/>
  <c r="E59" i="40"/>
  <c r="E59" i="41" s="1"/>
  <c r="G47" i="42"/>
  <c r="S46" i="42" s="1"/>
  <c r="F62" i="42"/>
  <c r="E44" i="22"/>
  <c r="D60" i="41"/>
  <c r="D49" i="42"/>
  <c r="E62" i="40"/>
  <c r="E60" i="41"/>
  <c r="E46" i="40"/>
  <c r="E46" i="41" s="1"/>
  <c r="E46" i="42" s="1"/>
  <c r="D58" i="40"/>
  <c r="D57" i="40"/>
  <c r="D46" i="40"/>
  <c r="F46" i="41"/>
  <c r="F46" i="42" s="1"/>
  <c r="D63" i="41"/>
  <c r="E56" i="40"/>
  <c r="E56" i="41" s="1"/>
  <c r="D53" i="40"/>
  <c r="F64" i="41"/>
  <c r="D63" i="40"/>
  <c r="G51" i="42"/>
  <c r="E63" i="41"/>
  <c r="D48" i="41"/>
  <c r="D47" i="42"/>
  <c r="G60" i="42"/>
  <c r="D55" i="40"/>
  <c r="E48" i="41"/>
  <c r="E48" i="42" s="1"/>
  <c r="F53" i="41"/>
  <c r="E52" i="41"/>
  <c r="F57" i="41"/>
  <c r="E49" i="41"/>
  <c r="E49" i="42" s="1"/>
  <c r="G59" i="42"/>
  <c r="E60" i="40"/>
  <c r="F59" i="41"/>
  <c r="F59" i="42" s="1"/>
  <c r="G50" i="42"/>
  <c r="D49" i="41"/>
  <c r="G49" i="42"/>
  <c r="F48" i="41"/>
  <c r="F48" i="42" s="1"/>
  <c r="G57" i="42"/>
  <c r="D63" i="42"/>
  <c r="E78" i="40"/>
  <c r="G79" i="42"/>
  <c r="CB10" i="31"/>
  <c r="E78" i="41"/>
  <c r="E76" i="42"/>
  <c r="CA11" i="31"/>
  <c r="F73" i="41"/>
  <c r="F72" i="41"/>
  <c r="CA7" i="31"/>
  <c r="G70" i="42"/>
  <c r="F77" i="41"/>
  <c r="F76" i="42"/>
  <c r="CB9" i="31"/>
  <c r="G76" i="42"/>
  <c r="E77" i="42"/>
  <c r="F76" i="41"/>
  <c r="CC7" i="31"/>
  <c r="F74" i="41"/>
  <c r="E79" i="40"/>
  <c r="E70" i="42"/>
  <c r="F73" i="42"/>
  <c r="F79" i="41"/>
  <c r="E72" i="40"/>
  <c r="CB11" i="31"/>
  <c r="F74" i="42"/>
  <c r="CC2" i="31"/>
  <c r="F70" i="41" s="1"/>
  <c r="E74" i="42"/>
  <c r="G73" i="42"/>
  <c r="E52" i="22"/>
  <c r="E51" i="22"/>
  <c r="CA5" i="31"/>
  <c r="E77" i="40"/>
  <c r="F72" i="42"/>
  <c r="F71" i="42"/>
  <c r="G52" i="42"/>
  <c r="F62" i="41"/>
  <c r="F52" i="41"/>
  <c r="F52" i="42" s="1"/>
  <c r="E53" i="41"/>
  <c r="F61" i="42"/>
  <c r="D52" i="40"/>
  <c r="F50" i="41"/>
  <c r="F54" i="41"/>
  <c r="D52" i="41"/>
  <c r="D49" i="40"/>
  <c r="E58" i="41"/>
  <c r="D54" i="41"/>
  <c r="G54" i="42"/>
  <c r="D59" i="41"/>
  <c r="G55" i="42"/>
  <c r="F56" i="41"/>
  <c r="F56" i="42" s="1"/>
  <c r="E55" i="41"/>
  <c r="G53" i="42"/>
  <c r="G56" i="42"/>
  <c r="D57" i="41"/>
  <c r="E64" i="40"/>
  <c r="F49" i="41"/>
  <c r="F49" i="42" s="1"/>
  <c r="D62" i="41"/>
  <c r="F58" i="41"/>
  <c r="F58" i="42" s="1"/>
  <c r="F51" i="41"/>
  <c r="F63" i="42"/>
  <c r="D61" i="40"/>
  <c r="E57" i="41"/>
  <c r="G58" i="42"/>
  <c r="D64" i="41"/>
  <c r="F55" i="41"/>
  <c r="K41" i="47"/>
  <c r="M41" i="47" s="1"/>
  <c r="V6" i="48"/>
  <c r="V24" i="48" s="1"/>
  <c r="V10" i="48"/>
  <c r="V12" i="48" s="1"/>
  <c r="Z12" i="48" s="1"/>
  <c r="V4" i="48"/>
  <c r="K33" i="47"/>
  <c r="K42" i="47" s="1"/>
  <c r="K33" i="46"/>
  <c r="K42" i="46" s="1"/>
  <c r="M36" i="23" l="1"/>
  <c r="P30" i="22" s="1"/>
  <c r="H36" i="23"/>
  <c r="K30" i="22" s="1"/>
  <c r="R46" i="42"/>
  <c r="R71" i="42"/>
  <c r="Q46" i="42"/>
  <c r="T46" i="42" s="1"/>
  <c r="Q71" i="42"/>
  <c r="S71" i="42" s="1"/>
  <c r="V27" i="48"/>
  <c r="M34" i="23" s="1"/>
  <c r="P28" i="22" s="1"/>
  <c r="H34" i="23"/>
  <c r="X16" i="47"/>
  <c r="F57" i="42"/>
  <c r="F55" i="42"/>
  <c r="E54" i="41"/>
  <c r="F54" i="42"/>
  <c r="F53" i="42"/>
  <c r="F51" i="42"/>
  <c r="R45" i="42" s="1"/>
  <c r="F50" i="42"/>
  <c r="F70" i="42"/>
  <c r="V4" i="47"/>
  <c r="V16" i="47"/>
  <c r="Z16" i="47" s="1"/>
  <c r="V6" i="47"/>
  <c r="V24" i="47" s="1"/>
  <c r="V5" i="48"/>
  <c r="R4" i="48"/>
  <c r="V6" i="46"/>
  <c r="V24" i="46" s="1"/>
  <c r="H26" i="23" s="1"/>
  <c r="V4" i="46"/>
  <c r="V16" i="46"/>
  <c r="Z16" i="46" s="1"/>
  <c r="M32" i="23" l="1"/>
  <c r="P26" i="22" s="1"/>
  <c r="H32" i="23"/>
  <c r="K26" i="22" s="1"/>
  <c r="H28" i="23"/>
  <c r="M28" i="23"/>
  <c r="P22" i="22" s="1"/>
  <c r="K22" i="22"/>
  <c r="R48" i="42"/>
  <c r="P46" i="42"/>
  <c r="P71" i="42"/>
  <c r="Q45" i="42"/>
  <c r="S45" i="42"/>
  <c r="S48" i="42" s="1"/>
  <c r="R70" i="42"/>
  <c r="R73" i="42" s="1"/>
  <c r="Q70" i="42"/>
  <c r="M35" i="23"/>
  <c r="P29" i="22" s="1"/>
  <c r="V27" i="47"/>
  <c r="M30" i="23" s="1"/>
  <c r="P24" i="22" s="1"/>
  <c r="H30" i="23"/>
  <c r="K28" i="22"/>
  <c r="H35" i="23"/>
  <c r="K29" i="22" s="1"/>
  <c r="V27" i="46"/>
  <c r="M26" i="23" s="1"/>
  <c r="M27" i="23" s="1"/>
  <c r="V5" i="47"/>
  <c r="R4" i="47"/>
  <c r="R4" i="46"/>
  <c r="V5" i="46"/>
  <c r="Q48" i="42" l="1"/>
  <c r="P45" i="42"/>
  <c r="P48" i="42" s="1"/>
  <c r="T45" i="42"/>
  <c r="T48" i="42" s="1"/>
  <c r="E6" i="32" s="1"/>
  <c r="S70" i="42"/>
  <c r="S73" i="42" s="1"/>
  <c r="E7" i="32" s="1"/>
  <c r="Q73" i="42"/>
  <c r="P70" i="42"/>
  <c r="P73" i="42" s="1"/>
  <c r="M31" i="23"/>
  <c r="P25" i="22" s="1"/>
  <c r="K24" i="22"/>
  <c r="H31" i="23"/>
  <c r="K25" i="22" s="1"/>
  <c r="X24" i="23"/>
  <c r="X25" i="23"/>
  <c r="P20" i="22"/>
  <c r="K20" i="22"/>
  <c r="D6" i="32" l="1"/>
  <c r="W24" i="23"/>
  <c r="W25" i="23"/>
  <c r="V4" i="44" l="1"/>
  <c r="R4" i="44" l="1"/>
  <c r="V5" i="44"/>
  <c r="M26" i="7" l="1"/>
  <c r="H26" i="7"/>
  <c r="P18" i="18" l="1"/>
  <c r="M24" i="23"/>
  <c r="P18" i="22" s="1"/>
  <c r="K18" i="18"/>
  <c r="H24" i="23"/>
  <c r="K18" i="22" s="1"/>
  <c r="H27" i="23"/>
  <c r="K21" i="22" l="1"/>
  <c r="V24" i="23"/>
  <c r="Y24" i="23" s="1"/>
  <c r="Z24" i="23" s="1"/>
  <c r="D3" i="32" s="1"/>
  <c r="V25" i="23"/>
  <c r="Y25" i="23" s="1"/>
  <c r="Z25" i="23" s="1"/>
  <c r="D4" i="32" s="1"/>
  <c r="P21" i="22"/>
  <c r="D8" i="32" l="1"/>
  <c r="D11" i="32" s="1"/>
  <c r="N22" i="44" l="1"/>
  <c r="V6" i="44" s="1"/>
  <c r="V24" i="44" s="1"/>
  <c r="V27" i="44" l="1"/>
  <c r="M24" i="7" s="1"/>
  <c r="H24" i="7"/>
  <c r="H22" i="23" l="1"/>
  <c r="K16" i="22" s="1"/>
  <c r="K16" i="18"/>
  <c r="M22" i="23"/>
  <c r="P16" i="22" s="1"/>
  <c r="P16"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細井 秀彦</author>
  </authors>
  <commentList>
    <comment ref="E4" authorId="0" shapeId="0" xr:uid="{E61D8803-3220-475D-A1B9-5FD3D0145079}">
      <text>
        <r>
          <rPr>
            <sz val="10"/>
            <color indexed="81"/>
            <rFont val="メイリオ"/>
            <family val="3"/>
            <charset val="128"/>
          </rPr>
          <t>計画書提出年度の前年度をご選択ください。</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佐藤 悠希</author>
  </authors>
  <commentList>
    <comment ref="N21" authorId="0" shapeId="0" xr:uid="{149BD142-082A-4831-A6B3-7673C2D13C43}">
      <text>
        <r>
          <rPr>
            <b/>
            <sz val="12"/>
            <color indexed="81"/>
            <rFont val="MS P ゴシック"/>
            <family val="3"/>
            <charset val="128"/>
          </rPr>
          <t xml:space="preserve">CO2排出量（tCO2）＝ （燃料の種類ごとに）燃料使用量（t, kl, 千 m3）
　　　　　　　　　　×単位発熱量（GJ/t, GJ/kl, GJ/千 m3）
　　　　　　　　　　×炭素排出係数（tC/GJ）
　　　　　　　　　　×44/12 </t>
        </r>
      </text>
    </comment>
    <comment ref="W29" authorId="0" shapeId="0" xr:uid="{96520213-06BF-48CC-806E-9FC909C94882}">
      <text>
        <r>
          <rPr>
            <b/>
            <sz val="12"/>
            <color indexed="81"/>
            <rFont val="MS P ゴシック"/>
            <family val="3"/>
            <charset val="128"/>
          </rPr>
          <t>熱供給事業者別係数を使用
（単位：tCO2/GJ）</t>
        </r>
      </text>
    </comment>
    <comment ref="V34" authorId="0" shapeId="0" xr:uid="{56A15D6F-3331-444D-BFC7-9CFA1C564682}">
      <text>
        <r>
          <rPr>
            <b/>
            <sz val="12"/>
            <color indexed="81"/>
            <rFont val="ＭＳ Ｐゴシック"/>
            <family val="3"/>
            <charset val="128"/>
          </rPr>
          <t>単位発熱量（GJ/t, GJ/kl, GJ/千 m3等）</t>
        </r>
      </text>
    </comment>
    <comment ref="W34" authorId="0" shapeId="0" xr:uid="{38F38467-F5DE-433D-9038-63B66BA2C1F8}">
      <text>
        <r>
          <rPr>
            <b/>
            <sz val="12"/>
            <color indexed="81"/>
            <rFont val="MS P ゴシック"/>
            <family val="3"/>
            <charset val="128"/>
          </rPr>
          <t>炭素排出係数（tC/GJ）</t>
        </r>
      </text>
    </comment>
    <comment ref="X40" authorId="0" shapeId="0" xr:uid="{E820DC96-D931-498E-BCB0-471B10C61E3C}">
      <text>
        <r>
          <rPr>
            <b/>
            <sz val="12"/>
            <color indexed="81"/>
            <rFont val="MS P ゴシック"/>
            <family val="3"/>
            <charset val="128"/>
          </rPr>
          <t>電気事業者から購入した電気のうち、非化石電気の比率がわかる場合は入力する。</t>
        </r>
      </text>
    </comment>
    <comment ref="U51" authorId="0" shapeId="0" xr:uid="{7DA485C9-6A78-45D4-89A7-9F6E20400AE9}">
      <text>
        <r>
          <rPr>
            <b/>
            <sz val="12"/>
            <color indexed="81"/>
            <rFont val="MS P ゴシック"/>
            <family val="3"/>
            <charset val="128"/>
          </rPr>
          <t>オフサイト型PPAの契約によって供給されている非燃料由来の電気（事業所の敷地外に設置した第三者保有の太陽光発電所等で発電した電気を一般送配電事業者等が維持し、及び運用する電線路を介して供給を受ける電気）の使用がある場合</t>
        </r>
      </text>
    </comment>
    <comment ref="U52" authorId="0" shapeId="0" xr:uid="{BC945FAF-D89E-4CB2-AFA9-CA7202FDAC65}">
      <text>
        <r>
          <rPr>
            <b/>
            <sz val="12"/>
            <color indexed="81"/>
            <rFont val="MS P ゴシック"/>
            <family val="3"/>
            <charset val="128"/>
          </rPr>
          <t>自己託送制度によって供給を受けた電気のうち、燃料を投じて発電された電気を除く非化石電気の使用がある場合</t>
        </r>
      </text>
    </comment>
    <comment ref="V65" authorId="0" shapeId="0" xr:uid="{C2685CD0-7AE6-418F-9F56-D856524901B4}">
      <text>
        <r>
          <rPr>
            <b/>
            <sz val="12"/>
            <color indexed="81"/>
            <rFont val="MS P ゴシック"/>
            <family val="3"/>
            <charset val="128"/>
          </rPr>
          <t>自家消費する太陽光発電等による非化石電気の年間使用量(kWh)を入力してください。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佐藤 悠希</author>
  </authors>
  <commentList>
    <comment ref="N21" authorId="0" shapeId="0" xr:uid="{D7AF3A21-05FD-4314-8744-84E990B80139}">
      <text>
        <r>
          <rPr>
            <b/>
            <sz val="12"/>
            <color indexed="81"/>
            <rFont val="MS P ゴシック"/>
            <family val="3"/>
            <charset val="128"/>
          </rPr>
          <t xml:space="preserve">CO2排出量（tCO2）＝ （燃料の種類ごとに）燃料使用量（t, kl, 千 m3）
　　　　　　　　　　×単位発熱量（GJ/t, GJ/kl, GJ/千 m3）
　　　　　　　　　　×炭素排出係数（tC/GJ）
　　　　　　　　　　×44/12 </t>
        </r>
      </text>
    </comment>
    <comment ref="W29" authorId="0" shapeId="0" xr:uid="{6276DE7D-44B1-452F-ACBD-426032369F63}">
      <text>
        <r>
          <rPr>
            <b/>
            <sz val="12"/>
            <color indexed="81"/>
            <rFont val="MS P ゴシック"/>
            <family val="3"/>
            <charset val="128"/>
          </rPr>
          <t>熱供給事業者別係数を使用
（単位：tCO2/GJ）</t>
        </r>
      </text>
    </comment>
    <comment ref="V34" authorId="0" shapeId="0" xr:uid="{FC1697C5-1A4B-4EF0-9C18-EA0597C13721}">
      <text>
        <r>
          <rPr>
            <b/>
            <sz val="12"/>
            <color indexed="81"/>
            <rFont val="ＭＳ Ｐゴシック"/>
            <family val="3"/>
            <charset val="128"/>
          </rPr>
          <t>単位発熱量（GJ/t, GJ/kl, GJ/千 m3等）</t>
        </r>
      </text>
    </comment>
    <comment ref="W34" authorId="0" shapeId="0" xr:uid="{E4BA84B2-05F0-4862-BC4E-32F9C3A49E0A}">
      <text>
        <r>
          <rPr>
            <b/>
            <sz val="12"/>
            <color indexed="81"/>
            <rFont val="MS P ゴシック"/>
            <family val="3"/>
            <charset val="128"/>
          </rPr>
          <t>炭素排出係数（tC/GJ）</t>
        </r>
      </text>
    </comment>
    <comment ref="X40" authorId="0" shapeId="0" xr:uid="{5569D3C2-DC77-4D92-BF79-566756A6BA14}">
      <text>
        <r>
          <rPr>
            <b/>
            <sz val="12"/>
            <color indexed="81"/>
            <rFont val="MS P ゴシック"/>
            <family val="3"/>
            <charset val="128"/>
          </rPr>
          <t>電気事業者から購入した電気のうち、非化石電気の比率がわかる場合は入力する。</t>
        </r>
      </text>
    </comment>
    <comment ref="U51" authorId="0" shapeId="0" xr:uid="{DF08675E-E414-4268-98FD-DE5818E7E18F}">
      <text>
        <r>
          <rPr>
            <b/>
            <sz val="12"/>
            <color indexed="81"/>
            <rFont val="MS P ゴシック"/>
            <family val="3"/>
            <charset val="128"/>
          </rPr>
          <t>オフサイト型PPAの契約によって供給されている非燃料由来の電気（事業所の敷地外に設置した第三者保有の太陽光発電所等で発電した電気を一般送配電事業者等が維持し、及び運用する電線路を介して供給を受ける電気）の使用がある場合</t>
        </r>
      </text>
    </comment>
    <comment ref="U52" authorId="0" shapeId="0" xr:uid="{A86C99F6-9CAA-4B65-A3A5-DA57238BEB0E}">
      <text>
        <r>
          <rPr>
            <b/>
            <sz val="12"/>
            <color indexed="81"/>
            <rFont val="MS P ゴシック"/>
            <family val="3"/>
            <charset val="128"/>
          </rPr>
          <t>自己託送制度によって供給を受けた電気のうち、燃料を投じて発電された電気を除く非化石電気の使用がある場合</t>
        </r>
      </text>
    </comment>
    <comment ref="V65" authorId="0" shapeId="0" xr:uid="{0C1EC72D-EB06-4834-976B-7C68D5854267}">
      <text>
        <r>
          <rPr>
            <b/>
            <sz val="12"/>
            <color indexed="81"/>
            <rFont val="MS P ゴシック"/>
            <family val="3"/>
            <charset val="128"/>
          </rPr>
          <t>自家消費する太陽光発電等による非化石電気の年間使用量(kWh)を入力してください。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佐藤 悠希</author>
  </authors>
  <commentList>
    <comment ref="N21" authorId="0" shapeId="0" xr:uid="{081EA9F4-08C8-4A24-8A83-4A72AD316DD6}">
      <text>
        <r>
          <rPr>
            <b/>
            <sz val="12"/>
            <color indexed="81"/>
            <rFont val="MS P ゴシック"/>
            <family val="3"/>
            <charset val="128"/>
          </rPr>
          <t xml:space="preserve">CO2排出量（tCO2）＝ （燃料の種類ごとに）燃料使用量（t, kl, 千 m3）
　　　　　　　　　　×単位発熱量（GJ/t, GJ/kl, GJ/千 m3）
　　　　　　　　　　×炭素排出係数（tC/GJ）
　　　　　　　　　　×44/12 </t>
        </r>
      </text>
    </comment>
    <comment ref="W29" authorId="0" shapeId="0" xr:uid="{A4EDBBB6-5B68-4D7D-AEE3-70FDD2E49153}">
      <text>
        <r>
          <rPr>
            <b/>
            <sz val="12"/>
            <color indexed="81"/>
            <rFont val="MS P ゴシック"/>
            <family val="3"/>
            <charset val="128"/>
          </rPr>
          <t>熱供給事業者別係数を使用
（単位：tCO2/GJ）</t>
        </r>
      </text>
    </comment>
    <comment ref="V34" authorId="0" shapeId="0" xr:uid="{AA6FB383-AB3F-4DB5-91BF-99B591E8CB79}">
      <text>
        <r>
          <rPr>
            <b/>
            <sz val="12"/>
            <color indexed="81"/>
            <rFont val="ＭＳ Ｐゴシック"/>
            <family val="3"/>
            <charset val="128"/>
          </rPr>
          <t>単位発熱量（GJ/t, GJ/kl, GJ/千 m3等）</t>
        </r>
      </text>
    </comment>
    <comment ref="W34" authorId="0" shapeId="0" xr:uid="{314570C9-D274-4CB5-B493-F410A89D0B46}">
      <text>
        <r>
          <rPr>
            <b/>
            <sz val="12"/>
            <color indexed="81"/>
            <rFont val="MS P ゴシック"/>
            <family val="3"/>
            <charset val="128"/>
          </rPr>
          <t>炭素排出係数（tC/GJ）</t>
        </r>
      </text>
    </comment>
    <comment ref="X40" authorId="0" shapeId="0" xr:uid="{9256D46E-20B1-449E-A92E-41CA9D2CEA89}">
      <text>
        <r>
          <rPr>
            <b/>
            <sz val="12"/>
            <color indexed="81"/>
            <rFont val="MS P ゴシック"/>
            <family val="3"/>
            <charset val="128"/>
          </rPr>
          <t>電気事業者から購入した電気のうち、非化石電気の比率がわかる場合は入力する。</t>
        </r>
      </text>
    </comment>
    <comment ref="U51" authorId="0" shapeId="0" xr:uid="{D9E32DA8-8FF6-484B-8E4D-DD13F34B09F7}">
      <text>
        <r>
          <rPr>
            <b/>
            <sz val="12"/>
            <color indexed="81"/>
            <rFont val="MS P ゴシック"/>
            <family val="3"/>
            <charset val="128"/>
          </rPr>
          <t>オフサイト型PPAの契約によって供給されている非燃料由来の電気（事業所の敷地外に設置した第三者保有の太陽光発電所等で発電した電気を一般送配電事業者等が維持し、及び運用する電線路を介して供給を受ける電気）の使用がある場合</t>
        </r>
      </text>
    </comment>
    <comment ref="U52" authorId="0" shapeId="0" xr:uid="{6063194B-8200-4923-8D45-8513EDEE50A3}">
      <text>
        <r>
          <rPr>
            <b/>
            <sz val="12"/>
            <color indexed="81"/>
            <rFont val="MS P ゴシック"/>
            <family val="3"/>
            <charset val="128"/>
          </rPr>
          <t>自己託送制度によって供給を受けた電気のうち、燃料を投じて発電された電気を除く非化石電気の使用がある場合</t>
        </r>
      </text>
    </comment>
    <comment ref="V65" authorId="0" shapeId="0" xr:uid="{4C2F78D4-0803-4F89-A20F-13C211CC7961}">
      <text>
        <r>
          <rPr>
            <b/>
            <sz val="12"/>
            <color indexed="81"/>
            <rFont val="MS P ゴシック"/>
            <family val="3"/>
            <charset val="128"/>
          </rPr>
          <t>自家消費する太陽光発電等による非化石電気の年間使用量(kWh)を入力してください。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佐藤 悠希</author>
  </authors>
  <commentList>
    <comment ref="N21" authorId="0" shapeId="0" xr:uid="{530589BF-D163-421C-94CE-F05D7CB816BA}">
      <text>
        <r>
          <rPr>
            <b/>
            <sz val="12"/>
            <color indexed="81"/>
            <rFont val="MS P ゴシック"/>
            <family val="3"/>
            <charset val="128"/>
          </rPr>
          <t xml:space="preserve">CO2排出量（tCO2）＝ （燃料の種類ごとに）燃料使用量（t, kl, 千 m3）
　　　　　　　　　　×単位発熱量（GJ/t, GJ/kl, GJ/千 m3）
　　　　　　　　　　×炭素排出係数（tC/GJ）
　　　　　　　　　　×44/12 </t>
        </r>
      </text>
    </comment>
    <comment ref="W29" authorId="0" shapeId="0" xr:uid="{3660D745-38E4-4F72-9F7E-75AEEE42CB15}">
      <text>
        <r>
          <rPr>
            <b/>
            <sz val="12"/>
            <color indexed="81"/>
            <rFont val="MS P ゴシック"/>
            <family val="3"/>
            <charset val="128"/>
          </rPr>
          <t>熱供給事業者別係数を使用
（単位：tCO2/GJ）</t>
        </r>
      </text>
    </comment>
    <comment ref="V34" authorId="0" shapeId="0" xr:uid="{016902D3-03CA-48D3-9394-510190FF8385}">
      <text>
        <r>
          <rPr>
            <b/>
            <sz val="12"/>
            <color indexed="81"/>
            <rFont val="ＭＳ Ｐゴシック"/>
            <family val="3"/>
            <charset val="128"/>
          </rPr>
          <t>単位発熱量（GJ/t, GJ/kl, GJ/千 m3等）</t>
        </r>
      </text>
    </comment>
    <comment ref="W34" authorId="0" shapeId="0" xr:uid="{91E914FA-6A6A-458E-BD41-9D6D318A793B}">
      <text>
        <r>
          <rPr>
            <b/>
            <sz val="12"/>
            <color indexed="81"/>
            <rFont val="MS P ゴシック"/>
            <family val="3"/>
            <charset val="128"/>
          </rPr>
          <t>炭素排出係数（tC/GJ）</t>
        </r>
      </text>
    </comment>
    <comment ref="X40" authorId="0" shapeId="0" xr:uid="{A89D0F6D-5B06-4EEB-A1DD-25D3150065C1}">
      <text>
        <r>
          <rPr>
            <b/>
            <sz val="12"/>
            <color indexed="81"/>
            <rFont val="MS P ゴシック"/>
            <family val="3"/>
            <charset val="128"/>
          </rPr>
          <t>電気事業者から購入した電気のうち、非化石電気の比率がわかる場合は入力する。</t>
        </r>
      </text>
    </comment>
    <comment ref="U51" authorId="0" shapeId="0" xr:uid="{AE53E4C1-C04D-48D4-9B70-5DF0EF783ED8}">
      <text>
        <r>
          <rPr>
            <b/>
            <sz val="12"/>
            <color indexed="81"/>
            <rFont val="MS P ゴシック"/>
            <family val="3"/>
            <charset val="128"/>
          </rPr>
          <t>オフサイト型PPAの契約によって供給されている非燃料由来の電気（事業所の敷地外に設置した第三者保有の太陽光発電所等で発電した電気を一般送配電事業者等が維持し、及び運用する電線路を介して供給を受ける電気）の使用がある場合</t>
        </r>
      </text>
    </comment>
    <comment ref="U52" authorId="0" shapeId="0" xr:uid="{B37ACBA0-8F5F-413C-99FE-B74176B31CBE}">
      <text>
        <r>
          <rPr>
            <b/>
            <sz val="12"/>
            <color indexed="81"/>
            <rFont val="MS P ゴシック"/>
            <family val="3"/>
            <charset val="128"/>
          </rPr>
          <t>自己託送制度によって供給を受けた電気のうち、燃料を投じて発電された電気を除く非化石電気の使用がある場合</t>
        </r>
      </text>
    </comment>
    <comment ref="V65" authorId="0" shapeId="0" xr:uid="{FC9239A6-8B71-4B31-93A8-9C8A860B1002}">
      <text>
        <r>
          <rPr>
            <b/>
            <sz val="12"/>
            <color indexed="81"/>
            <rFont val="MS P ゴシック"/>
            <family val="3"/>
            <charset val="128"/>
          </rPr>
          <t>自家消費する太陽光発電等による非化石電気の年間使用量(kWh)を入力してください。</t>
        </r>
      </text>
    </comment>
  </commentList>
</comments>
</file>

<file path=xl/sharedStrings.xml><?xml version="1.0" encoding="utf-8"?>
<sst xmlns="http://schemas.openxmlformats.org/spreadsheetml/2006/main" count="10688" uniqueCount="5511">
  <si>
    <t>日</t>
    <rPh sb="0" eb="1">
      <t>ニチ</t>
    </rPh>
    <phoneticPr fontId="1"/>
  </si>
  <si>
    <t>月</t>
    <rPh sb="0" eb="1">
      <t>ゲツ</t>
    </rPh>
    <phoneticPr fontId="1"/>
  </si>
  <si>
    <t>年</t>
    <rPh sb="0" eb="1">
      <t>ネン</t>
    </rPh>
    <phoneticPr fontId="1"/>
  </si>
  <si>
    <t>（あて先）仙台市長</t>
    <rPh sb="3" eb="4">
      <t>サキ</t>
    </rPh>
    <rPh sb="5" eb="8">
      <t>センダイシ</t>
    </rPh>
    <rPh sb="8" eb="9">
      <t>チョウ</t>
    </rPh>
    <phoneticPr fontId="1"/>
  </si>
  <si>
    <t>住所</t>
    <rPh sb="0" eb="2">
      <t>ジュウショ</t>
    </rPh>
    <phoneticPr fontId="1"/>
  </si>
  <si>
    <t>事業者の名称</t>
    <rPh sb="0" eb="2">
      <t>ジギョウ</t>
    </rPh>
    <rPh sb="2" eb="3">
      <t>シャ</t>
    </rPh>
    <rPh sb="4" eb="6">
      <t>メイショウ</t>
    </rPh>
    <phoneticPr fontId="4"/>
  </si>
  <si>
    <t>事業所の名称</t>
    <rPh sb="0" eb="2">
      <t>ジギョウ</t>
    </rPh>
    <rPh sb="2" eb="3">
      <t>ショ</t>
    </rPh>
    <rPh sb="4" eb="6">
      <t>メイショウ</t>
    </rPh>
    <phoneticPr fontId="4"/>
  </si>
  <si>
    <t>事業所の所在地</t>
    <rPh sb="0" eb="2">
      <t>ジギョウ</t>
    </rPh>
    <rPh sb="2" eb="3">
      <t>ショ</t>
    </rPh>
    <rPh sb="4" eb="7">
      <t>ショザイチ</t>
    </rPh>
    <phoneticPr fontId="4"/>
  </si>
  <si>
    <t>連絡先</t>
    <phoneticPr fontId="4"/>
  </si>
  <si>
    <t>電話番号</t>
    <phoneticPr fontId="4"/>
  </si>
  <si>
    <t>ＦＡＸ番号</t>
    <phoneticPr fontId="4"/>
  </si>
  <si>
    <t>メールアドレス</t>
    <phoneticPr fontId="4"/>
  </si>
  <si>
    <t>担当者</t>
    <rPh sb="2" eb="3">
      <t>シャ</t>
    </rPh>
    <phoneticPr fontId="4"/>
  </si>
  <si>
    <t>部署名</t>
    <rPh sb="0" eb="2">
      <t>ブショ</t>
    </rPh>
    <rPh sb="1" eb="3">
      <t>ショメイ</t>
    </rPh>
    <phoneticPr fontId="4"/>
  </si>
  <si>
    <t>氏名</t>
    <rPh sb="0" eb="2">
      <t>シメイ</t>
    </rPh>
    <phoneticPr fontId="4"/>
  </si>
  <si>
    <t>※受理</t>
    <rPh sb="1" eb="3">
      <t>ジュリ</t>
    </rPh>
    <phoneticPr fontId="4"/>
  </si>
  <si>
    <t xml:space="preserve"> ※整理番号</t>
    <rPh sb="2" eb="4">
      <t>セイリ</t>
    </rPh>
    <phoneticPr fontId="4"/>
  </si>
  <si>
    <t>※備考</t>
    <rPh sb="1" eb="3">
      <t>ビコウ</t>
    </rPh>
    <phoneticPr fontId="1"/>
  </si>
  <si>
    <t>届出者</t>
    <rPh sb="0" eb="2">
      <t>トドケデ</t>
    </rPh>
    <rPh sb="2" eb="3">
      <t>シャ</t>
    </rPh>
    <phoneticPr fontId="1"/>
  </si>
  <si>
    <t>法人の所在地</t>
    <rPh sb="0" eb="2">
      <t>ホウジン</t>
    </rPh>
    <rPh sb="3" eb="6">
      <t>ショザイチ</t>
    </rPh>
    <phoneticPr fontId="1"/>
  </si>
  <si>
    <t>法人の名称</t>
    <rPh sb="0" eb="2">
      <t>ホウジン</t>
    </rPh>
    <rPh sb="3" eb="5">
      <t>メイショウ</t>
    </rPh>
    <phoneticPr fontId="1"/>
  </si>
  <si>
    <t>代表者の職・氏名</t>
    <rPh sb="0" eb="3">
      <t>ダイヒョウシャ</t>
    </rPh>
    <rPh sb="4" eb="5">
      <t>ショク</t>
    </rPh>
    <rPh sb="6" eb="8">
      <t>シメイ</t>
    </rPh>
    <phoneticPr fontId="1"/>
  </si>
  <si>
    <t>代理者の職・氏名</t>
    <rPh sb="0" eb="2">
      <t>ダイリ</t>
    </rPh>
    <rPh sb="2" eb="3">
      <t>シャ</t>
    </rPh>
    <rPh sb="4" eb="5">
      <t>ショク</t>
    </rPh>
    <rPh sb="6" eb="8">
      <t>シメイ</t>
    </rPh>
    <phoneticPr fontId="1"/>
  </si>
  <si>
    <t>事業所の名称</t>
    <rPh sb="0" eb="2">
      <t>ジギョウ</t>
    </rPh>
    <rPh sb="2" eb="3">
      <t>ショ</t>
    </rPh>
    <rPh sb="4" eb="6">
      <t>メイショウ</t>
    </rPh>
    <phoneticPr fontId="1"/>
  </si>
  <si>
    <t>事業所の所在地</t>
    <rPh sb="0" eb="2">
      <t>ジギョウ</t>
    </rPh>
    <rPh sb="2" eb="3">
      <t>ショ</t>
    </rPh>
    <rPh sb="4" eb="7">
      <t>ショザイチ</t>
    </rPh>
    <phoneticPr fontId="1"/>
  </si>
  <si>
    <t>〒</t>
    <phoneticPr fontId="1"/>
  </si>
  <si>
    <t>-</t>
    <phoneticPr fontId="1"/>
  </si>
  <si>
    <t>産業分類番号</t>
    <rPh sb="0" eb="2">
      <t>サンギョウ</t>
    </rPh>
    <rPh sb="2" eb="4">
      <t>ブンルイ</t>
    </rPh>
    <rPh sb="4" eb="6">
      <t>バンゴウ</t>
    </rPh>
    <phoneticPr fontId="1"/>
  </si>
  <si>
    <t>事業の概要</t>
    <rPh sb="0" eb="2">
      <t>ジギョウ</t>
    </rPh>
    <rPh sb="3" eb="5">
      <t>ガイヨウ</t>
    </rPh>
    <phoneticPr fontId="1"/>
  </si>
  <si>
    <t>事業所の概要</t>
    <rPh sb="0" eb="2">
      <t>ジギョウ</t>
    </rPh>
    <rPh sb="2" eb="3">
      <t>ショ</t>
    </rPh>
    <rPh sb="4" eb="6">
      <t>ガイヨウ</t>
    </rPh>
    <phoneticPr fontId="1"/>
  </si>
  <si>
    <t>担当者</t>
    <rPh sb="0" eb="3">
      <t>タントウシャ</t>
    </rPh>
    <phoneticPr fontId="1"/>
  </si>
  <si>
    <t>所属部署</t>
    <rPh sb="0" eb="2">
      <t>ショゾク</t>
    </rPh>
    <rPh sb="2" eb="4">
      <t>ブショ</t>
    </rPh>
    <phoneticPr fontId="1"/>
  </si>
  <si>
    <t>住所</t>
    <rPh sb="0" eb="2">
      <t>ジュウショ</t>
    </rPh>
    <phoneticPr fontId="1"/>
  </si>
  <si>
    <t>氏名</t>
    <rPh sb="0" eb="2">
      <t>シメイ</t>
    </rPh>
    <phoneticPr fontId="1"/>
  </si>
  <si>
    <t>電話番号</t>
    <rPh sb="0" eb="2">
      <t>デンワ</t>
    </rPh>
    <rPh sb="2" eb="4">
      <t>バンゴウ</t>
    </rPh>
    <phoneticPr fontId="1"/>
  </si>
  <si>
    <t>FAX番号</t>
    <rPh sb="3" eb="5">
      <t>バンゴウ</t>
    </rPh>
    <phoneticPr fontId="1"/>
  </si>
  <si>
    <t>Eメールアドレス</t>
    <phoneticPr fontId="1"/>
  </si>
  <si>
    <t>法人の名称</t>
    <rPh sb="0" eb="2">
      <t>ホウジン</t>
    </rPh>
    <rPh sb="3" eb="5">
      <t>メイショウ</t>
    </rPh>
    <phoneticPr fontId="1"/>
  </si>
  <si>
    <t>代表者氏名</t>
    <rPh sb="0" eb="3">
      <t>ダイヒョウシャ</t>
    </rPh>
    <rPh sb="3" eb="5">
      <t>シメイ</t>
    </rPh>
    <phoneticPr fontId="1"/>
  </si>
  <si>
    <t>kl</t>
    <phoneticPr fontId="4"/>
  </si>
  <si>
    <t>外部
供給量</t>
    <rPh sb="0" eb="2">
      <t>ガイブ</t>
    </rPh>
    <rPh sb="3" eb="5">
      <t>キョウキュウ</t>
    </rPh>
    <rPh sb="5" eb="6">
      <t>リョウ</t>
    </rPh>
    <phoneticPr fontId="4"/>
  </si>
  <si>
    <t>実使用量</t>
    <rPh sb="0" eb="1">
      <t>ジツ</t>
    </rPh>
    <rPh sb="1" eb="4">
      <t>シヨウリョウ</t>
    </rPh>
    <phoneticPr fontId="4"/>
  </si>
  <si>
    <t>単位</t>
    <rPh sb="0" eb="2">
      <t>タンイ</t>
    </rPh>
    <phoneticPr fontId="4"/>
  </si>
  <si>
    <t>GＪ/ｋｌ</t>
  </si>
  <si>
    <t>揮発油（ガソリン）</t>
  </si>
  <si>
    <t>ナフサ</t>
  </si>
  <si>
    <t>灯油</t>
  </si>
  <si>
    <t>軽油</t>
  </si>
  <si>
    <t>Ａ重油</t>
  </si>
  <si>
    <t>Ｂ・Ｃ重油</t>
  </si>
  <si>
    <t>石油アスファルト</t>
  </si>
  <si>
    <t>t</t>
    <phoneticPr fontId="4"/>
  </si>
  <si>
    <t>GＪ/ｔ</t>
  </si>
  <si>
    <t>石油コークス</t>
  </si>
  <si>
    <t>その他可燃性天然ガス</t>
  </si>
  <si>
    <t>GＪ/千ｍ３</t>
  </si>
  <si>
    <t>原料炭</t>
  </si>
  <si>
    <t>一般炭</t>
  </si>
  <si>
    <t>石炭コークス</t>
  </si>
  <si>
    <t>コールタール</t>
  </si>
  <si>
    <t>コークス炉ガス</t>
  </si>
  <si>
    <t>高炉ガス</t>
  </si>
  <si>
    <t>転炉ガス</t>
  </si>
  <si>
    <t>都市ガス</t>
    <phoneticPr fontId="4"/>
  </si>
  <si>
    <t>GＪ/GＪ</t>
  </si>
  <si>
    <t>温水</t>
    <rPh sb="0" eb="2">
      <t>オンスイ</t>
    </rPh>
    <phoneticPr fontId="11"/>
  </si>
  <si>
    <t>冷水</t>
    <rPh sb="0" eb="2">
      <t>レイスイ</t>
    </rPh>
    <phoneticPr fontId="11"/>
  </si>
  <si>
    <t>小　　　　　計</t>
    <rPh sb="0" eb="1">
      <t>ショウ</t>
    </rPh>
    <rPh sb="6" eb="7">
      <t>ケイ</t>
    </rPh>
    <phoneticPr fontId="4"/>
  </si>
  <si>
    <t>－</t>
    <phoneticPr fontId="4"/>
  </si>
  <si>
    <t>昼間買電</t>
    <rPh sb="0" eb="2">
      <t>ヒルマ</t>
    </rPh>
    <rPh sb="2" eb="3">
      <t>カ</t>
    </rPh>
    <rPh sb="3" eb="4">
      <t>デン</t>
    </rPh>
    <phoneticPr fontId="11"/>
  </si>
  <si>
    <t>夜間買電</t>
    <rPh sb="0" eb="2">
      <t>ヤカン</t>
    </rPh>
    <rPh sb="2" eb="3">
      <t>カ</t>
    </rPh>
    <rPh sb="3" eb="4">
      <t>デン</t>
    </rPh>
    <phoneticPr fontId="11"/>
  </si>
  <si>
    <t>名称</t>
    <rPh sb="0" eb="2">
      <t>メイショウ</t>
    </rPh>
    <phoneticPr fontId="4"/>
  </si>
  <si>
    <t>委任状</t>
    <rPh sb="0" eb="3">
      <t>イニンジョウ</t>
    </rPh>
    <phoneticPr fontId="1"/>
  </si>
  <si>
    <t>名称</t>
    <rPh sb="0" eb="2">
      <t>メイショウ</t>
    </rPh>
    <phoneticPr fontId="1"/>
  </si>
  <si>
    <t>記</t>
    <rPh sb="0" eb="1">
      <t>キ</t>
    </rPh>
    <phoneticPr fontId="1"/>
  </si>
  <si>
    <t>１　事業所の概要</t>
    <rPh sb="2" eb="4">
      <t>ジギョウ</t>
    </rPh>
    <rPh sb="4" eb="5">
      <t>ショ</t>
    </rPh>
    <rPh sb="6" eb="8">
      <t>ガイヨウ</t>
    </rPh>
    <phoneticPr fontId="4"/>
  </si>
  <si>
    <t>計画書</t>
    <rPh sb="0" eb="3">
      <t>ケイカクショ</t>
    </rPh>
    <phoneticPr fontId="1"/>
  </si>
  <si>
    <t>基準年度</t>
    <rPh sb="0" eb="2">
      <t>キジュン</t>
    </rPh>
    <rPh sb="2" eb="3">
      <t>ネン</t>
    </rPh>
    <rPh sb="3" eb="4">
      <t>ド</t>
    </rPh>
    <phoneticPr fontId="1"/>
  </si>
  <si>
    <t>換算係数</t>
    <rPh sb="0" eb="2">
      <t>カンサン</t>
    </rPh>
    <rPh sb="2" eb="4">
      <t>ケイスウ</t>
    </rPh>
    <phoneticPr fontId="4"/>
  </si>
  <si>
    <t>電気
事業者</t>
    <rPh sb="0" eb="2">
      <t>デンキ</t>
    </rPh>
    <phoneticPr fontId="11"/>
  </si>
  <si>
    <t>基準年度</t>
    <rPh sb="0" eb="2">
      <t>キジュン</t>
    </rPh>
    <rPh sb="2" eb="4">
      <t>ネンド</t>
    </rPh>
    <phoneticPr fontId="4"/>
  </si>
  <si>
    <t>基準排出量</t>
    <rPh sb="0" eb="2">
      <t>キジュン</t>
    </rPh>
    <rPh sb="2" eb="4">
      <t>ハイシュツ</t>
    </rPh>
    <rPh sb="4" eb="5">
      <t>リョウ</t>
    </rPh>
    <phoneticPr fontId="4"/>
  </si>
  <si>
    <t>基準原単位</t>
    <rPh sb="0" eb="2">
      <t>キジュン</t>
    </rPh>
    <rPh sb="2" eb="5">
      <t>ゲンタンイ</t>
    </rPh>
    <phoneticPr fontId="4"/>
  </si>
  <si>
    <t>目標年度</t>
    <rPh sb="0" eb="2">
      <t>モクヒョウ</t>
    </rPh>
    <rPh sb="2" eb="4">
      <t>ネンド</t>
    </rPh>
    <phoneticPr fontId="4"/>
  </si>
  <si>
    <t>目標原単位</t>
    <rPh sb="0" eb="2">
      <t>モクヒョウ</t>
    </rPh>
    <rPh sb="2" eb="5">
      <t>ゲンタンイ</t>
    </rPh>
    <phoneticPr fontId="4"/>
  </si>
  <si>
    <t>年度</t>
    <rPh sb="0" eb="2">
      <t>ネンド</t>
    </rPh>
    <phoneticPr fontId="1"/>
  </si>
  <si>
    <t>目標排出量</t>
    <rPh sb="0" eb="2">
      <t>モクヒョウ</t>
    </rPh>
    <rPh sb="2" eb="4">
      <t>ハイシュツ</t>
    </rPh>
    <rPh sb="4" eb="5">
      <t>リョウ</t>
    </rPh>
    <phoneticPr fontId="4"/>
  </si>
  <si>
    <t>%</t>
    <phoneticPr fontId="4"/>
  </si>
  <si>
    <t>番号</t>
    <rPh sb="0" eb="2">
      <t>バンゴウ</t>
    </rPh>
    <phoneticPr fontId="1"/>
  </si>
  <si>
    <t>項目</t>
    <rPh sb="0" eb="2">
      <t>コウモク</t>
    </rPh>
    <phoneticPr fontId="1"/>
  </si>
  <si>
    <t>対策内容</t>
    <rPh sb="0" eb="2">
      <t>タイサク</t>
    </rPh>
    <rPh sb="2" eb="4">
      <t>ナイヨウ</t>
    </rPh>
    <phoneticPr fontId="1"/>
  </si>
  <si>
    <t>分類</t>
    <rPh sb="0" eb="2">
      <t>ブンルイ</t>
    </rPh>
    <phoneticPr fontId="1"/>
  </si>
  <si>
    <t>一般管理事項</t>
    <rPh sb="0" eb="2">
      <t>イッパン</t>
    </rPh>
    <rPh sb="2" eb="4">
      <t>カンリ</t>
    </rPh>
    <rPh sb="4" eb="6">
      <t>ジコウ</t>
    </rPh>
    <phoneticPr fontId="1"/>
  </si>
  <si>
    <t>ボイラー、工業炉、熱交換器等</t>
    <rPh sb="5" eb="7">
      <t>コウギョウ</t>
    </rPh>
    <rPh sb="7" eb="8">
      <t>ロ</t>
    </rPh>
    <rPh sb="9" eb="13">
      <t>ネツコウカンキ</t>
    </rPh>
    <rPh sb="13" eb="14">
      <t>ナド</t>
    </rPh>
    <phoneticPr fontId="2"/>
  </si>
  <si>
    <t>空気調和設備、換気設備</t>
    <rPh sb="7" eb="9">
      <t>カンキ</t>
    </rPh>
    <rPh sb="9" eb="11">
      <t>セツビ</t>
    </rPh>
    <phoneticPr fontId="2"/>
  </si>
  <si>
    <t>熱源設備、熱搬送設備</t>
    <rPh sb="0" eb="2">
      <t>ネツゲン</t>
    </rPh>
    <rPh sb="2" eb="4">
      <t>セツビ</t>
    </rPh>
    <rPh sb="5" eb="6">
      <t>ネツ</t>
    </rPh>
    <rPh sb="6" eb="8">
      <t>ハンソウ</t>
    </rPh>
    <rPh sb="8" eb="10">
      <t>セツビ</t>
    </rPh>
    <phoneticPr fontId="2"/>
  </si>
  <si>
    <t>ポンプ</t>
  </si>
  <si>
    <t>コンプレッサ</t>
  </si>
  <si>
    <t>照明器具</t>
    <rPh sb="0" eb="2">
      <t>ショウメイ</t>
    </rPh>
    <rPh sb="2" eb="4">
      <t>キグ</t>
    </rPh>
    <phoneticPr fontId="2"/>
  </si>
  <si>
    <t>コージェネレーション設備</t>
  </si>
  <si>
    <t>給湯</t>
    <rPh sb="0" eb="2">
      <t>キュウトウ</t>
    </rPh>
    <phoneticPr fontId="2"/>
  </si>
  <si>
    <t>事務用機器等</t>
    <rPh sb="0" eb="3">
      <t>ジムヨウ</t>
    </rPh>
    <rPh sb="3" eb="5">
      <t>キキ</t>
    </rPh>
    <rPh sb="5" eb="6">
      <t>ナド</t>
    </rPh>
    <phoneticPr fontId="2"/>
  </si>
  <si>
    <t>建物</t>
    <rPh sb="0" eb="2">
      <t>タテモノ</t>
    </rPh>
    <phoneticPr fontId="2"/>
  </si>
  <si>
    <t>実施予定</t>
    <rPh sb="0" eb="2">
      <t>ジッシ</t>
    </rPh>
    <rPh sb="2" eb="4">
      <t>ヨテイ</t>
    </rPh>
    <phoneticPr fontId="1"/>
  </si>
  <si>
    <t>従業員数</t>
    <rPh sb="0" eb="3">
      <t>ジュウギョウイン</t>
    </rPh>
    <rPh sb="3" eb="4">
      <t>スウ</t>
    </rPh>
    <phoneticPr fontId="1"/>
  </si>
  <si>
    <t>延べ床面積</t>
    <rPh sb="0" eb="1">
      <t>ノ</t>
    </rPh>
    <rPh sb="2" eb="5">
      <t>ユカメンセキ</t>
    </rPh>
    <phoneticPr fontId="1"/>
  </si>
  <si>
    <t>合計</t>
    <rPh sb="0" eb="2">
      <t>ゴウケイ</t>
    </rPh>
    <phoneticPr fontId="1"/>
  </si>
  <si>
    <t>原油（コンデンセートを除く。）</t>
    <rPh sb="11" eb="12">
      <t>ノゾ</t>
    </rPh>
    <phoneticPr fontId="4"/>
  </si>
  <si>
    <t>原油のうちコンデンセート(NGL)</t>
    <rPh sb="0" eb="2">
      <t>ゲンユ</t>
    </rPh>
    <phoneticPr fontId="1"/>
  </si>
  <si>
    <t>産業用蒸気</t>
    <rPh sb="0" eb="3">
      <t>サンギョウヨウ</t>
    </rPh>
    <rPh sb="3" eb="5">
      <t>ジョウキ</t>
    </rPh>
    <phoneticPr fontId="11"/>
  </si>
  <si>
    <t>自家発電</t>
    <rPh sb="0" eb="2">
      <t>ジカ</t>
    </rPh>
    <rPh sb="2" eb="4">
      <t>ハツデン</t>
    </rPh>
    <phoneticPr fontId="11"/>
  </si>
  <si>
    <t>その他買電</t>
    <phoneticPr fontId="1"/>
  </si>
  <si>
    <t>使用量</t>
    <rPh sb="0" eb="3">
      <t>シヨウリョウ</t>
    </rPh>
    <phoneticPr fontId="4"/>
  </si>
  <si>
    <t>熱量合計</t>
    <rPh sb="0" eb="2">
      <t>ネツリョウ</t>
    </rPh>
    <rPh sb="2" eb="4">
      <t>ゴウケイ</t>
    </rPh>
    <phoneticPr fontId="4"/>
  </si>
  <si>
    <t>原油換算</t>
    <rPh sb="0" eb="2">
      <t>ゲンユ</t>
    </rPh>
    <rPh sb="2" eb="4">
      <t>カンサン</t>
    </rPh>
    <phoneticPr fontId="4"/>
  </si>
  <si>
    <t>GJ</t>
  </si>
  <si>
    <t>GJ</t>
    <phoneticPr fontId="1"/>
  </si>
  <si>
    <t>KL</t>
    <phoneticPr fontId="1"/>
  </si>
  <si>
    <t>排出量合計</t>
    <rPh sb="0" eb="2">
      <t>ハイシュツ</t>
    </rPh>
    <rPh sb="2" eb="3">
      <t>リョウ</t>
    </rPh>
    <rPh sb="3" eb="5">
      <t>ゴウケイ</t>
    </rPh>
    <phoneticPr fontId="4"/>
  </si>
  <si>
    <t>産業用以外の蒸気</t>
    <rPh sb="0" eb="2">
      <t>サンギョウ</t>
    </rPh>
    <rPh sb="2" eb="3">
      <t>ヨウ</t>
    </rPh>
    <rPh sb="3" eb="5">
      <t>イガイ</t>
    </rPh>
    <rPh sb="6" eb="8">
      <t>ジョウキ</t>
    </rPh>
    <phoneticPr fontId="11"/>
  </si>
  <si>
    <t>実施済</t>
    <rPh sb="0" eb="2">
      <t>ジッシ</t>
    </rPh>
    <rPh sb="2" eb="3">
      <t>ズ</t>
    </rPh>
    <phoneticPr fontId="1"/>
  </si>
  <si>
    <t>未実施</t>
    <rPh sb="0" eb="3">
      <t>ミジッシ</t>
    </rPh>
    <phoneticPr fontId="1"/>
  </si>
  <si>
    <t>非該当</t>
    <rPh sb="0" eb="3">
      <t>ヒガイトウ</t>
    </rPh>
    <phoneticPr fontId="1"/>
  </si>
  <si>
    <t>ハイドロフルオロカーボン（HFC）</t>
    <phoneticPr fontId="4"/>
  </si>
  <si>
    <t>パーフルオロカーボン（PFC）</t>
    <phoneticPr fontId="4"/>
  </si>
  <si>
    <t>温室効果ガス排出量内訳</t>
    <rPh sb="0" eb="2">
      <t>オンシツ</t>
    </rPh>
    <rPh sb="2" eb="4">
      <t>コウカ</t>
    </rPh>
    <rPh sb="6" eb="8">
      <t>ハイシュツ</t>
    </rPh>
    <rPh sb="8" eb="9">
      <t>リョウ</t>
    </rPh>
    <rPh sb="9" eb="11">
      <t>ウチワケ</t>
    </rPh>
    <phoneticPr fontId="1"/>
  </si>
  <si>
    <t>合　　　　計</t>
    <rPh sb="0" eb="1">
      <t>ゴウ</t>
    </rPh>
    <rPh sb="5" eb="6">
      <t>ケイ</t>
    </rPh>
    <phoneticPr fontId="4"/>
  </si>
  <si>
    <t>３．クレジット等による削減量</t>
    <rPh sb="7" eb="8">
      <t>ナド</t>
    </rPh>
    <rPh sb="11" eb="13">
      <t>サクゲン</t>
    </rPh>
    <rPh sb="13" eb="14">
      <t>リョウ</t>
    </rPh>
    <phoneticPr fontId="4"/>
  </si>
  <si>
    <t>原単位の指標（分母）</t>
    <rPh sb="0" eb="3">
      <t>ゲンタンイ</t>
    </rPh>
    <rPh sb="4" eb="6">
      <t>シヒョウ</t>
    </rPh>
    <rPh sb="7" eb="9">
      <t>ブンボ</t>
    </rPh>
    <phoneticPr fontId="1"/>
  </si>
  <si>
    <t>４．原単位の指標</t>
    <rPh sb="2" eb="5">
      <t>ゲンタンイ</t>
    </rPh>
    <rPh sb="6" eb="8">
      <t>シヒョウ</t>
    </rPh>
    <phoneticPr fontId="4"/>
  </si>
  <si>
    <t>一部実施済</t>
    <rPh sb="0" eb="2">
      <t>イチブ</t>
    </rPh>
    <rPh sb="2" eb="4">
      <t>ジッシ</t>
    </rPh>
    <rPh sb="4" eb="5">
      <t>ズ</t>
    </rPh>
    <phoneticPr fontId="1"/>
  </si>
  <si>
    <t>状況</t>
    <rPh sb="0" eb="2">
      <t>ジョウキョウ</t>
    </rPh>
    <phoneticPr fontId="1"/>
  </si>
  <si>
    <t>合計</t>
    <rPh sb="0" eb="2">
      <t>ゴウケイ</t>
    </rPh>
    <phoneticPr fontId="1"/>
  </si>
  <si>
    <t>実施予定</t>
    <rPh sb="0" eb="2">
      <t>ジッシ</t>
    </rPh>
    <rPh sb="2" eb="4">
      <t>ヨテイ</t>
    </rPh>
    <phoneticPr fontId="1"/>
  </si>
  <si>
    <t>項目数</t>
    <rPh sb="0" eb="3">
      <t>コウモクスウ</t>
    </rPh>
    <phoneticPr fontId="1"/>
  </si>
  <si>
    <t>第1年度</t>
    <phoneticPr fontId="1"/>
  </si>
  <si>
    <t>第2年度</t>
    <phoneticPr fontId="1"/>
  </si>
  <si>
    <t>第3年度</t>
    <phoneticPr fontId="1"/>
  </si>
  <si>
    <t>予定なし</t>
    <rPh sb="0" eb="2">
      <t>ヨテイ</t>
    </rPh>
    <phoneticPr fontId="1"/>
  </si>
  <si>
    <t>-</t>
    <phoneticPr fontId="1"/>
  </si>
  <si>
    <t>評価指標</t>
    <rPh sb="0" eb="2">
      <t>ヒョウカ</t>
    </rPh>
    <rPh sb="2" eb="4">
      <t>シヒョウ</t>
    </rPh>
    <phoneticPr fontId="1"/>
  </si>
  <si>
    <t>基準年度
評価点</t>
    <rPh sb="0" eb="2">
      <t>キジュン</t>
    </rPh>
    <rPh sb="2" eb="3">
      <t>ネン</t>
    </rPh>
    <rPh sb="3" eb="4">
      <t>ド</t>
    </rPh>
    <rPh sb="5" eb="8">
      <t>ヒョウカテン</t>
    </rPh>
    <phoneticPr fontId="1"/>
  </si>
  <si>
    <t>計画期間満了時
評価点</t>
    <rPh sb="0" eb="2">
      <t>ケイカク</t>
    </rPh>
    <rPh sb="2" eb="4">
      <t>キカン</t>
    </rPh>
    <rPh sb="4" eb="6">
      <t>マンリョウ</t>
    </rPh>
    <rPh sb="6" eb="7">
      <t>ジ</t>
    </rPh>
    <rPh sb="8" eb="11">
      <t>ヒョウカテン</t>
    </rPh>
    <phoneticPr fontId="1"/>
  </si>
  <si>
    <t>基準年度</t>
    <rPh sb="0" eb="2">
      <t>キジュン</t>
    </rPh>
    <rPh sb="2" eb="3">
      <t>ネン</t>
    </rPh>
    <rPh sb="3" eb="4">
      <t>ド</t>
    </rPh>
    <phoneticPr fontId="1"/>
  </si>
  <si>
    <t>一部実施済</t>
    <rPh sb="0" eb="2">
      <t>イチブ</t>
    </rPh>
    <rPh sb="2" eb="4">
      <t>ジッシ</t>
    </rPh>
    <rPh sb="4" eb="5">
      <t>スミ</t>
    </rPh>
    <phoneticPr fontId="1"/>
  </si>
  <si>
    <t>未実施</t>
    <rPh sb="0" eb="3">
      <t>ミジッシ</t>
    </rPh>
    <phoneticPr fontId="1"/>
  </si>
  <si>
    <t>数値</t>
    <phoneticPr fontId="4"/>
  </si>
  <si>
    <t>単位</t>
    <phoneticPr fontId="4"/>
  </si>
  <si>
    <t>基準年度</t>
    <rPh sb="0" eb="2">
      <t>キジュン</t>
    </rPh>
    <phoneticPr fontId="1"/>
  </si>
  <si>
    <t>主たる事業</t>
    <phoneticPr fontId="4"/>
  </si>
  <si>
    <t>目標年度</t>
    <rPh sb="0" eb="2">
      <t>モクヒョウ</t>
    </rPh>
    <rPh sb="2" eb="3">
      <t>ネン</t>
    </rPh>
    <rPh sb="3" eb="4">
      <t>ド</t>
    </rPh>
    <phoneticPr fontId="1"/>
  </si>
  <si>
    <t>％</t>
    <phoneticPr fontId="1"/>
  </si>
  <si>
    <t>目標設定の考え方</t>
    <rPh sb="5" eb="6">
      <t>カンガ</t>
    </rPh>
    <rPh sb="7" eb="8">
      <t>カタ</t>
    </rPh>
    <phoneticPr fontId="1"/>
  </si>
  <si>
    <t>目標設定の考え方</t>
    <rPh sb="0" eb="2">
      <t>モクヒョウ</t>
    </rPh>
    <rPh sb="2" eb="4">
      <t>セッテイ</t>
    </rPh>
    <rPh sb="5" eb="6">
      <t>カンガ</t>
    </rPh>
    <rPh sb="7" eb="8">
      <t>カタ</t>
    </rPh>
    <phoneticPr fontId="4"/>
  </si>
  <si>
    <t>削減量合計</t>
    <rPh sb="0" eb="2">
      <t>サクゲン</t>
    </rPh>
    <rPh sb="2" eb="3">
      <t>リョウ</t>
    </rPh>
    <rPh sb="3" eb="5">
      <t>ゴウケイ</t>
    </rPh>
    <phoneticPr fontId="4"/>
  </si>
  <si>
    <t>温室効果ガス総排出量</t>
    <rPh sb="0" eb="2">
      <t>オンシツ</t>
    </rPh>
    <rPh sb="2" eb="4">
      <t>コウカ</t>
    </rPh>
    <rPh sb="6" eb="7">
      <t>ソウ</t>
    </rPh>
    <rPh sb="7" eb="9">
      <t>ハイシュツ</t>
    </rPh>
    <rPh sb="9" eb="10">
      <t>リョウ</t>
    </rPh>
    <phoneticPr fontId="4"/>
  </si>
  <si>
    <t>目標原単位</t>
    <rPh sb="0" eb="2">
      <t>モクヒョウ</t>
    </rPh>
    <rPh sb="2" eb="5">
      <t>ゲンタンイ</t>
    </rPh>
    <phoneticPr fontId="1"/>
  </si>
  <si>
    <t>中分類</t>
    <rPh sb="0" eb="3">
      <t>チュウブンルイ</t>
    </rPh>
    <phoneticPr fontId="1"/>
  </si>
  <si>
    <t>主たる業種</t>
    <rPh sb="0" eb="1">
      <t>シュ</t>
    </rPh>
    <rPh sb="3" eb="5">
      <t>ギョウシュ</t>
    </rPh>
    <phoneticPr fontId="4"/>
  </si>
  <si>
    <t>主たる業種（細分類）</t>
    <rPh sb="0" eb="1">
      <t>シュ</t>
    </rPh>
    <rPh sb="3" eb="5">
      <t>ギョウシュ</t>
    </rPh>
    <rPh sb="6" eb="9">
      <t>サイブンルイ</t>
    </rPh>
    <phoneticPr fontId="1"/>
  </si>
  <si>
    <t>名称</t>
    <rPh sb="0" eb="2">
      <t>メイショウ</t>
    </rPh>
    <phoneticPr fontId="5"/>
  </si>
  <si>
    <t>0100</t>
  </si>
  <si>
    <t>主として管理事務を行う本社等</t>
  </si>
  <si>
    <t>0109</t>
  </si>
  <si>
    <t>その他の管理，補助的経済活動を行う事業所</t>
  </si>
  <si>
    <t>0111</t>
  </si>
  <si>
    <t>米作農業</t>
  </si>
  <si>
    <t>0112</t>
  </si>
  <si>
    <t>米作以外の穀作農業</t>
  </si>
  <si>
    <t>0113</t>
  </si>
  <si>
    <t>野菜作農業（きのこ類の栽培を含む）</t>
  </si>
  <si>
    <t>0114</t>
  </si>
  <si>
    <t>果樹作農業</t>
  </si>
  <si>
    <t>0115</t>
  </si>
  <si>
    <t>花き作農業</t>
  </si>
  <si>
    <t>0116</t>
  </si>
  <si>
    <t>工芸農作物農業</t>
  </si>
  <si>
    <t>0117</t>
  </si>
  <si>
    <t>ばれいしょ・かんしょ作農業</t>
  </si>
  <si>
    <t>0119</t>
  </si>
  <si>
    <t>その他の耕種農業</t>
  </si>
  <si>
    <t>0121</t>
  </si>
  <si>
    <t>酪農業</t>
  </si>
  <si>
    <t>0122</t>
  </si>
  <si>
    <t>肉用牛生産業</t>
  </si>
  <si>
    <t>0123</t>
  </si>
  <si>
    <t>養豚業</t>
  </si>
  <si>
    <t>0124</t>
  </si>
  <si>
    <t>養鶏業</t>
  </si>
  <si>
    <t>0125</t>
  </si>
  <si>
    <t>畜産類似業</t>
  </si>
  <si>
    <t>0126</t>
  </si>
  <si>
    <t>養蚕農業</t>
  </si>
  <si>
    <t>0129</t>
  </si>
  <si>
    <t>その他の畜産農業</t>
  </si>
  <si>
    <t>0131</t>
  </si>
  <si>
    <t>穀作サービス業</t>
  </si>
  <si>
    <t>0132</t>
  </si>
  <si>
    <t>野菜作・果樹作サービス業</t>
  </si>
  <si>
    <t>0133</t>
  </si>
  <si>
    <t>穀作，野菜作・果樹作以外の耕種サービス業</t>
  </si>
  <si>
    <t>0134</t>
  </si>
  <si>
    <t>畜産サービス業（獣医業を除く）</t>
  </si>
  <si>
    <t>0141</t>
  </si>
  <si>
    <t>園芸サービス業</t>
  </si>
  <si>
    <t>0200</t>
  </si>
  <si>
    <t>0209</t>
  </si>
  <si>
    <t>0211</t>
  </si>
  <si>
    <t>育林業</t>
  </si>
  <si>
    <t>0221</t>
  </si>
  <si>
    <t>素材生産業</t>
  </si>
  <si>
    <t>0231</t>
  </si>
  <si>
    <t>製薪炭業</t>
  </si>
  <si>
    <t>0239</t>
  </si>
  <si>
    <t>その他の特用林産物生産業（きのこ類の栽培を除く）</t>
  </si>
  <si>
    <t>0241</t>
  </si>
  <si>
    <t>育林サービス業</t>
  </si>
  <si>
    <t>0242</t>
  </si>
  <si>
    <t>素材生産サービス業</t>
  </si>
  <si>
    <t>0243</t>
  </si>
  <si>
    <t>山林種苗生産サービス業</t>
  </si>
  <si>
    <t>0249</t>
  </si>
  <si>
    <t>その他の林業サービス業</t>
  </si>
  <si>
    <t>0299</t>
  </si>
  <si>
    <t>その他の林業</t>
  </si>
  <si>
    <t>0300</t>
  </si>
  <si>
    <t>0309</t>
  </si>
  <si>
    <t>0311</t>
  </si>
  <si>
    <t>底びき網漁業</t>
  </si>
  <si>
    <t>0312</t>
  </si>
  <si>
    <t>まき網漁業</t>
  </si>
  <si>
    <t>0313</t>
  </si>
  <si>
    <t>刺網漁業</t>
  </si>
  <si>
    <t>0314</t>
  </si>
  <si>
    <t>釣・はえ縄漁業</t>
  </si>
  <si>
    <t>0315</t>
  </si>
  <si>
    <t>定置網漁業</t>
  </si>
  <si>
    <t>0316</t>
  </si>
  <si>
    <t>地びき網・船びき網漁業</t>
  </si>
  <si>
    <t>0317</t>
  </si>
  <si>
    <t>採貝・採藻業</t>
  </si>
  <si>
    <t>0318</t>
  </si>
  <si>
    <t>捕鯨業</t>
  </si>
  <si>
    <t>0319</t>
  </si>
  <si>
    <t>その他の海面漁業</t>
  </si>
  <si>
    <t>0321</t>
  </si>
  <si>
    <t>内水面漁業</t>
  </si>
  <si>
    <t>0400</t>
  </si>
  <si>
    <t>0409</t>
  </si>
  <si>
    <t>0411</t>
  </si>
  <si>
    <t>魚類養殖業</t>
  </si>
  <si>
    <t>0412</t>
  </si>
  <si>
    <t>貝類養殖業</t>
  </si>
  <si>
    <t>0413</t>
  </si>
  <si>
    <t>藻類養殖業</t>
  </si>
  <si>
    <t>0414</t>
  </si>
  <si>
    <t>真珠養殖業</t>
  </si>
  <si>
    <t>0415</t>
  </si>
  <si>
    <t>種苗養殖業</t>
  </si>
  <si>
    <t>0419</t>
  </si>
  <si>
    <t>その他の海面養殖業</t>
  </si>
  <si>
    <t>0421</t>
  </si>
  <si>
    <t>内水面養殖業</t>
  </si>
  <si>
    <t>0500</t>
  </si>
  <si>
    <t>0509</t>
  </si>
  <si>
    <t>0511</t>
  </si>
  <si>
    <t>金・銀鉱業</t>
  </si>
  <si>
    <t>0512</t>
  </si>
  <si>
    <t>鉛・亜鉛鉱業</t>
  </si>
  <si>
    <t>0513</t>
  </si>
  <si>
    <t>鉄鉱業</t>
  </si>
  <si>
    <t>0519</t>
  </si>
  <si>
    <t>その他の金属鉱業</t>
  </si>
  <si>
    <t>0521</t>
  </si>
  <si>
    <t>石炭鉱業（石炭選別業を含む）</t>
  </si>
  <si>
    <t>0522</t>
  </si>
  <si>
    <t>亜炭鉱業</t>
  </si>
  <si>
    <t>0531</t>
  </si>
  <si>
    <t>原油鉱業</t>
  </si>
  <si>
    <t>0532</t>
  </si>
  <si>
    <t>天然ガス鉱業</t>
  </si>
  <si>
    <t>0541</t>
  </si>
  <si>
    <t>花こう岩・同類似岩石採石業</t>
  </si>
  <si>
    <t>0542</t>
  </si>
  <si>
    <t>石英粗面岩・同類似岩石採石業</t>
  </si>
  <si>
    <t>0543</t>
  </si>
  <si>
    <t>安山岩・同類似岩石採石業</t>
  </si>
  <si>
    <t>0544</t>
  </si>
  <si>
    <t>大理石採石業</t>
  </si>
  <si>
    <t>0545</t>
  </si>
  <si>
    <t>ぎょう灰岩採石業</t>
  </si>
  <si>
    <t>0546</t>
  </si>
  <si>
    <t>砂岩採石業</t>
  </si>
  <si>
    <t>0547</t>
  </si>
  <si>
    <t>粘板岩採石業</t>
  </si>
  <si>
    <t>0548</t>
  </si>
  <si>
    <t>砂・砂利・玉石採取業</t>
  </si>
  <si>
    <t>0549</t>
  </si>
  <si>
    <t>その他の採石業，砂・砂利・玉石採取業</t>
  </si>
  <si>
    <t>0551</t>
  </si>
  <si>
    <t>耐火粘土鉱業</t>
  </si>
  <si>
    <t>0552</t>
  </si>
  <si>
    <t>ろう石鉱業</t>
  </si>
  <si>
    <t>0553</t>
  </si>
  <si>
    <t>ドロマイト鉱業</t>
  </si>
  <si>
    <t>0554</t>
  </si>
  <si>
    <t>長石鉱業</t>
  </si>
  <si>
    <t>0555</t>
  </si>
  <si>
    <t>けい石鉱業</t>
  </si>
  <si>
    <t>0556</t>
  </si>
  <si>
    <t>天然けい砂鉱業</t>
  </si>
  <si>
    <t>0557</t>
  </si>
  <si>
    <t>石灰石鉱業</t>
  </si>
  <si>
    <t>0559</t>
  </si>
  <si>
    <t>その他の窯業原料用鉱物鉱業</t>
  </si>
  <si>
    <t>0591</t>
  </si>
  <si>
    <t>酸性白土鉱業</t>
  </si>
  <si>
    <t>0592</t>
  </si>
  <si>
    <t>ベントナイト鉱業</t>
  </si>
  <si>
    <t>0593</t>
  </si>
  <si>
    <t>けいそう土鉱業</t>
  </si>
  <si>
    <t>0594</t>
  </si>
  <si>
    <t>滑石鉱業</t>
  </si>
  <si>
    <t>0599</t>
  </si>
  <si>
    <t>他に分類されない鉱業</t>
  </si>
  <si>
    <t>0600</t>
  </si>
  <si>
    <t>0609</t>
  </si>
  <si>
    <t>0611</t>
  </si>
  <si>
    <t>一般土木建築工事業</t>
  </si>
  <si>
    <t>0621</t>
  </si>
  <si>
    <t>土木工事業(別掲を除く)</t>
  </si>
  <si>
    <t>0622</t>
  </si>
  <si>
    <t>造園工事業</t>
  </si>
  <si>
    <t>0623</t>
  </si>
  <si>
    <t>しゅんせつ工事業</t>
  </si>
  <si>
    <t>0631</t>
  </si>
  <si>
    <t>舗装工事業</t>
  </si>
  <si>
    <t>0641</t>
  </si>
  <si>
    <t>建築工事業(木造建築工事業を除く)</t>
  </si>
  <si>
    <t>0651</t>
  </si>
  <si>
    <t>木造建築工事業</t>
  </si>
  <si>
    <t>0661</t>
  </si>
  <si>
    <t>建築リフォーム工事業</t>
  </si>
  <si>
    <t>0700</t>
  </si>
  <si>
    <t>0709</t>
  </si>
  <si>
    <t>0711</t>
  </si>
  <si>
    <t>大工工事業(型枠大工工事業を除く)</t>
  </si>
  <si>
    <t>0712</t>
  </si>
  <si>
    <t>型枠大工工事業</t>
  </si>
  <si>
    <t>0721</t>
  </si>
  <si>
    <t>とび工事業</t>
  </si>
  <si>
    <t>0722</t>
  </si>
  <si>
    <t>土工・コンクリート工事業</t>
  </si>
  <si>
    <t>0723</t>
  </si>
  <si>
    <t>特殊コンクリート工事業</t>
  </si>
  <si>
    <t>0731</t>
  </si>
  <si>
    <t>鉄骨工事業</t>
  </si>
  <si>
    <t>0732</t>
  </si>
  <si>
    <t>鉄筋工事業</t>
  </si>
  <si>
    <t>0741</t>
  </si>
  <si>
    <t>石工工事業</t>
  </si>
  <si>
    <t>0742</t>
  </si>
  <si>
    <t>れんが工事業</t>
  </si>
  <si>
    <t>0743</t>
  </si>
  <si>
    <t>タイル工事業</t>
  </si>
  <si>
    <t>0744</t>
  </si>
  <si>
    <t>コンクリートブロック工事業</t>
  </si>
  <si>
    <t>0751</t>
  </si>
  <si>
    <t>左官工事業</t>
  </si>
  <si>
    <t>0761</t>
  </si>
  <si>
    <t>金属製屋根工事業</t>
  </si>
  <si>
    <t>0762</t>
  </si>
  <si>
    <t>板金工事業</t>
  </si>
  <si>
    <t>0763</t>
  </si>
  <si>
    <t>建築金物工事業</t>
  </si>
  <si>
    <t>0771</t>
  </si>
  <si>
    <t>塗装工事業（道路標示・区画線工事業を除く）</t>
  </si>
  <si>
    <t>0772</t>
  </si>
  <si>
    <t>道路標示・区画線工事業</t>
  </si>
  <si>
    <t>0781</t>
  </si>
  <si>
    <t>床工事業</t>
  </si>
  <si>
    <t>0782</t>
  </si>
  <si>
    <t>内装工事業</t>
  </si>
  <si>
    <t>0791</t>
  </si>
  <si>
    <t>ガラス工事業</t>
  </si>
  <si>
    <t>0792</t>
  </si>
  <si>
    <t>金属製建具工事業</t>
  </si>
  <si>
    <t>0793</t>
  </si>
  <si>
    <t>木製建具工事業</t>
  </si>
  <si>
    <t>0794</t>
  </si>
  <si>
    <t>屋根工事業（金属製屋根工事業を除く）</t>
  </si>
  <si>
    <t>0795</t>
  </si>
  <si>
    <t>防水工事業</t>
  </si>
  <si>
    <t>0796</t>
  </si>
  <si>
    <t>はつり・解体工事業</t>
  </si>
  <si>
    <t>0799</t>
  </si>
  <si>
    <t>他に分類されない職別工事業</t>
  </si>
  <si>
    <t>0800</t>
  </si>
  <si>
    <t>0809</t>
  </si>
  <si>
    <t>0811</t>
  </si>
  <si>
    <t>一般電気工事業</t>
  </si>
  <si>
    <t>0812</t>
  </si>
  <si>
    <t>電気配線工事業</t>
  </si>
  <si>
    <t>0821</t>
  </si>
  <si>
    <t>電気通信工事業（有線テレビジョン放送設備設置工事業を除く）</t>
  </si>
  <si>
    <t>0822</t>
  </si>
  <si>
    <t>有線テレビジョン放送設備設置工事業</t>
  </si>
  <si>
    <t>0823</t>
  </si>
  <si>
    <t>信号装置工事業</t>
  </si>
  <si>
    <t>0831</t>
  </si>
  <si>
    <t>一般管工事業</t>
  </si>
  <si>
    <t>0832</t>
  </si>
  <si>
    <t>冷暖房設備工事業</t>
  </si>
  <si>
    <t>0833</t>
  </si>
  <si>
    <t>給排水・衛生設備工事業</t>
  </si>
  <si>
    <t>0839</t>
  </si>
  <si>
    <t>その他の管工事業</t>
  </si>
  <si>
    <t>0841</t>
  </si>
  <si>
    <t>機械器具設置工事業（昇降設備工事業を除く）</t>
  </si>
  <si>
    <t>0842</t>
  </si>
  <si>
    <t>昇降設備工事業</t>
  </si>
  <si>
    <t>0891</t>
  </si>
  <si>
    <t>築炉工事業</t>
  </si>
  <si>
    <t>0892</t>
  </si>
  <si>
    <t>熱絶縁工事業</t>
  </si>
  <si>
    <t>0893</t>
  </si>
  <si>
    <t>道路標識設置工事業</t>
  </si>
  <si>
    <t>0894</t>
  </si>
  <si>
    <t>さく井工事業</t>
  </si>
  <si>
    <t>0900</t>
  </si>
  <si>
    <t>0909</t>
  </si>
  <si>
    <t>0911</t>
  </si>
  <si>
    <t>部分肉・冷凍肉製造業</t>
  </si>
  <si>
    <t>0912</t>
  </si>
  <si>
    <t>肉加工品製造業</t>
  </si>
  <si>
    <t>0913</t>
  </si>
  <si>
    <t>処理牛乳・乳飲料製造業</t>
  </si>
  <si>
    <t>0914</t>
  </si>
  <si>
    <t>乳製品製造業（処理牛乳，乳飲料を除く）</t>
  </si>
  <si>
    <t>0919</t>
  </si>
  <si>
    <t>その他の畜産食料品製造業</t>
  </si>
  <si>
    <t>0921</t>
  </si>
  <si>
    <t>水産缶詰・瓶詰製造業</t>
  </si>
  <si>
    <t>0922</t>
  </si>
  <si>
    <t>海藻加工業</t>
  </si>
  <si>
    <t>0923</t>
  </si>
  <si>
    <t>水産練製品製造業</t>
  </si>
  <si>
    <t>0924</t>
  </si>
  <si>
    <t>塩干・塩蔵品製造業</t>
  </si>
  <si>
    <t>0925</t>
  </si>
  <si>
    <t>冷凍水産物製造業</t>
  </si>
  <si>
    <t>0926</t>
  </si>
  <si>
    <t>冷凍水産食品製造業</t>
  </si>
  <si>
    <t>0929</t>
  </si>
  <si>
    <t>その他の水産食料品製造業</t>
  </si>
  <si>
    <t>0931</t>
  </si>
  <si>
    <t>野菜缶詰・果実缶詰・農産保存食料品製造業（野菜漬物を除く）</t>
  </si>
  <si>
    <t>0932</t>
  </si>
  <si>
    <t>野菜漬物製造業（缶詰，瓶詰，つぼ詰を除く）</t>
  </si>
  <si>
    <t>0941</t>
  </si>
  <si>
    <t>味そ製造業</t>
  </si>
  <si>
    <t>0942</t>
  </si>
  <si>
    <t>しょう油・食用アミノ酸製造業</t>
  </si>
  <si>
    <t>0943</t>
  </si>
  <si>
    <t>ソース製造業</t>
  </si>
  <si>
    <t>0944</t>
  </si>
  <si>
    <t>食酢製造業</t>
  </si>
  <si>
    <t>0949</t>
  </si>
  <si>
    <t>その他の調味料製造業</t>
  </si>
  <si>
    <t>0951</t>
  </si>
  <si>
    <t>砂糖製造業（砂糖精製業を除く）</t>
  </si>
  <si>
    <t>0952</t>
  </si>
  <si>
    <t>砂糖精製業</t>
  </si>
  <si>
    <t>0953</t>
  </si>
  <si>
    <t>ぶどう糖・水あめ・異性化糖製造業</t>
  </si>
  <si>
    <t>0961</t>
  </si>
  <si>
    <t>精米・精麦業</t>
  </si>
  <si>
    <t>0962</t>
  </si>
  <si>
    <t>小麦粉製造業</t>
  </si>
  <si>
    <t>0969</t>
  </si>
  <si>
    <t>その他の精穀・製粉業</t>
  </si>
  <si>
    <t>0971</t>
  </si>
  <si>
    <t>パン製造業</t>
  </si>
  <si>
    <t>0972</t>
  </si>
  <si>
    <t>生菓子製造業</t>
  </si>
  <si>
    <t>0973</t>
  </si>
  <si>
    <t>ビスケット類・干菓子製造業</t>
  </si>
  <si>
    <t>0974</t>
  </si>
  <si>
    <t>米菓製造業</t>
  </si>
  <si>
    <t>0979</t>
  </si>
  <si>
    <t>その他のパン・菓子製造業</t>
  </si>
  <si>
    <t>0981</t>
  </si>
  <si>
    <t>動植物油脂製造業（食用油脂加工業を除く）</t>
  </si>
  <si>
    <t>0982</t>
  </si>
  <si>
    <t>食用油脂加工業</t>
  </si>
  <si>
    <t>0991</t>
  </si>
  <si>
    <t>でんぷん製造業</t>
  </si>
  <si>
    <t>0992</t>
  </si>
  <si>
    <t>めん類製造業</t>
  </si>
  <si>
    <t>0993</t>
  </si>
  <si>
    <t>豆腐・油揚製造業</t>
  </si>
  <si>
    <t>0994</t>
  </si>
  <si>
    <t>あん類製造業</t>
  </si>
  <si>
    <t>0995</t>
  </si>
  <si>
    <t>冷凍調理食品製造業</t>
  </si>
  <si>
    <t>0996</t>
  </si>
  <si>
    <t>そう（惣）菜製造業</t>
  </si>
  <si>
    <t>0997</t>
  </si>
  <si>
    <t>すし・弁当・調理パン製造業</t>
  </si>
  <si>
    <t>0998</t>
  </si>
  <si>
    <t>レトルト食品製造業</t>
  </si>
  <si>
    <t>0999</t>
  </si>
  <si>
    <t>他に分類されない食料品製造業</t>
  </si>
  <si>
    <t>1000</t>
  </si>
  <si>
    <t>1009</t>
  </si>
  <si>
    <t>1011</t>
  </si>
  <si>
    <t>清涼飲料製造業</t>
  </si>
  <si>
    <t>1021</t>
  </si>
  <si>
    <t>果実酒製造業</t>
  </si>
  <si>
    <t>1022</t>
  </si>
  <si>
    <t>ビール類製造業</t>
  </si>
  <si>
    <t>1023</t>
  </si>
  <si>
    <t>清酒製造業</t>
  </si>
  <si>
    <t>1024</t>
  </si>
  <si>
    <t>蒸留酒・混成酒製造業</t>
  </si>
  <si>
    <t>1031</t>
  </si>
  <si>
    <t>製茶業</t>
  </si>
  <si>
    <t>1032</t>
  </si>
  <si>
    <t>コーヒー製造業</t>
  </si>
  <si>
    <t>1041</t>
  </si>
  <si>
    <t>製氷業</t>
  </si>
  <si>
    <t>1051</t>
  </si>
  <si>
    <t>たばこ製造業（葉たばこ処理業を除く)</t>
  </si>
  <si>
    <t>1052</t>
  </si>
  <si>
    <t>葉たばこ処理業</t>
  </si>
  <si>
    <t>1061</t>
  </si>
  <si>
    <t>配合飼料製造業</t>
  </si>
  <si>
    <t>1062</t>
  </si>
  <si>
    <t>単体飼料製造業</t>
  </si>
  <si>
    <t>1063</t>
  </si>
  <si>
    <t>有機質肥料製造業</t>
  </si>
  <si>
    <t>1100</t>
  </si>
  <si>
    <t>1109</t>
  </si>
  <si>
    <t>1111</t>
  </si>
  <si>
    <t>製糸業</t>
  </si>
  <si>
    <t>1112</t>
  </si>
  <si>
    <t>化学繊維製造業</t>
  </si>
  <si>
    <t>1113</t>
  </si>
  <si>
    <t>炭素繊維製造業</t>
  </si>
  <si>
    <t>1114</t>
  </si>
  <si>
    <t>綿紡績業</t>
  </si>
  <si>
    <t>1115</t>
  </si>
  <si>
    <t>化学繊維紡績業</t>
  </si>
  <si>
    <t>1116</t>
  </si>
  <si>
    <t>毛紡績業</t>
  </si>
  <si>
    <t>1117</t>
  </si>
  <si>
    <t>ねん糸製造業（かさ高加工糸を除く）</t>
  </si>
  <si>
    <t>1118</t>
  </si>
  <si>
    <t>かさ高加工糸製造業</t>
  </si>
  <si>
    <t>1119</t>
  </si>
  <si>
    <t>その他の紡績業</t>
  </si>
  <si>
    <t>1121</t>
  </si>
  <si>
    <t>綿・スフ織物業</t>
  </si>
  <si>
    <t>1122</t>
  </si>
  <si>
    <t>絹・人絹織物業</t>
  </si>
  <si>
    <t>1123</t>
  </si>
  <si>
    <t>毛織物業</t>
  </si>
  <si>
    <t>1124</t>
  </si>
  <si>
    <t>麻織物業</t>
  </si>
  <si>
    <t>1125</t>
  </si>
  <si>
    <t>細幅織物業</t>
  </si>
  <si>
    <t>1129</t>
  </si>
  <si>
    <t>その他の織物業</t>
  </si>
  <si>
    <t>1131</t>
  </si>
  <si>
    <t>丸編ニット生地製造業</t>
  </si>
  <si>
    <t>1132</t>
  </si>
  <si>
    <t>たて編ニット生地製造業</t>
  </si>
  <si>
    <t>1133</t>
  </si>
  <si>
    <t>横編ニット生地製造業</t>
  </si>
  <si>
    <t>1141</t>
  </si>
  <si>
    <t>綿・スフ・麻織物機械染色業</t>
  </si>
  <si>
    <t>1142</t>
  </si>
  <si>
    <t>絹・人絹織物機械染色業</t>
  </si>
  <si>
    <t>1143</t>
  </si>
  <si>
    <t>毛織物機械染色整理業</t>
  </si>
  <si>
    <t>1144</t>
  </si>
  <si>
    <t>織物整理業</t>
  </si>
  <si>
    <t>1145</t>
  </si>
  <si>
    <t>織物手加工染色整理業</t>
  </si>
  <si>
    <t>1146</t>
  </si>
  <si>
    <t>綿状繊維・糸染色整理業</t>
  </si>
  <si>
    <t>1147</t>
  </si>
  <si>
    <t>ニット・レース染色整理業</t>
  </si>
  <si>
    <t>1148</t>
  </si>
  <si>
    <t>繊維雑品染色整理業</t>
  </si>
  <si>
    <t>1151</t>
  </si>
  <si>
    <t>綱製造業</t>
  </si>
  <si>
    <t>1152</t>
  </si>
  <si>
    <t>漁網製造業</t>
  </si>
  <si>
    <t>1153</t>
  </si>
  <si>
    <t>網地製造業（漁網を除く）</t>
  </si>
  <si>
    <t>1154</t>
  </si>
  <si>
    <t>レース製造業</t>
  </si>
  <si>
    <t>1155</t>
  </si>
  <si>
    <t>組ひも製造業</t>
  </si>
  <si>
    <t>1156</t>
  </si>
  <si>
    <t>整毛業</t>
  </si>
  <si>
    <t>1157</t>
  </si>
  <si>
    <t>フェルト・不織布製造業</t>
  </si>
  <si>
    <t>1158</t>
  </si>
  <si>
    <t>上塗りした織物・防水した織物製造業</t>
  </si>
  <si>
    <t>1159</t>
  </si>
  <si>
    <t>その他の繊維粗製品製造業</t>
  </si>
  <si>
    <t>1161</t>
  </si>
  <si>
    <t>織物製成人男子・少年服製造業（不織布製及びレース製を含む）</t>
  </si>
  <si>
    <t>1162</t>
  </si>
  <si>
    <t>織物製成人女子・少女服製造業（不織布製及びレース製を含む）</t>
  </si>
  <si>
    <t>1163</t>
  </si>
  <si>
    <t>織物製乳幼児服製造業（不織布製及びレース製を含む）</t>
  </si>
  <si>
    <t>1164</t>
  </si>
  <si>
    <t>織物製シャツ製造業（不織布製及びレース製を含み、下着を除く）</t>
  </si>
  <si>
    <t>1165</t>
  </si>
  <si>
    <t>1166</t>
  </si>
  <si>
    <t>ニット製外衣製造業（アウターシャツ類，セーター類などを除く）</t>
  </si>
  <si>
    <t>1167</t>
  </si>
  <si>
    <t>ニット製アウターシャツ類製造業</t>
  </si>
  <si>
    <t>1168</t>
  </si>
  <si>
    <t>セーター類製造業</t>
  </si>
  <si>
    <t>1169</t>
  </si>
  <si>
    <t>その他の外衣・シャツ製造業</t>
  </si>
  <si>
    <t>1171</t>
  </si>
  <si>
    <t>織物製下着製造業</t>
  </si>
  <si>
    <t>1172</t>
  </si>
  <si>
    <t>ニット製下着製造業</t>
  </si>
  <si>
    <t>1173</t>
  </si>
  <si>
    <t>織物製・ニット製寝着類製造業</t>
  </si>
  <si>
    <t>1174</t>
  </si>
  <si>
    <t>補整着製造業</t>
  </si>
  <si>
    <t>1181</t>
  </si>
  <si>
    <t>和装製品製造業（足袋を含む）</t>
  </si>
  <si>
    <t>1182</t>
  </si>
  <si>
    <t>ネクタイ製造業</t>
  </si>
  <si>
    <t>1183</t>
  </si>
  <si>
    <t>スカーフ・マフラー・ハンカチーフ製造業</t>
  </si>
  <si>
    <t>1184</t>
  </si>
  <si>
    <t>靴下製造業</t>
  </si>
  <si>
    <t>1185</t>
  </si>
  <si>
    <t>手袋製造業</t>
  </si>
  <si>
    <t>1186</t>
  </si>
  <si>
    <t>帽子製造業（帽体を含む）</t>
  </si>
  <si>
    <t>1189</t>
  </si>
  <si>
    <t>他に分類されない衣服・繊維製身の回り品製造業</t>
  </si>
  <si>
    <t>1191</t>
  </si>
  <si>
    <t>寝具製造業</t>
  </si>
  <si>
    <t>1192</t>
  </si>
  <si>
    <t>毛布製造業</t>
  </si>
  <si>
    <t>1193</t>
  </si>
  <si>
    <t>じゅうたん・その他の繊維製床敷物製造業</t>
  </si>
  <si>
    <t>1194</t>
  </si>
  <si>
    <t>帆布製品製造業</t>
  </si>
  <si>
    <t>1195</t>
  </si>
  <si>
    <t>繊維製袋製造業</t>
  </si>
  <si>
    <t>1196</t>
  </si>
  <si>
    <t>刺しゅう業</t>
  </si>
  <si>
    <t>1197</t>
  </si>
  <si>
    <t>タオル製造業</t>
  </si>
  <si>
    <t>1198</t>
  </si>
  <si>
    <t>繊維製衛生材料製造業</t>
  </si>
  <si>
    <t>1199</t>
  </si>
  <si>
    <t>他に分類されない繊維製品製造業</t>
  </si>
  <si>
    <t>1200</t>
  </si>
  <si>
    <t>1209</t>
  </si>
  <si>
    <t>1211</t>
  </si>
  <si>
    <t>一般製材業</t>
  </si>
  <si>
    <t>1212</t>
  </si>
  <si>
    <t>単板（ベニヤ）製造業</t>
  </si>
  <si>
    <t>1213</t>
  </si>
  <si>
    <t>木材チップ製造業</t>
  </si>
  <si>
    <t>1219</t>
  </si>
  <si>
    <t>その他の特殊製材業</t>
  </si>
  <si>
    <t>1221</t>
  </si>
  <si>
    <t>造作材製造業（建具を除く）</t>
  </si>
  <si>
    <t>1222</t>
  </si>
  <si>
    <t>合板製造業</t>
  </si>
  <si>
    <t>1223</t>
  </si>
  <si>
    <t>集成材製造業</t>
  </si>
  <si>
    <t>1224</t>
  </si>
  <si>
    <t>建築用木製組立材料製造業</t>
  </si>
  <si>
    <t>1225</t>
  </si>
  <si>
    <t>パーティクルボード製造業</t>
  </si>
  <si>
    <t>1226</t>
  </si>
  <si>
    <t>繊維板製造業</t>
  </si>
  <si>
    <t>1227</t>
  </si>
  <si>
    <t>銘木製造業</t>
  </si>
  <si>
    <t>1228</t>
  </si>
  <si>
    <t>床板製造業</t>
    <rPh sb="0" eb="2">
      <t>ユカイタ</t>
    </rPh>
    <rPh sb="2" eb="5">
      <t>セイゾウギョウ</t>
    </rPh>
    <phoneticPr fontId="5"/>
  </si>
  <si>
    <t>1231</t>
  </si>
  <si>
    <t>竹・とう・きりゅう等容器製造業</t>
  </si>
  <si>
    <t>1232</t>
  </si>
  <si>
    <t>木箱製造業</t>
  </si>
  <si>
    <t>1233</t>
  </si>
  <si>
    <t>たる・おけ製造業</t>
  </si>
  <si>
    <t>1291</t>
  </si>
  <si>
    <t>木材薬品処理業</t>
  </si>
  <si>
    <t>1292</t>
  </si>
  <si>
    <t>コルク加工基礎資材・コルク製品製造業</t>
  </si>
  <si>
    <t>1299</t>
  </si>
  <si>
    <t>他に分類されない木製品製造業(竹，とうを含む)</t>
  </si>
  <si>
    <t>1300</t>
  </si>
  <si>
    <t>1309</t>
  </si>
  <si>
    <t>1311</t>
  </si>
  <si>
    <t>木製家具製造業（漆塗りを除く）</t>
  </si>
  <si>
    <t>1312</t>
  </si>
  <si>
    <t>金属製家具製造業</t>
  </si>
  <si>
    <t>1313</t>
  </si>
  <si>
    <t>マットレス・組スプリング製造業</t>
  </si>
  <si>
    <t>1321</t>
  </si>
  <si>
    <t>宗教用具製造業</t>
  </si>
  <si>
    <t>1331</t>
  </si>
  <si>
    <t>建具製造業</t>
  </si>
  <si>
    <t>1391</t>
  </si>
  <si>
    <t>事務所用・店舗用装備品製造業</t>
  </si>
  <si>
    <t>1392</t>
  </si>
  <si>
    <t>窓用・扉用日よけ，日本びょうぶ等製造業</t>
  </si>
  <si>
    <t>1393</t>
  </si>
  <si>
    <t>鏡縁・額縁製造業</t>
  </si>
  <si>
    <t>1399</t>
  </si>
  <si>
    <t>他に分類されない家具・装備品製造業</t>
  </si>
  <si>
    <t>1400</t>
  </si>
  <si>
    <t>1409</t>
  </si>
  <si>
    <t>1411</t>
  </si>
  <si>
    <t>パルプ製造業</t>
  </si>
  <si>
    <t>1421</t>
  </si>
  <si>
    <t>洋紙製造業</t>
  </si>
  <si>
    <t>1422</t>
  </si>
  <si>
    <t>板紙製造業</t>
  </si>
  <si>
    <t>1423</t>
  </si>
  <si>
    <t>機械すき和紙製造業</t>
  </si>
  <si>
    <t>1424</t>
  </si>
  <si>
    <t>手すき和紙製造業</t>
  </si>
  <si>
    <t>1431</t>
  </si>
  <si>
    <t>塗工紙製造業（印刷用紙を除く）</t>
  </si>
  <si>
    <t>1432</t>
  </si>
  <si>
    <t>段ボール製造業</t>
  </si>
  <si>
    <t>1433</t>
  </si>
  <si>
    <t>壁紙・ふすま紙製造業</t>
  </si>
  <si>
    <t>1441</t>
  </si>
  <si>
    <t>事務用・学用紙製品製造業</t>
  </si>
  <si>
    <t>1442</t>
  </si>
  <si>
    <t>日用紙製品製造業</t>
  </si>
  <si>
    <t>1449</t>
  </si>
  <si>
    <t>その他の紙製品製造業</t>
  </si>
  <si>
    <t>1451</t>
  </si>
  <si>
    <t>重包装紙袋製造業</t>
  </si>
  <si>
    <t>1452</t>
  </si>
  <si>
    <t>角底紙袋製造業</t>
  </si>
  <si>
    <t>1453</t>
  </si>
  <si>
    <t>段ボール箱製造業</t>
  </si>
  <si>
    <t>1454</t>
  </si>
  <si>
    <t>紙器製造業</t>
  </si>
  <si>
    <t>1499</t>
  </si>
  <si>
    <t>その他のパルプ・紙・紙加工品製造業</t>
  </si>
  <si>
    <t>1500</t>
  </si>
  <si>
    <t>1509</t>
  </si>
  <si>
    <t>1511</t>
  </si>
  <si>
    <t>オフセット印刷業（紙に対するもの）</t>
  </si>
  <si>
    <t>1512</t>
  </si>
  <si>
    <t>オフセット印刷以外の印刷業（紙に対するもの）</t>
  </si>
  <si>
    <t>1513</t>
  </si>
  <si>
    <t>紙以外の印刷業</t>
  </si>
  <si>
    <t>1521</t>
  </si>
  <si>
    <t>製版業</t>
  </si>
  <si>
    <t>1531</t>
  </si>
  <si>
    <t>製本業</t>
  </si>
  <si>
    <t>1532</t>
  </si>
  <si>
    <t>印刷物加工業</t>
  </si>
  <si>
    <t>1591</t>
  </si>
  <si>
    <t>印刷関連サービス業</t>
  </si>
  <si>
    <t>1600</t>
  </si>
  <si>
    <t>1609</t>
  </si>
  <si>
    <t>1611</t>
  </si>
  <si>
    <t>窒素質・りん酸質肥料製造業</t>
  </si>
  <si>
    <t>1612</t>
  </si>
  <si>
    <t>複合肥料製造業</t>
  </si>
  <si>
    <t>1619</t>
  </si>
  <si>
    <t>その他の化学肥料製造業</t>
  </si>
  <si>
    <t>1621</t>
  </si>
  <si>
    <t>ソーダ工業</t>
  </si>
  <si>
    <t>1622</t>
  </si>
  <si>
    <t>無機顔料製造業</t>
  </si>
  <si>
    <t>1623</t>
  </si>
  <si>
    <t>圧縮ガス・液化ガス製造業</t>
  </si>
  <si>
    <t>1624</t>
  </si>
  <si>
    <t>塩製造業</t>
  </si>
  <si>
    <t>1629</t>
  </si>
  <si>
    <t>その他の無機化学工業製品製造業</t>
  </si>
  <si>
    <t>1631</t>
  </si>
  <si>
    <t>石油化学系基礎製品製造業（一貫して生産される誘導品を含む）</t>
  </si>
  <si>
    <t>1632</t>
  </si>
  <si>
    <t>脂肪族系中間物製造業（脂肪族系溶剤を含む）</t>
  </si>
  <si>
    <t>1633</t>
  </si>
  <si>
    <t>発酵工業</t>
  </si>
  <si>
    <t>1634</t>
  </si>
  <si>
    <t>環式中間物・合成染料・有機顔料製造業</t>
  </si>
  <si>
    <t>1635</t>
  </si>
  <si>
    <t>プラスチック製造業</t>
  </si>
  <si>
    <t>1636</t>
  </si>
  <si>
    <t>合成ゴム製造業</t>
  </si>
  <si>
    <t>1639</t>
  </si>
  <si>
    <t>その他の有機化学工業製品製造業</t>
  </si>
  <si>
    <t>1641</t>
  </si>
  <si>
    <t>脂肪酸・硬化油・グリセリン製造業</t>
  </si>
  <si>
    <t>1642</t>
  </si>
  <si>
    <t>石けん・合成洗剤製造業</t>
  </si>
  <si>
    <t>1643</t>
  </si>
  <si>
    <t>界面活性剤製造業（石けん，合成洗剤を除く）</t>
  </si>
  <si>
    <t>1644</t>
  </si>
  <si>
    <t>塗料製造業</t>
  </si>
  <si>
    <t>1645</t>
  </si>
  <si>
    <t>印刷インキ製造業</t>
  </si>
  <si>
    <t>1646</t>
  </si>
  <si>
    <t>洗浄剤・磨用剤製造業</t>
  </si>
  <si>
    <t>1647</t>
  </si>
  <si>
    <t>ろうそく製造業</t>
  </si>
  <si>
    <t>1651</t>
  </si>
  <si>
    <t>医薬品原薬製造業</t>
  </si>
  <si>
    <t>1652</t>
  </si>
  <si>
    <t>医薬品製剤製造業</t>
  </si>
  <si>
    <t>1653</t>
  </si>
  <si>
    <t>生物学的製剤製造業</t>
  </si>
  <si>
    <t>1654</t>
  </si>
  <si>
    <t>生薬・漢方製剤製造業</t>
  </si>
  <si>
    <t>1655</t>
  </si>
  <si>
    <t>動物用医薬品製造業</t>
  </si>
  <si>
    <t>1661</t>
  </si>
  <si>
    <t>仕上用・皮膚用化粧品製造業（香水，オーデコロンを含む）</t>
  </si>
  <si>
    <t>1662</t>
  </si>
  <si>
    <t>頭髪用化粧品製造業</t>
  </si>
  <si>
    <t>1669</t>
  </si>
  <si>
    <t>その他の化粧品・歯磨・化粧用調整品製造業</t>
  </si>
  <si>
    <t>1691</t>
  </si>
  <si>
    <t>火薬類製造業</t>
  </si>
  <si>
    <t>1692</t>
  </si>
  <si>
    <t>農薬製造業</t>
  </si>
  <si>
    <t>1693</t>
  </si>
  <si>
    <t>香料製造業</t>
  </si>
  <si>
    <t>1694</t>
  </si>
  <si>
    <t>ゼラチン・接着剤製造業</t>
  </si>
  <si>
    <t>1695</t>
  </si>
  <si>
    <t>写真感光材料製造業</t>
  </si>
  <si>
    <t>1696</t>
  </si>
  <si>
    <t>天然樹脂製品・木材化学製品製造業</t>
  </si>
  <si>
    <t>1697</t>
  </si>
  <si>
    <t>試薬製造業</t>
  </si>
  <si>
    <t>1699</t>
  </si>
  <si>
    <t>他に分類されない化学工業製品製造業</t>
  </si>
  <si>
    <t>1700</t>
  </si>
  <si>
    <t>1709</t>
  </si>
  <si>
    <t>1711</t>
  </si>
  <si>
    <t>石油精製業</t>
  </si>
  <si>
    <t>1721</t>
  </si>
  <si>
    <t>潤滑油・グリース製造業（石油精製業によらないもの）</t>
  </si>
  <si>
    <t>1731</t>
  </si>
  <si>
    <t>コークス製造業</t>
  </si>
  <si>
    <t>1741</t>
  </si>
  <si>
    <t>舗装材料製造業</t>
  </si>
  <si>
    <t>1799</t>
  </si>
  <si>
    <t>その他の石油製品・石炭製品製造業</t>
  </si>
  <si>
    <t>1800</t>
  </si>
  <si>
    <t>1809</t>
  </si>
  <si>
    <t>1811</t>
  </si>
  <si>
    <t>プラスチック板・棒製造業</t>
  </si>
  <si>
    <t>1812</t>
  </si>
  <si>
    <t>プラスチック管製造業</t>
  </si>
  <si>
    <t>1813</t>
  </si>
  <si>
    <t>プラスチック継手製造業</t>
  </si>
  <si>
    <t>1814</t>
  </si>
  <si>
    <t>プラスチック異形押出製品製造業</t>
  </si>
  <si>
    <t>1815</t>
  </si>
  <si>
    <t>プラスチック板・棒・管・継手・異形押出製品加工業</t>
  </si>
  <si>
    <t>1821</t>
  </si>
  <si>
    <t>プラスチックフィルム製造業</t>
  </si>
  <si>
    <t>1822</t>
  </si>
  <si>
    <t>プラスチックシート製造業</t>
  </si>
  <si>
    <t>1823</t>
  </si>
  <si>
    <t>プラスチック床材製造業</t>
  </si>
  <si>
    <t>1824</t>
  </si>
  <si>
    <t>合成皮革製造業</t>
  </si>
  <si>
    <t>1825</t>
  </si>
  <si>
    <t>プラスチックフィルム・シート・床材・合成皮革加工業</t>
  </si>
  <si>
    <t>1831</t>
  </si>
  <si>
    <t>電気機械器具用プラスチック製品製造業（加工業を除く）</t>
  </si>
  <si>
    <t>1832</t>
  </si>
  <si>
    <t>輸送機械器具用プラスチック製品製造業（加工業を除く）</t>
  </si>
  <si>
    <t>1833</t>
  </si>
  <si>
    <t>その他の工業用プラスチック製品製造業（加工業を除く）</t>
  </si>
  <si>
    <t>1834</t>
  </si>
  <si>
    <t>工業用プラスチック製品加工業</t>
  </si>
  <si>
    <t>1841</t>
  </si>
  <si>
    <t>軟質プラスチック発泡製品製造業（半硬質性を含む）</t>
  </si>
  <si>
    <t>1842</t>
  </si>
  <si>
    <t>硬質プラスチック発泡製品製造業</t>
  </si>
  <si>
    <t>1843</t>
  </si>
  <si>
    <t>強化プラスチック製板・棒・管・継手製造業</t>
  </si>
  <si>
    <t>1844</t>
  </si>
  <si>
    <t>強化プラスチック製容器・浴槽等製造業</t>
  </si>
  <si>
    <t>1845</t>
  </si>
  <si>
    <t>発泡・強化プラスチック製品加工業</t>
  </si>
  <si>
    <t>1851</t>
  </si>
  <si>
    <t>プラスチック成形材料製造業</t>
  </si>
  <si>
    <t>1852</t>
  </si>
  <si>
    <t>廃プラスチック製品製造業</t>
  </si>
  <si>
    <t>1891</t>
  </si>
  <si>
    <t>プラスチック製日用雑貨・食卓用品製造業</t>
  </si>
  <si>
    <t>1892</t>
  </si>
  <si>
    <t>プラスチック製容器製造業</t>
  </si>
  <si>
    <t>1897</t>
  </si>
  <si>
    <t>他に分類されないプラスチック製品製造業</t>
  </si>
  <si>
    <t>1898</t>
  </si>
  <si>
    <t>他に分類されないプラスチック製品加工業</t>
  </si>
  <si>
    <t>1900</t>
  </si>
  <si>
    <t>1909</t>
  </si>
  <si>
    <t>1911</t>
  </si>
  <si>
    <t>自動車タイヤ・チューブ製造業</t>
  </si>
  <si>
    <t>1919</t>
  </si>
  <si>
    <t>その他のタイヤ・チューブ製造業</t>
  </si>
  <si>
    <t>1921</t>
  </si>
  <si>
    <t>ゴム製履物・同附属品製造業</t>
  </si>
  <si>
    <t>1922</t>
  </si>
  <si>
    <t>プラスチック製履物・同附属品製造業</t>
  </si>
  <si>
    <t>1931</t>
  </si>
  <si>
    <t>ゴムベルト製造業</t>
  </si>
  <si>
    <t>1932</t>
  </si>
  <si>
    <t>ゴムホース製造業</t>
  </si>
  <si>
    <t>1933</t>
  </si>
  <si>
    <t>工業用ゴム製品製造業</t>
  </si>
  <si>
    <t>1991</t>
  </si>
  <si>
    <t>ゴム引布・同製品製造業</t>
  </si>
  <si>
    <t>1992</t>
  </si>
  <si>
    <t>医療・衛生用ゴム製品製造業</t>
  </si>
  <si>
    <t>1993</t>
  </si>
  <si>
    <t>ゴム練生地製造業</t>
  </si>
  <si>
    <t>1994</t>
  </si>
  <si>
    <t>更生タイヤ製造業</t>
  </si>
  <si>
    <t>1995</t>
  </si>
  <si>
    <t>再生ゴム製造業</t>
  </si>
  <si>
    <t>1999</t>
  </si>
  <si>
    <t>他に分類されないゴム製品製造業</t>
  </si>
  <si>
    <t>2000</t>
  </si>
  <si>
    <t>2009</t>
  </si>
  <si>
    <t>2011</t>
  </si>
  <si>
    <t>なめし革製造業</t>
  </si>
  <si>
    <t>2021</t>
  </si>
  <si>
    <t>工業用革製品製造業（手袋を除く）</t>
  </si>
  <si>
    <t>2031</t>
  </si>
  <si>
    <t>革製履物用材料・同附属品製造業</t>
  </si>
  <si>
    <t>2041</t>
  </si>
  <si>
    <t>革製履物製造業</t>
  </si>
  <si>
    <t>2051</t>
  </si>
  <si>
    <t>革製手袋製造業</t>
  </si>
  <si>
    <t>2061</t>
  </si>
  <si>
    <t>かばん製造業</t>
  </si>
  <si>
    <t>2071</t>
  </si>
  <si>
    <t>袋物製造業（ハンドバッグを除く）</t>
  </si>
  <si>
    <t>2072</t>
  </si>
  <si>
    <t>ハンドバッグ製造業</t>
  </si>
  <si>
    <t>2081</t>
  </si>
  <si>
    <t>毛皮製造業</t>
  </si>
  <si>
    <t>2099</t>
  </si>
  <si>
    <t>その他のなめし革製品製造業</t>
  </si>
  <si>
    <t>2100</t>
  </si>
  <si>
    <t>2109</t>
  </si>
  <si>
    <t>2111</t>
  </si>
  <si>
    <t>板ガラス製造業</t>
  </si>
  <si>
    <t>2112</t>
  </si>
  <si>
    <t>板ガラス加工業</t>
  </si>
  <si>
    <t>2113</t>
  </si>
  <si>
    <t>ガラス製加工素材製造業</t>
  </si>
  <si>
    <t>2114</t>
  </si>
  <si>
    <t>ガラス容器製造業</t>
  </si>
  <si>
    <t>2115</t>
  </si>
  <si>
    <t>理化学用・医療用ガラス器具製造業</t>
  </si>
  <si>
    <t>2116</t>
  </si>
  <si>
    <t>卓上用・ちゅう房用ガラス器具製造業</t>
  </si>
  <si>
    <t>2117</t>
  </si>
  <si>
    <t>ガラス繊維・同製品製造業</t>
  </si>
  <si>
    <t>2119</t>
  </si>
  <si>
    <t>その他のガラス・同製品製造業</t>
  </si>
  <si>
    <t>2121</t>
  </si>
  <si>
    <t>セメント製造業</t>
  </si>
  <si>
    <t>2122</t>
  </si>
  <si>
    <t>生コンクリート製造業</t>
  </si>
  <si>
    <t>2123</t>
  </si>
  <si>
    <t>コンクリート製品製造業</t>
  </si>
  <si>
    <t>2129</t>
  </si>
  <si>
    <t>その他のセメント製品製造業</t>
  </si>
  <si>
    <t>2131</t>
  </si>
  <si>
    <t>粘土かわら製造業</t>
  </si>
  <si>
    <t>2132</t>
  </si>
  <si>
    <t>普通れんが製造業</t>
  </si>
  <si>
    <t>2139</t>
  </si>
  <si>
    <t>その他の建設用粘土製品製造業</t>
  </si>
  <si>
    <t>2141</t>
  </si>
  <si>
    <t>衛生陶器製造業</t>
  </si>
  <si>
    <t>2142</t>
  </si>
  <si>
    <t>食卓用・ちゅう房用陶磁器製造業</t>
  </si>
  <si>
    <t>2143</t>
  </si>
  <si>
    <t>陶磁器製置物製造業</t>
  </si>
  <si>
    <t>2144</t>
  </si>
  <si>
    <t>電気用陶磁器製造業</t>
  </si>
  <si>
    <t>2145</t>
  </si>
  <si>
    <t>理化学用・工業用陶磁器製造業</t>
  </si>
  <si>
    <t>2146</t>
  </si>
  <si>
    <t>陶磁器製タイル製造業</t>
  </si>
  <si>
    <t>2147</t>
  </si>
  <si>
    <t>陶磁器絵付業</t>
  </si>
  <si>
    <t>2148</t>
  </si>
  <si>
    <t>陶磁器用はい（坏）土製造業</t>
  </si>
  <si>
    <t>2149</t>
  </si>
  <si>
    <t>その他の陶磁器・同関連製品製造業</t>
  </si>
  <si>
    <t>2151</t>
  </si>
  <si>
    <t>耐火れんが製造業</t>
  </si>
  <si>
    <t>2152</t>
  </si>
  <si>
    <t>不定形耐火物製造業</t>
  </si>
  <si>
    <t>2159</t>
  </si>
  <si>
    <t>その他の耐火物製造業</t>
  </si>
  <si>
    <t>2161</t>
  </si>
  <si>
    <t>炭素質電極製造業</t>
  </si>
  <si>
    <t>2169</t>
  </si>
  <si>
    <t>その他の炭素・黒鉛製品製造業</t>
  </si>
  <si>
    <t>2171</t>
  </si>
  <si>
    <t>研磨材製造業</t>
  </si>
  <si>
    <t>2172</t>
  </si>
  <si>
    <t>研削と石製造業</t>
  </si>
  <si>
    <t>2173</t>
  </si>
  <si>
    <t>研磨布紙製造業</t>
  </si>
  <si>
    <t>2179</t>
  </si>
  <si>
    <t>その他の研磨材・同製品製造業</t>
  </si>
  <si>
    <t>2181</t>
  </si>
  <si>
    <t>砕石製造業</t>
  </si>
  <si>
    <t>2182</t>
  </si>
  <si>
    <t>再生骨材製造業</t>
  </si>
  <si>
    <t>2183</t>
  </si>
  <si>
    <t>人工骨材製造業</t>
  </si>
  <si>
    <t>2184</t>
  </si>
  <si>
    <t>石工品製造業</t>
  </si>
  <si>
    <t>2185</t>
  </si>
  <si>
    <t>けいそう土・同製品製造業</t>
  </si>
  <si>
    <t>2186</t>
  </si>
  <si>
    <t>鉱物・土石粉砕等処理業</t>
  </si>
  <si>
    <t>2191</t>
  </si>
  <si>
    <t>ロックウール・同製品製造業</t>
  </si>
  <si>
    <t>2192</t>
  </si>
  <si>
    <t>石こう（膏）製品製造業</t>
  </si>
  <si>
    <t>2193</t>
  </si>
  <si>
    <t>石灰製造業</t>
  </si>
  <si>
    <t>2194</t>
  </si>
  <si>
    <t>鋳型製造業（中子を含む）</t>
  </si>
  <si>
    <t>2199</t>
  </si>
  <si>
    <t>他に分類されない窯業・土石製品製造業</t>
  </si>
  <si>
    <t>2200</t>
  </si>
  <si>
    <t>2209</t>
  </si>
  <si>
    <t>2211</t>
  </si>
  <si>
    <t>高炉による製鉄業</t>
  </si>
  <si>
    <t>2212</t>
  </si>
  <si>
    <t>高炉によらない製鉄業</t>
  </si>
  <si>
    <t>2213</t>
  </si>
  <si>
    <t>フェロアロイ製造業</t>
  </si>
  <si>
    <t>2221</t>
  </si>
  <si>
    <t>製鋼・製鋼圧延業</t>
  </si>
  <si>
    <t>2231</t>
  </si>
  <si>
    <t>熱間圧延業（鋼管，伸鉄を除く）</t>
  </si>
  <si>
    <t>2232</t>
  </si>
  <si>
    <t>冷間圧延業（鋼管，伸鉄を除く）</t>
  </si>
  <si>
    <t>2233</t>
  </si>
  <si>
    <t>冷間ロール成型形鋼製造業</t>
  </si>
  <si>
    <t>2234</t>
  </si>
  <si>
    <t>鋼管製造業</t>
  </si>
  <si>
    <t>2235</t>
  </si>
  <si>
    <t>伸鉄業</t>
  </si>
  <si>
    <t>2236</t>
  </si>
  <si>
    <t>磨棒鋼製造業</t>
  </si>
  <si>
    <t>2237</t>
  </si>
  <si>
    <t>引抜鋼管製造業</t>
  </si>
  <si>
    <t>2238</t>
  </si>
  <si>
    <t>伸線業</t>
  </si>
  <si>
    <t>2239</t>
  </si>
  <si>
    <t>その他の製鋼を行わない鋼材製造業（表面処理鋼材を除く)</t>
  </si>
  <si>
    <t>2241</t>
  </si>
  <si>
    <t>亜鉛鉄板製造業</t>
  </si>
  <si>
    <t>2249</t>
  </si>
  <si>
    <t>その他の表面処理鋼材製造業</t>
  </si>
  <si>
    <t>2251</t>
  </si>
  <si>
    <t>銑鉄鋳物製造業（鋳鉄管，可鍛鋳鉄を除く）</t>
  </si>
  <si>
    <t>2252</t>
  </si>
  <si>
    <t>可鍛鋳鉄製造業</t>
  </si>
  <si>
    <t>2253</t>
  </si>
  <si>
    <t>鋳鋼製造業</t>
  </si>
  <si>
    <t>2254</t>
  </si>
  <si>
    <t>鍛工品製造業</t>
  </si>
  <si>
    <t>2255</t>
  </si>
  <si>
    <t>鍛鋼製造業</t>
  </si>
  <si>
    <t>2291</t>
  </si>
  <si>
    <t>鉄鋼シャースリット業</t>
  </si>
  <si>
    <t>2292</t>
  </si>
  <si>
    <t>鉄スクラップ加工処理業</t>
  </si>
  <si>
    <t>2293</t>
  </si>
  <si>
    <t>鋳鉄管製造業</t>
  </si>
  <si>
    <t>2299</t>
  </si>
  <si>
    <t>他に分類されない鉄鋼業</t>
  </si>
  <si>
    <t>2300</t>
  </si>
  <si>
    <t>2309</t>
  </si>
  <si>
    <t>2311</t>
  </si>
  <si>
    <t>銅第１次製錬・精製業</t>
  </si>
  <si>
    <t>2312</t>
  </si>
  <si>
    <t>亜鉛第１次製錬・精製業</t>
  </si>
  <si>
    <t>2319</t>
  </si>
  <si>
    <t>その他の非鉄金属第１次製錬・精製業</t>
  </si>
  <si>
    <t>2321</t>
  </si>
  <si>
    <t>鉛第２次製錬・精製業（鉛合金製造業を含む)</t>
  </si>
  <si>
    <t>2322</t>
  </si>
  <si>
    <t>アルミニウム第２次製錬・精製業（アルミニウム合金製造業を含む）</t>
  </si>
  <si>
    <t>2329</t>
  </si>
  <si>
    <t>その他の非鉄金属第２次製錬・精製業（非鉄金属合金製造業を含む）</t>
  </si>
  <si>
    <t>2331</t>
  </si>
  <si>
    <t>伸銅品製造業</t>
  </si>
  <si>
    <t>2332</t>
  </si>
  <si>
    <t>アルミニウム・同合金圧延業（抽伸，押出しを含む）</t>
  </si>
  <si>
    <t>2339</t>
  </si>
  <si>
    <t>その他の非鉄金属・同合金圧延業（抽伸，押出しを含む）</t>
  </si>
  <si>
    <t>2341</t>
  </si>
  <si>
    <t>電線・ケーブル製造業（光ファイバケーブルを除く）</t>
  </si>
  <si>
    <t>2342</t>
  </si>
  <si>
    <t>光ファイバケーブル製造業（通信複合ケーブルを含む）</t>
  </si>
  <si>
    <t>2351</t>
  </si>
  <si>
    <t>銅・同合金鋳物製造業（ダイカストを除く）</t>
  </si>
  <si>
    <t>2352</t>
  </si>
  <si>
    <t>非鉄金属鋳物製造業（銅・同合金鋳物及びダイカストを除く）</t>
  </si>
  <si>
    <t>2353</t>
  </si>
  <si>
    <t>アルミニウム・同合金ダイカスト製造業</t>
  </si>
  <si>
    <t>2354</t>
  </si>
  <si>
    <t>非鉄金属ダイカスト製造業（アルミニウム・同合金ダイカストを除く）</t>
  </si>
  <si>
    <t>2355</t>
  </si>
  <si>
    <t>非鉄金属鍛造品製造業</t>
  </si>
  <si>
    <t>2391</t>
  </si>
  <si>
    <t>核燃料製造業</t>
  </si>
  <si>
    <t>2399</t>
  </si>
  <si>
    <t>他に分類されない非鉄金属製造業</t>
  </si>
  <si>
    <t>2400</t>
  </si>
  <si>
    <t>2409</t>
  </si>
  <si>
    <t>2411</t>
  </si>
  <si>
    <t>ブリキ缶・その他のめっき板等製品製造業</t>
  </si>
  <si>
    <t>2421</t>
  </si>
  <si>
    <t>洋食器製造業</t>
  </si>
  <si>
    <t>2422</t>
  </si>
  <si>
    <t>機械刃物製造業</t>
  </si>
  <si>
    <t>2423</t>
  </si>
  <si>
    <t>利器工匠具・手道具製造業（やすり，のこぎり，食卓用刃物を除く）</t>
  </si>
  <si>
    <t>2424</t>
  </si>
  <si>
    <t>作業工具製造業</t>
  </si>
  <si>
    <t>2425</t>
  </si>
  <si>
    <t>手引のこぎり・のこ刃製造業</t>
  </si>
  <si>
    <t>2426</t>
  </si>
  <si>
    <t>農業用器具製造業（農業用機械を除く）</t>
  </si>
  <si>
    <t>2429</t>
  </si>
  <si>
    <t>その他の金物類製造業</t>
  </si>
  <si>
    <t>2431</t>
  </si>
  <si>
    <t>配管工事用附属品製造業（バルブ，コックを除く）</t>
  </si>
  <si>
    <t>2432</t>
  </si>
  <si>
    <t>ガス機器・石油機器製造業</t>
  </si>
  <si>
    <t>2433</t>
  </si>
  <si>
    <t>温風・温水暖房装置製造業</t>
  </si>
  <si>
    <t>2439</t>
  </si>
  <si>
    <t>その他の暖房・調理装置製造業（電気機械器具，ガス機器，石油機器を除く）</t>
  </si>
  <si>
    <t>2441</t>
  </si>
  <si>
    <t>鉄骨製造業</t>
  </si>
  <si>
    <t>2442</t>
  </si>
  <si>
    <t>建設用金属製品製造業（鉄骨を除く）</t>
  </si>
  <si>
    <t>2443</t>
  </si>
  <si>
    <t>金属製サッシ・ドア製造業</t>
  </si>
  <si>
    <t>2444</t>
  </si>
  <si>
    <t>鉄骨系プレハブ住宅製造業</t>
  </si>
  <si>
    <t>2445</t>
  </si>
  <si>
    <t>建築用金属製品製造業（サッシ，ドア，建築用金物を除く）</t>
  </si>
  <si>
    <t>2446</t>
  </si>
  <si>
    <t>製缶板金業</t>
  </si>
  <si>
    <t>2451</t>
  </si>
  <si>
    <t>アルミニウム・同合金プレス製品製造業</t>
  </si>
  <si>
    <t>2452</t>
  </si>
  <si>
    <t>金属プレス製品製造業（アルミニウム・同合金を除く）</t>
  </si>
  <si>
    <t>2453</t>
  </si>
  <si>
    <t>粉末や金製品製造業</t>
  </si>
  <si>
    <t>2461</t>
  </si>
  <si>
    <t>金属製品塗装業</t>
  </si>
  <si>
    <t>2462</t>
  </si>
  <si>
    <t>溶融めっき業（表面処理鋼材製造業を除く）</t>
  </si>
  <si>
    <t>2463</t>
  </si>
  <si>
    <t>金属彫刻業</t>
  </si>
  <si>
    <t>2464</t>
  </si>
  <si>
    <t>電気めっき業（表面処理鋼材製造業を除く）</t>
  </si>
  <si>
    <t>2465</t>
  </si>
  <si>
    <t>金属熱処理業</t>
  </si>
  <si>
    <t>2469</t>
  </si>
  <si>
    <t>その他の金属表面処理業</t>
  </si>
  <si>
    <t>2471</t>
  </si>
  <si>
    <t>くぎ製造業</t>
  </si>
  <si>
    <t>2479</t>
  </si>
  <si>
    <t>その他の金属線製品製造業</t>
  </si>
  <si>
    <t>2481</t>
  </si>
  <si>
    <t>ボルト・ナット・リベット・小ねじ・木ねじ等製造業</t>
  </si>
  <si>
    <t>2491</t>
  </si>
  <si>
    <t>金庫製造業</t>
  </si>
  <si>
    <t>2492</t>
  </si>
  <si>
    <t>金属製スプリング製造業</t>
  </si>
  <si>
    <t>2499</t>
  </si>
  <si>
    <t>他に分類されない金属製品製造業</t>
  </si>
  <si>
    <t>2500</t>
  </si>
  <si>
    <t>2509</t>
  </si>
  <si>
    <t>2511</t>
  </si>
  <si>
    <t>ボイラ製造業</t>
  </si>
  <si>
    <t>2512</t>
  </si>
  <si>
    <t>蒸気機関・タービン・水力タービン製造業（舶用を除く）</t>
  </si>
  <si>
    <t>2513</t>
  </si>
  <si>
    <t>はん用内燃機関製造業</t>
  </si>
  <si>
    <t>2519</t>
  </si>
  <si>
    <t>その他の原動機製造業</t>
  </si>
  <si>
    <t>2521</t>
  </si>
  <si>
    <t>ポンプ・同装置製造業</t>
  </si>
  <si>
    <t>2522</t>
  </si>
  <si>
    <t>空気圧縮機・ガス圧縮機・送風機製造業</t>
  </si>
  <si>
    <t>2523</t>
  </si>
  <si>
    <t>油圧・空圧機器製造業</t>
  </si>
  <si>
    <t>2531</t>
  </si>
  <si>
    <t>動力伝導装置製造業（玉軸受，ころ軸受を除く）</t>
  </si>
  <si>
    <t>2532</t>
  </si>
  <si>
    <t>エレベータ・エスカレータ製造業</t>
  </si>
  <si>
    <t>2533</t>
  </si>
  <si>
    <t>物流運搬設備製造業</t>
  </si>
  <si>
    <t>2534</t>
  </si>
  <si>
    <t>工業窯炉製造業</t>
  </si>
  <si>
    <t>2535</t>
  </si>
  <si>
    <t>冷凍機・温湿調整装置製造業</t>
  </si>
  <si>
    <t>2591</t>
  </si>
  <si>
    <t>消火器具・消火装置製造業</t>
  </si>
  <si>
    <t>2592</t>
  </si>
  <si>
    <t>弁・同附属品製造業</t>
  </si>
  <si>
    <t>2593</t>
  </si>
  <si>
    <t>パイプ加工・パイプ附属品加工業</t>
  </si>
  <si>
    <t>2594</t>
  </si>
  <si>
    <t>玉軸受・ころ軸受製造業</t>
  </si>
  <si>
    <t>2595</t>
  </si>
  <si>
    <t>ピストンリング製造業</t>
  </si>
  <si>
    <t>2596</t>
  </si>
  <si>
    <t>他に分類されないはん用機械・装置製造業</t>
  </si>
  <si>
    <t>2599</t>
  </si>
  <si>
    <t>各種機械・同部分品製造修理業（注文製造・修理）</t>
  </si>
  <si>
    <t>2600</t>
  </si>
  <si>
    <t>2609</t>
  </si>
  <si>
    <t>2611</t>
  </si>
  <si>
    <t>農業用機械製造業（農業用器具を除く）</t>
  </si>
  <si>
    <t>2621</t>
  </si>
  <si>
    <t>建設機械・鉱山機械製造業</t>
  </si>
  <si>
    <t>2631</t>
  </si>
  <si>
    <t>化学繊維機械・紡績機械製造業</t>
  </si>
  <si>
    <t>2632</t>
  </si>
  <si>
    <t>製織機械・編組機械製造業</t>
  </si>
  <si>
    <t>2633</t>
  </si>
  <si>
    <t>染色整理仕上機械製造業</t>
  </si>
  <si>
    <t>2634</t>
  </si>
  <si>
    <t>繊維機械部分品・取付具・附属品製造業</t>
  </si>
  <si>
    <t>2635</t>
  </si>
  <si>
    <t>縫製機械製造業</t>
  </si>
  <si>
    <t>2641</t>
  </si>
  <si>
    <t>食品機械・同装置製造業</t>
  </si>
  <si>
    <t>2642</t>
  </si>
  <si>
    <t>木材加工機械製造業</t>
  </si>
  <si>
    <t>2643</t>
  </si>
  <si>
    <t>パルプ装置・製紙機械製造業</t>
  </si>
  <si>
    <t>2644</t>
  </si>
  <si>
    <t>印刷・製本・紙工機械製造業</t>
  </si>
  <si>
    <t>2645</t>
  </si>
  <si>
    <t>包装・荷造機械製造業</t>
  </si>
  <si>
    <t>2651</t>
  </si>
  <si>
    <t>鋳造装置製造業</t>
  </si>
  <si>
    <t>2652</t>
  </si>
  <si>
    <t>化学機械・同装置製造業</t>
  </si>
  <si>
    <t>2653</t>
  </si>
  <si>
    <t>プラスチック加工機械・同附属装置製造業</t>
  </si>
  <si>
    <t>2661</t>
  </si>
  <si>
    <t>金属工作機械製造業</t>
  </si>
  <si>
    <t>2662</t>
  </si>
  <si>
    <t>金属加工機械製造業（金属工作機械を除く）</t>
  </si>
  <si>
    <t>2663</t>
  </si>
  <si>
    <t>金属工作機械用・金属加工機械用部分品・附属品製造業（機械工具，金型を除く）</t>
  </si>
  <si>
    <t>2664</t>
  </si>
  <si>
    <t>機械工具製造業（粉末や金業を除く）</t>
  </si>
  <si>
    <t>2671</t>
  </si>
  <si>
    <t>半導体製造装置製造業</t>
  </si>
  <si>
    <t>2672</t>
  </si>
  <si>
    <t>フラットパネルディスプレイ製造装置製造業</t>
  </si>
  <si>
    <t>2691</t>
  </si>
  <si>
    <t>金属用金型・同部分品・附属品製造業</t>
  </si>
  <si>
    <t>2692</t>
  </si>
  <si>
    <t>非金属用金型・同部分品・附属品製造業</t>
  </si>
  <si>
    <t>2693</t>
  </si>
  <si>
    <t>真空装置・真空機器製造業</t>
  </si>
  <si>
    <t>2694</t>
  </si>
  <si>
    <t>ロボット製造業</t>
  </si>
  <si>
    <t>2699</t>
  </si>
  <si>
    <t>他に分類されない生産用機械・同部分品製造業</t>
  </si>
  <si>
    <t>2700</t>
  </si>
  <si>
    <t>2709</t>
  </si>
  <si>
    <t>2711</t>
  </si>
  <si>
    <t>複写機製造業</t>
  </si>
  <si>
    <t>2719</t>
  </si>
  <si>
    <t>その他の事務用機械器具製造業</t>
  </si>
  <si>
    <t>2721</t>
  </si>
  <si>
    <t>サービス用機械器具製造業</t>
  </si>
  <si>
    <t>2722</t>
  </si>
  <si>
    <t>娯楽用機械製造業</t>
  </si>
  <si>
    <t>2723</t>
  </si>
  <si>
    <t>自動販売機製造業</t>
  </si>
  <si>
    <t>2729</t>
  </si>
  <si>
    <t>その他のサービス用・娯楽用機械器具製造業</t>
  </si>
  <si>
    <t>2731</t>
  </si>
  <si>
    <t>体積計製造業</t>
  </si>
  <si>
    <t>2732</t>
  </si>
  <si>
    <t>はかり製造業</t>
  </si>
  <si>
    <t>2733</t>
  </si>
  <si>
    <t>圧力計・流量計・液面計等製造業</t>
  </si>
  <si>
    <t>2734</t>
  </si>
  <si>
    <t>精密測定器製造業</t>
  </si>
  <si>
    <t>2735</t>
  </si>
  <si>
    <t>分析機器製造業</t>
  </si>
  <si>
    <t>2736</t>
  </si>
  <si>
    <t>試験機製造業</t>
  </si>
  <si>
    <t>2737</t>
  </si>
  <si>
    <t>測量機械器具製造業</t>
  </si>
  <si>
    <t>2738</t>
  </si>
  <si>
    <t>理化学機械器具製造業</t>
  </si>
  <si>
    <t>2739</t>
  </si>
  <si>
    <t>その他の計量器・測定器・分析機器・試験機・測量機械器具・理化学機械器具製造業</t>
  </si>
  <si>
    <t>2741</t>
  </si>
  <si>
    <t>医療用機械器具製造業</t>
  </si>
  <si>
    <t>2742</t>
  </si>
  <si>
    <t>歯科用機械器具製造業</t>
  </si>
  <si>
    <t>2743</t>
  </si>
  <si>
    <t>医療用品製造業（動物用医療機械器具を含む）</t>
  </si>
  <si>
    <t>2744</t>
  </si>
  <si>
    <t>歯科材料製造業</t>
  </si>
  <si>
    <t>2751</t>
  </si>
  <si>
    <t>顕微鏡・望遠鏡等製造業</t>
  </si>
  <si>
    <t>2752</t>
  </si>
  <si>
    <t>写真機・映画用機械・同附属品製造業</t>
  </si>
  <si>
    <t>2753</t>
  </si>
  <si>
    <t>光学機械用レンズ・プリズム製造業</t>
  </si>
  <si>
    <t>2761</t>
  </si>
  <si>
    <t>武器製造業</t>
  </si>
  <si>
    <t>2800</t>
  </si>
  <si>
    <t>2809</t>
  </si>
  <si>
    <t>2811</t>
  </si>
  <si>
    <t>電子管製造業</t>
  </si>
  <si>
    <t>2812</t>
  </si>
  <si>
    <t>光電変換素子製造業</t>
  </si>
  <si>
    <t>2813</t>
  </si>
  <si>
    <t>半導体素子製造業（光電変換素子を除く）</t>
  </si>
  <si>
    <t>2814</t>
  </si>
  <si>
    <t>集積回路製造業</t>
  </si>
  <si>
    <t>2815</t>
  </si>
  <si>
    <t>液晶パネル・フラットパネル製造業</t>
  </si>
  <si>
    <t>2821</t>
  </si>
  <si>
    <t>抵抗器・コンデンサ・変成器・複合部品製造業</t>
  </si>
  <si>
    <t>2822</t>
  </si>
  <si>
    <t>音響部品・磁気ヘッド・小形モータ製造業</t>
  </si>
  <si>
    <t>2823</t>
  </si>
  <si>
    <t>コネクタ・スイッチ・リレー製造業</t>
  </si>
  <si>
    <t>2831</t>
  </si>
  <si>
    <t>半導体メモリメディア製造業</t>
  </si>
  <si>
    <t>2832</t>
  </si>
  <si>
    <t>光ディスク・磁気ディスク・磁気テープ製造業</t>
  </si>
  <si>
    <t>2841</t>
  </si>
  <si>
    <t>電子回路基板製造業</t>
  </si>
  <si>
    <t>2842</t>
  </si>
  <si>
    <t>電子回路実装基板製造業</t>
  </si>
  <si>
    <t>2851</t>
  </si>
  <si>
    <t>電源ユニット・高周波ユニット・コントロールユニット製造業</t>
  </si>
  <si>
    <t>2859</t>
  </si>
  <si>
    <t>その他のユニット部品製造業</t>
  </si>
  <si>
    <t>2899</t>
  </si>
  <si>
    <t>その他の電子部品・デバイス・電子回路製造業</t>
  </si>
  <si>
    <t>2900</t>
  </si>
  <si>
    <t>2909</t>
  </si>
  <si>
    <t>2911</t>
  </si>
  <si>
    <t>発電機・電動機・その他の回転電気機械製造業</t>
  </si>
  <si>
    <t>2912</t>
  </si>
  <si>
    <t>変圧器類製造業（電子機器用を除く)</t>
  </si>
  <si>
    <t>2913</t>
  </si>
  <si>
    <t>電力開閉装置製造業</t>
  </si>
  <si>
    <t>2914</t>
  </si>
  <si>
    <t>配電盤・電力制御装置製造業</t>
  </si>
  <si>
    <t>2915</t>
  </si>
  <si>
    <t>配線器具・配線附属品製造業</t>
  </si>
  <si>
    <t>2921</t>
  </si>
  <si>
    <t>電気溶接機製造業</t>
  </si>
  <si>
    <t>2922</t>
  </si>
  <si>
    <t>内燃機関電装品製造業</t>
  </si>
  <si>
    <t>2929</t>
  </si>
  <si>
    <t>その他の産業用電気機械器具製造業（車両用，船舶用を含む）</t>
  </si>
  <si>
    <t>2931</t>
  </si>
  <si>
    <t>ちゅう房機器製造業</t>
  </si>
  <si>
    <t>2932</t>
  </si>
  <si>
    <t>空調・住宅関連機器製造業</t>
  </si>
  <si>
    <t>2933</t>
  </si>
  <si>
    <t>衣料衛生関連機器製造業</t>
  </si>
  <si>
    <t>2939</t>
  </si>
  <si>
    <t>その他の民生用電気機械器具製造業</t>
  </si>
  <si>
    <t>2941</t>
  </si>
  <si>
    <t>電球製造業</t>
  </si>
  <si>
    <t>2942</t>
  </si>
  <si>
    <t>電気照明器具製造業</t>
  </si>
  <si>
    <t>2951</t>
  </si>
  <si>
    <t>蓄電池製造業</t>
  </si>
  <si>
    <t>2952</t>
  </si>
  <si>
    <t>一次電池（乾電池，湿電池）製造業</t>
  </si>
  <si>
    <t>2961</t>
  </si>
  <si>
    <t>Ｘ線装置製造業</t>
  </si>
  <si>
    <t>2962</t>
  </si>
  <si>
    <t>医療用電子応用装置製造業</t>
  </si>
  <si>
    <t>2969</t>
  </si>
  <si>
    <t>その他の電子応用装置製造業</t>
  </si>
  <si>
    <t>2971</t>
  </si>
  <si>
    <t>電気計測器製造業（別掲を除く）</t>
  </si>
  <si>
    <t>2972</t>
  </si>
  <si>
    <t>工業計器製造業</t>
  </si>
  <si>
    <t>2973</t>
  </si>
  <si>
    <t>医療用計測器製造業</t>
  </si>
  <si>
    <t>2999</t>
  </si>
  <si>
    <t>その他の電気機械器具製造業</t>
  </si>
  <si>
    <t>3000</t>
  </si>
  <si>
    <t>3009</t>
  </si>
  <si>
    <t>3011</t>
  </si>
  <si>
    <t>有線通信機械器具製造業</t>
  </si>
  <si>
    <t>3012</t>
  </si>
  <si>
    <t>携帯電話機・ＰＨＳ電話機製造業</t>
  </si>
  <si>
    <t>3013</t>
  </si>
  <si>
    <t>無線通信機械器具製造業</t>
  </si>
  <si>
    <t>3014</t>
  </si>
  <si>
    <t>ラジオ受信機・テレビジョン受信機製造業</t>
  </si>
  <si>
    <t>3015</t>
  </si>
  <si>
    <t>交通信号保安装置製造業</t>
  </si>
  <si>
    <t>3019</t>
  </si>
  <si>
    <t>その他の通信機械器具・同関連機械器具製造業</t>
  </si>
  <si>
    <t>3021</t>
  </si>
  <si>
    <t>ビデオ機器製造業</t>
  </si>
  <si>
    <t>3022</t>
  </si>
  <si>
    <t>デジタルカメラ製造業</t>
  </si>
  <si>
    <t>3023</t>
  </si>
  <si>
    <t>電気音響機械器具製造業</t>
  </si>
  <si>
    <t>3031</t>
  </si>
  <si>
    <t>電子計算機製造業（パーソナルコンピュータを除く）</t>
  </si>
  <si>
    <t>3032</t>
  </si>
  <si>
    <t>パーソナルコンピュータ製造業</t>
  </si>
  <si>
    <t>3033</t>
  </si>
  <si>
    <t>外部記憶装置製造業</t>
  </si>
  <si>
    <t>3034</t>
  </si>
  <si>
    <t>印刷装置製造業</t>
  </si>
  <si>
    <t>3035</t>
  </si>
  <si>
    <t>表示装置製造業</t>
  </si>
  <si>
    <t>3039</t>
  </si>
  <si>
    <t>その他の附属装置製造業</t>
  </si>
  <si>
    <t>3100</t>
  </si>
  <si>
    <t>3109</t>
  </si>
  <si>
    <t>3111</t>
  </si>
  <si>
    <t>自動車製造業（二輪自動車を含む）</t>
  </si>
  <si>
    <t>3112</t>
  </si>
  <si>
    <t>自動車車体・附随車製造業</t>
  </si>
  <si>
    <t>3113</t>
  </si>
  <si>
    <t>自動車部分品・附属品製造業</t>
  </si>
  <si>
    <t>3121</t>
  </si>
  <si>
    <t>鉄道車両製造業</t>
  </si>
  <si>
    <t>3122</t>
  </si>
  <si>
    <t>鉄道車両用部分品製造業</t>
  </si>
  <si>
    <t>3131</t>
  </si>
  <si>
    <t>船舶製造・修理業</t>
  </si>
  <si>
    <t>3132</t>
  </si>
  <si>
    <t>船体ブロック製造業</t>
  </si>
  <si>
    <t>3133</t>
  </si>
  <si>
    <t>舟艇製造・修理業</t>
  </si>
  <si>
    <t>3134</t>
  </si>
  <si>
    <t>舶用機関製造業</t>
  </si>
  <si>
    <t>3141</t>
  </si>
  <si>
    <t>航空機製造業</t>
  </si>
  <si>
    <t>3142</t>
  </si>
  <si>
    <t>航空機用原動機製造業</t>
  </si>
  <si>
    <t>3149</t>
  </si>
  <si>
    <t>その他の航空機部分品・補助装置製造業</t>
  </si>
  <si>
    <t>3151</t>
  </si>
  <si>
    <t>フォークリフトトラック・同部分品・附属品製造業</t>
  </si>
  <si>
    <t>3159</t>
  </si>
  <si>
    <t>その他の産業用運搬車両・同部分品・附属品製造業</t>
  </si>
  <si>
    <t>3191</t>
  </si>
  <si>
    <t>自転車・同部分品製造業</t>
  </si>
  <si>
    <t>3199</t>
  </si>
  <si>
    <t>他に分類されない輸送用機械器具製造業</t>
  </si>
  <si>
    <t>3200</t>
  </si>
  <si>
    <t>3209</t>
  </si>
  <si>
    <t>3211</t>
  </si>
  <si>
    <t>貴金属・宝石製装身具（ジュエリー）製品製造業</t>
  </si>
  <si>
    <t>3212</t>
  </si>
  <si>
    <t>貴金属・宝石製装身具（ジュエリー）附属品・同材料加工業</t>
  </si>
  <si>
    <t>3219</t>
  </si>
  <si>
    <t>その他の貴金属製品製造業</t>
  </si>
  <si>
    <t>3221</t>
  </si>
  <si>
    <t>装身具・装飾品製造業（貴金属・宝石製を除く）</t>
  </si>
  <si>
    <t>3222</t>
  </si>
  <si>
    <t>造花・装飾用羽毛製造業</t>
  </si>
  <si>
    <t>3223</t>
  </si>
  <si>
    <t>ボタン製造業</t>
  </si>
  <si>
    <t>3224</t>
  </si>
  <si>
    <t>針・ピン・ホック・スナップ・同関連品製造業</t>
  </si>
  <si>
    <t>3229</t>
  </si>
  <si>
    <t>その他の装身具・装飾品製造業</t>
  </si>
  <si>
    <t>3231</t>
  </si>
  <si>
    <t>時計・同部分品製造業</t>
  </si>
  <si>
    <t>3241</t>
  </si>
  <si>
    <t>ピアノ製造業</t>
  </si>
  <si>
    <t>3249</t>
  </si>
  <si>
    <t>その他の楽器・楽器部品・同材料製造業</t>
  </si>
  <si>
    <t>3251</t>
  </si>
  <si>
    <t>娯楽用具・がん具製造業（人形を除く）</t>
  </si>
  <si>
    <t>3252</t>
  </si>
  <si>
    <t>人形製造業</t>
  </si>
  <si>
    <t>3253</t>
  </si>
  <si>
    <t>運動用具製造業</t>
  </si>
  <si>
    <t>3261</t>
  </si>
  <si>
    <t>万年筆・ペン類・鉛筆製造業</t>
  </si>
  <si>
    <t>3262</t>
  </si>
  <si>
    <t>毛筆・絵画用品製造業（鉛筆を除く）</t>
  </si>
  <si>
    <t>3269</t>
  </si>
  <si>
    <t>その他の事務用品製造業</t>
  </si>
  <si>
    <t>3271</t>
  </si>
  <si>
    <t>漆器製造業</t>
  </si>
  <si>
    <t>3281</t>
  </si>
  <si>
    <t>麦わら・パナマ類帽子・わら工品製造業</t>
  </si>
  <si>
    <t>3282</t>
  </si>
  <si>
    <t>畳製造業</t>
  </si>
  <si>
    <t>3283</t>
  </si>
  <si>
    <t>うちわ・扇子・ちょうちん製造業</t>
  </si>
  <si>
    <t>3284</t>
  </si>
  <si>
    <t>ほうき・ブラシ製造業</t>
  </si>
  <si>
    <t>3285</t>
  </si>
  <si>
    <t>喫煙用具製造業（貴金属・宝石製を除く）</t>
  </si>
  <si>
    <t>3289</t>
  </si>
  <si>
    <t>その他の生活雑貨製品製造業</t>
  </si>
  <si>
    <t>3291</t>
  </si>
  <si>
    <t>煙火製造業</t>
  </si>
  <si>
    <t>3292</t>
  </si>
  <si>
    <t>看板・標識機製造業</t>
  </si>
  <si>
    <t>3293</t>
  </si>
  <si>
    <t>パレット製造業</t>
  </si>
  <si>
    <t>3294</t>
  </si>
  <si>
    <t>モデル・模型製造業</t>
  </si>
  <si>
    <t>3295</t>
  </si>
  <si>
    <t>工業用模型製造業</t>
  </si>
  <si>
    <t>3296</t>
  </si>
  <si>
    <t>情報記録物製造業（新聞，書籍等の印刷物を除く）</t>
  </si>
  <si>
    <t>3297</t>
  </si>
  <si>
    <t>眼鏡製造業（枠を含む）</t>
  </si>
  <si>
    <t>3299</t>
  </si>
  <si>
    <t>他に分類されないその他の製造業</t>
  </si>
  <si>
    <t>3300</t>
  </si>
  <si>
    <t>3309</t>
  </si>
  <si>
    <t>3311</t>
  </si>
  <si>
    <t>発電所</t>
  </si>
  <si>
    <t>3312</t>
  </si>
  <si>
    <t>変電所</t>
  </si>
  <si>
    <t>3400</t>
  </si>
  <si>
    <t>3409</t>
  </si>
  <si>
    <t>3411</t>
  </si>
  <si>
    <t>ガス製造工場</t>
  </si>
  <si>
    <t>3412</t>
  </si>
  <si>
    <t>ガス供給所</t>
  </si>
  <si>
    <t>3500</t>
  </si>
  <si>
    <t>3509</t>
  </si>
  <si>
    <t>3511</t>
  </si>
  <si>
    <t>熱供給業</t>
  </si>
  <si>
    <t>3600</t>
  </si>
  <si>
    <t>3609</t>
  </si>
  <si>
    <t>3611</t>
  </si>
  <si>
    <t>上水道業</t>
  </si>
  <si>
    <t>3621</t>
  </si>
  <si>
    <t>工業用水道業</t>
  </si>
  <si>
    <t>3631</t>
  </si>
  <si>
    <t>下水道処理施設維持管理業</t>
  </si>
  <si>
    <t>3632</t>
  </si>
  <si>
    <t>下水道管路施設維持管理業</t>
  </si>
  <si>
    <t>3700</t>
  </si>
  <si>
    <t>3709</t>
  </si>
  <si>
    <t>3711</t>
  </si>
  <si>
    <t>地域電気通信業（有線放送電話業を除く）</t>
  </si>
  <si>
    <t>3712</t>
  </si>
  <si>
    <t>長距離電気通信業</t>
  </si>
  <si>
    <t>3713</t>
  </si>
  <si>
    <t>有線放送電話業</t>
  </si>
  <si>
    <t>3719</t>
  </si>
  <si>
    <t>その他の固定電気通信業</t>
  </si>
  <si>
    <t>3721</t>
  </si>
  <si>
    <t>移動電気通信業</t>
  </si>
  <si>
    <t>3731</t>
  </si>
  <si>
    <t>電気通信に附帯するサービス業</t>
  </si>
  <si>
    <t>3800</t>
  </si>
  <si>
    <t>3809</t>
  </si>
  <si>
    <t>3811</t>
  </si>
  <si>
    <t>公共放送業（有線放送業を除く）</t>
  </si>
  <si>
    <t>3821</t>
  </si>
  <si>
    <t>テレビジョン放送業（衛星放送業を除く）</t>
  </si>
  <si>
    <t>3822</t>
  </si>
  <si>
    <t>ラジオ放送業（衛星放送業を除く）</t>
  </si>
  <si>
    <t>3823</t>
  </si>
  <si>
    <t>衛星放送業</t>
  </si>
  <si>
    <t>3829</t>
  </si>
  <si>
    <t>その他の民間放送業</t>
  </si>
  <si>
    <t>3831</t>
  </si>
  <si>
    <t>有線テレビジョン放送業</t>
  </si>
  <si>
    <t>3832</t>
  </si>
  <si>
    <t>有線ラジオ放送業</t>
  </si>
  <si>
    <t>3900</t>
  </si>
  <si>
    <t>3909</t>
  </si>
  <si>
    <t>3911</t>
  </si>
  <si>
    <t>受託開発ソフトウェア業</t>
  </si>
  <si>
    <t>3912</t>
  </si>
  <si>
    <t>組込みソフトウェア業</t>
  </si>
  <si>
    <t>3913</t>
  </si>
  <si>
    <t>パッケージソフトウェア業</t>
  </si>
  <si>
    <t>3914</t>
  </si>
  <si>
    <t>ゲームソフトウェア業</t>
  </si>
  <si>
    <t>3921</t>
  </si>
  <si>
    <t>情報処理サービス業</t>
  </si>
  <si>
    <t>3922</t>
  </si>
  <si>
    <t>情報提供サービス業</t>
  </si>
  <si>
    <t>3923</t>
  </si>
  <si>
    <t>市場調査・世論調査・社会調査業</t>
    <rPh sb="0" eb="2">
      <t>シジョウ</t>
    </rPh>
    <rPh sb="2" eb="4">
      <t>チョウサ</t>
    </rPh>
    <rPh sb="5" eb="7">
      <t>セロン</t>
    </rPh>
    <rPh sb="7" eb="9">
      <t>チョウサ</t>
    </rPh>
    <rPh sb="10" eb="12">
      <t>シャカイ</t>
    </rPh>
    <rPh sb="12" eb="14">
      <t>チョウサ</t>
    </rPh>
    <rPh sb="14" eb="15">
      <t>ギョウ</t>
    </rPh>
    <phoneticPr fontId="5"/>
  </si>
  <si>
    <t>3929</t>
  </si>
  <si>
    <t>その他の情報処理・提供サービス業</t>
  </si>
  <si>
    <t>4000</t>
  </si>
  <si>
    <t>4009</t>
  </si>
  <si>
    <t>4011</t>
  </si>
  <si>
    <t>ポータルサイト・サーバ運営業</t>
  </si>
  <si>
    <t>4012</t>
  </si>
  <si>
    <t>アプリケーション・サービス・コンテンツ・プロバイダ</t>
  </si>
  <si>
    <t>4013</t>
  </si>
  <si>
    <t>インターネット利用サポート業</t>
  </si>
  <si>
    <t>4100</t>
  </si>
  <si>
    <t>4109</t>
  </si>
  <si>
    <t>4111</t>
  </si>
  <si>
    <t>映画・ビデオ制作業（テレビジョン番組制作業，アニメーション制作業を除く）</t>
  </si>
  <si>
    <t>4112</t>
  </si>
  <si>
    <t>テレビジョン番組制作業（アニメーション制作業を除く）</t>
  </si>
  <si>
    <t>4113</t>
  </si>
  <si>
    <t>アニメーション制作業</t>
  </si>
  <si>
    <t>4114</t>
  </si>
  <si>
    <t>映画・ビデオ・テレビジョン番組配給業</t>
  </si>
  <si>
    <t>4121</t>
  </si>
  <si>
    <t>レコード制作業</t>
  </si>
  <si>
    <t>4122</t>
  </si>
  <si>
    <t>ラジオ番組制作業</t>
  </si>
  <si>
    <t>4131</t>
  </si>
  <si>
    <t>新聞業</t>
  </si>
  <si>
    <t>4141</t>
  </si>
  <si>
    <t>出版業</t>
  </si>
  <si>
    <t>4151</t>
  </si>
  <si>
    <t>広告制作業</t>
  </si>
  <si>
    <t>4161</t>
  </si>
  <si>
    <t>ニュース供給業</t>
  </si>
  <si>
    <t>4169</t>
  </si>
  <si>
    <t>その他の映像・音声・文字情報制作に附帯するサービス業</t>
  </si>
  <si>
    <t>4200</t>
  </si>
  <si>
    <t>4209</t>
  </si>
  <si>
    <t>4211</t>
  </si>
  <si>
    <t>普通鉄道業</t>
  </si>
  <si>
    <t>4212</t>
  </si>
  <si>
    <t>軌道業</t>
  </si>
  <si>
    <t>4213</t>
  </si>
  <si>
    <t>地下鉄道業</t>
  </si>
  <si>
    <t>4214</t>
  </si>
  <si>
    <t>モノレール鉄道業（地下鉄道業を除く）</t>
  </si>
  <si>
    <t>4215</t>
  </si>
  <si>
    <t>案内軌条式鉄道業（地下鉄道業を除く）</t>
  </si>
  <si>
    <t>4216</t>
  </si>
  <si>
    <t>鋼索鉄道業</t>
  </si>
  <si>
    <t>4217</t>
  </si>
  <si>
    <t>索道業</t>
  </si>
  <si>
    <t>4219</t>
  </si>
  <si>
    <t>その他の鉄道業</t>
  </si>
  <si>
    <t>4300</t>
  </si>
  <si>
    <t>4309</t>
  </si>
  <si>
    <t>4311</t>
  </si>
  <si>
    <t>一般乗合旅客自動車運送業</t>
  </si>
  <si>
    <t>4321</t>
  </si>
  <si>
    <t>一般乗用旅客自動車運送業</t>
  </si>
  <si>
    <t>4331</t>
  </si>
  <si>
    <t>一般貸切旅客自動車運送業</t>
  </si>
  <si>
    <t>4391</t>
  </si>
  <si>
    <t>特定旅客自動車運送業</t>
  </si>
  <si>
    <t>4399</t>
  </si>
  <si>
    <t>他に分類されない道路旅客運送業</t>
  </si>
  <si>
    <t>4400</t>
  </si>
  <si>
    <t>4409</t>
  </si>
  <si>
    <t>4411</t>
  </si>
  <si>
    <t>一般貨物自動車運送業（特別積合せ貨物運送業を除く）</t>
  </si>
  <si>
    <t>4412</t>
  </si>
  <si>
    <t>特別積合せ貨物運送業</t>
  </si>
  <si>
    <t>4421</t>
  </si>
  <si>
    <t>特定貨物自動車運送業</t>
  </si>
  <si>
    <t>4431</t>
  </si>
  <si>
    <t>貨物軽自動車運送業</t>
  </si>
  <si>
    <t>4441</t>
  </si>
  <si>
    <t>集配利用運送業</t>
  </si>
  <si>
    <t>4499</t>
  </si>
  <si>
    <t>その他の道路貨物運送業</t>
  </si>
  <si>
    <t>4500</t>
  </si>
  <si>
    <t>4509</t>
  </si>
  <si>
    <t>4511</t>
  </si>
  <si>
    <t>外航旅客海運業</t>
  </si>
  <si>
    <t>4512</t>
  </si>
  <si>
    <t>外航貨物海運業</t>
  </si>
  <si>
    <t>4521</t>
  </si>
  <si>
    <t>沿海旅客海運業</t>
  </si>
  <si>
    <t>4522</t>
  </si>
  <si>
    <t>沿海貨物海運業</t>
  </si>
  <si>
    <t>4531</t>
  </si>
  <si>
    <t>港湾旅客海運業</t>
  </si>
  <si>
    <t>4532</t>
  </si>
  <si>
    <t>河川水運業</t>
  </si>
  <si>
    <t>4533</t>
  </si>
  <si>
    <t>湖沼水運業</t>
  </si>
  <si>
    <t>4541</t>
  </si>
  <si>
    <t>船舶貸渡業（内航船舶貸渡業を除く）</t>
  </si>
  <si>
    <t>4542</t>
  </si>
  <si>
    <t>内航船舶貸渡業</t>
  </si>
  <si>
    <t>4600</t>
  </si>
  <si>
    <t>4609</t>
  </si>
  <si>
    <t>4611</t>
  </si>
  <si>
    <t>航空運送業</t>
  </si>
  <si>
    <t>4621</t>
  </si>
  <si>
    <t>航空機使用業（航空運送業を除く）</t>
  </si>
  <si>
    <t>4700</t>
  </si>
  <si>
    <t>4709</t>
  </si>
  <si>
    <t>4711</t>
  </si>
  <si>
    <t>倉庫業（冷蔵倉庫業を除く）</t>
  </si>
  <si>
    <t>4721</t>
  </si>
  <si>
    <t>冷蔵倉庫業</t>
  </si>
  <si>
    <t>4800</t>
  </si>
  <si>
    <t>4809</t>
  </si>
  <si>
    <t>4811</t>
  </si>
  <si>
    <t>港湾運送業</t>
  </si>
  <si>
    <t>4821</t>
  </si>
  <si>
    <t>利用運送業（集配利用運送業を除く）</t>
  </si>
  <si>
    <t>4822</t>
  </si>
  <si>
    <t>運送取次業</t>
  </si>
  <si>
    <t>4831</t>
  </si>
  <si>
    <t>運送代理店</t>
  </si>
  <si>
    <t>4841</t>
  </si>
  <si>
    <t>こん包業（組立こん包業を除く）</t>
  </si>
  <si>
    <t>4842</t>
  </si>
  <si>
    <t>組立こん包業</t>
  </si>
  <si>
    <t>4851</t>
  </si>
  <si>
    <t>鉄道施設提供業</t>
  </si>
  <si>
    <t>4852</t>
  </si>
  <si>
    <t>道路運送固定施設業</t>
  </si>
  <si>
    <t>4853</t>
  </si>
  <si>
    <t>自動車ターミナル業</t>
  </si>
  <si>
    <t>4854</t>
  </si>
  <si>
    <t>貨物荷扱固定施設業</t>
  </si>
  <si>
    <t>4855</t>
  </si>
  <si>
    <t>桟橋泊きょ業</t>
  </si>
  <si>
    <t>4856</t>
  </si>
  <si>
    <t>飛行場業</t>
  </si>
  <si>
    <t>4891</t>
  </si>
  <si>
    <t>海運仲立業</t>
  </si>
  <si>
    <t>4899</t>
  </si>
  <si>
    <t>他に分類されない運輸に附帯するサービス業</t>
  </si>
  <si>
    <t>4901</t>
  </si>
  <si>
    <t>管理，補助的経済活動を行う事業所</t>
  </si>
  <si>
    <t>4911</t>
  </si>
  <si>
    <t>郵便業（信書便事業を含む）</t>
  </si>
  <si>
    <t>5000</t>
  </si>
  <si>
    <t>5008</t>
  </si>
  <si>
    <t>自家用倉庫</t>
  </si>
  <si>
    <t>5009</t>
  </si>
  <si>
    <t>5011</t>
  </si>
  <si>
    <t>各種商品卸売業（従業者が常時100人以上のもの）</t>
  </si>
  <si>
    <t>5019</t>
  </si>
  <si>
    <t>その他の各種商品卸売業</t>
  </si>
  <si>
    <t>5100</t>
  </si>
  <si>
    <t>5108</t>
  </si>
  <si>
    <t>5109</t>
  </si>
  <si>
    <t>5111</t>
  </si>
  <si>
    <t>繊維原料卸売業</t>
  </si>
  <si>
    <t>5112</t>
  </si>
  <si>
    <t>糸卸売業</t>
  </si>
  <si>
    <t>5113</t>
  </si>
  <si>
    <t>織物卸売業（室内装飾繊維品を除く）</t>
  </si>
  <si>
    <t>5121</t>
  </si>
  <si>
    <t>男子服卸売業</t>
  </si>
  <si>
    <t>5122</t>
  </si>
  <si>
    <t>婦人・子供服卸売業</t>
  </si>
  <si>
    <t>5123</t>
  </si>
  <si>
    <t>下着類卸売業</t>
  </si>
  <si>
    <t>5129</t>
  </si>
  <si>
    <t>その他の衣服卸売業</t>
  </si>
  <si>
    <t>5131</t>
  </si>
  <si>
    <t>寝具類卸売業</t>
  </si>
  <si>
    <t>5132</t>
  </si>
  <si>
    <t>靴・履物卸売業</t>
  </si>
  <si>
    <t>5133</t>
  </si>
  <si>
    <t>かばん・袋物卸売業</t>
  </si>
  <si>
    <t>5139</t>
  </si>
  <si>
    <t>その他の身の回り品卸売業</t>
  </si>
  <si>
    <t>5200</t>
  </si>
  <si>
    <t>5208</t>
  </si>
  <si>
    <t>5209</t>
  </si>
  <si>
    <t>5211</t>
  </si>
  <si>
    <t>米麦卸売業</t>
  </si>
  <si>
    <t>5212</t>
  </si>
  <si>
    <t>雑穀・豆類卸売業</t>
  </si>
  <si>
    <t>5213</t>
  </si>
  <si>
    <t>野菜卸売業</t>
  </si>
  <si>
    <t>5214</t>
  </si>
  <si>
    <t>果実卸売業</t>
  </si>
  <si>
    <t>5215</t>
  </si>
  <si>
    <t>食肉卸売業</t>
  </si>
  <si>
    <t>5216</t>
  </si>
  <si>
    <t>生鮮魚介卸売業</t>
  </si>
  <si>
    <t>5219</t>
  </si>
  <si>
    <t>その他の農畜産物・水産物卸売業</t>
  </si>
  <si>
    <t>5221</t>
  </si>
  <si>
    <t>砂糖・味そ・しょう油卸売業</t>
  </si>
  <si>
    <t>5222</t>
  </si>
  <si>
    <t>酒類卸売業</t>
  </si>
  <si>
    <t>5223</t>
  </si>
  <si>
    <t>乾物卸売業</t>
  </si>
  <si>
    <t>5224</t>
  </si>
  <si>
    <t>菓子・パン類卸売業</t>
  </si>
  <si>
    <t>5225</t>
  </si>
  <si>
    <t>飲料卸売業（別掲を除く）</t>
  </si>
  <si>
    <t>5226</t>
  </si>
  <si>
    <t>茶類卸売業</t>
  </si>
  <si>
    <t>5227</t>
  </si>
  <si>
    <t>牛乳・乳製品卸売業</t>
  </si>
  <si>
    <t>5229</t>
  </si>
  <si>
    <t>その他の食料・飲料卸売業</t>
  </si>
  <si>
    <t>5300</t>
  </si>
  <si>
    <t>5308</t>
  </si>
  <si>
    <t>5309</t>
  </si>
  <si>
    <t>5311</t>
  </si>
  <si>
    <t>木材・竹材卸売業</t>
  </si>
  <si>
    <t>5312</t>
  </si>
  <si>
    <t>セメント卸売業</t>
  </si>
  <si>
    <t>5313</t>
  </si>
  <si>
    <t>板ガラス卸売業</t>
  </si>
  <si>
    <t>5314</t>
  </si>
  <si>
    <t>建築用金属製品卸売業（建築用金物を除く）</t>
  </si>
  <si>
    <t>5319</t>
  </si>
  <si>
    <t>その他の建築材料卸売業</t>
  </si>
  <si>
    <t>5321</t>
  </si>
  <si>
    <t>塗料卸売業</t>
  </si>
  <si>
    <t>5322</t>
  </si>
  <si>
    <t>プラスチック卸売業</t>
  </si>
  <si>
    <t>5329</t>
  </si>
  <si>
    <t>その他の化学製品卸売業</t>
  </si>
  <si>
    <t>5331</t>
  </si>
  <si>
    <t>石油卸売業</t>
  </si>
  <si>
    <t>5332</t>
  </si>
  <si>
    <t>鉱物卸売業（石油を除く）</t>
  </si>
  <si>
    <t>5341</t>
  </si>
  <si>
    <t>鉄鋼粗製品卸売業</t>
  </si>
  <si>
    <t>5342</t>
  </si>
  <si>
    <t>鉄鋼一次製品卸売業</t>
  </si>
  <si>
    <t>5349</t>
  </si>
  <si>
    <t>その他の鉄鋼製品卸売業</t>
  </si>
  <si>
    <t>5351</t>
  </si>
  <si>
    <t>非鉄金属地金卸売業</t>
  </si>
  <si>
    <t>5352</t>
  </si>
  <si>
    <t>非鉄金属製品卸売業</t>
  </si>
  <si>
    <t>5361</t>
  </si>
  <si>
    <t>空瓶・空缶等空容器卸売業</t>
  </si>
  <si>
    <t>5362</t>
  </si>
  <si>
    <t>鉄スクラップ卸売業</t>
  </si>
  <si>
    <t>5363</t>
  </si>
  <si>
    <t>非鉄金属スクラップ卸売業</t>
  </si>
  <si>
    <t>5364</t>
  </si>
  <si>
    <t>古紙卸売業</t>
  </si>
  <si>
    <t>5369</t>
  </si>
  <si>
    <t>その他の再生資源卸売業</t>
  </si>
  <si>
    <t>5400</t>
  </si>
  <si>
    <t>5408</t>
  </si>
  <si>
    <t>5409</t>
  </si>
  <si>
    <t>5411</t>
  </si>
  <si>
    <t>農業用機械器具卸売業</t>
  </si>
  <si>
    <t>5412</t>
  </si>
  <si>
    <t>建設機械・鉱山機械卸売業</t>
  </si>
  <si>
    <t>5413</t>
  </si>
  <si>
    <t>金属加工機械卸売業</t>
  </si>
  <si>
    <t>5414</t>
  </si>
  <si>
    <t>事務用機械器具卸売業</t>
  </si>
  <si>
    <t>5419</t>
  </si>
  <si>
    <t>その他の産業機械器具卸売業</t>
  </si>
  <si>
    <t>5421</t>
  </si>
  <si>
    <t>自動車卸売業（二輪自動車を含む）</t>
  </si>
  <si>
    <t>5422</t>
  </si>
  <si>
    <t>自動車部分品・附属品卸売業（中古品を除く）</t>
  </si>
  <si>
    <t>5423</t>
  </si>
  <si>
    <t>自動車中古部品卸売業</t>
  </si>
  <si>
    <t>5431</t>
  </si>
  <si>
    <t>家庭用電気機械器具卸売業</t>
  </si>
  <si>
    <t>5432</t>
  </si>
  <si>
    <t>電気機械器具卸売業（家庭用電気機械器具を除く）</t>
  </si>
  <si>
    <t>5491</t>
  </si>
  <si>
    <t>輸送用機械器具卸売業（自動車を除く）</t>
  </si>
  <si>
    <t>5492</t>
  </si>
  <si>
    <t>計量器・理化学機械器具・光学機械器具等卸売業</t>
  </si>
  <si>
    <t>5493</t>
  </si>
  <si>
    <t>医療用機械器具卸売業（歯科用機械器具を含む）</t>
  </si>
  <si>
    <t>5500</t>
  </si>
  <si>
    <t>5508</t>
  </si>
  <si>
    <t>5509</t>
  </si>
  <si>
    <t>5511</t>
  </si>
  <si>
    <t>家具・建具卸売業</t>
  </si>
  <si>
    <t>5512</t>
  </si>
  <si>
    <t>荒物卸売業</t>
  </si>
  <si>
    <t>5513</t>
  </si>
  <si>
    <t>畳卸売業</t>
  </si>
  <si>
    <t>5514</t>
  </si>
  <si>
    <t>室内装飾繊維品卸売業</t>
  </si>
  <si>
    <t>5515</t>
  </si>
  <si>
    <t>陶磁器・ガラス器卸売業</t>
  </si>
  <si>
    <t>5519</t>
  </si>
  <si>
    <t>その他のじゅう器卸売業</t>
  </si>
  <si>
    <t>5521</t>
  </si>
  <si>
    <t>医薬品卸売業</t>
  </si>
  <si>
    <t>5522</t>
  </si>
  <si>
    <t>医療用品卸売業</t>
  </si>
  <si>
    <t>5523</t>
  </si>
  <si>
    <t>化粧品卸売業</t>
  </si>
  <si>
    <t>5524</t>
  </si>
  <si>
    <t>合成洗剤卸売業</t>
  </si>
  <si>
    <t>5531</t>
  </si>
  <si>
    <t>紙卸売業</t>
  </si>
  <si>
    <t>5532</t>
  </si>
  <si>
    <t>紙製品卸売業</t>
  </si>
  <si>
    <t>5591</t>
  </si>
  <si>
    <t>金物卸売業</t>
  </si>
  <si>
    <t>5592</t>
  </si>
  <si>
    <t>肥料・飼料卸売業</t>
  </si>
  <si>
    <t>5593</t>
  </si>
  <si>
    <t>スポーツ用品卸売業</t>
  </si>
  <si>
    <t>5594</t>
  </si>
  <si>
    <t>娯楽用品・がん具卸売業</t>
  </si>
  <si>
    <t>5595</t>
  </si>
  <si>
    <t>たばこ卸売業</t>
  </si>
  <si>
    <t>5596</t>
  </si>
  <si>
    <t>ジュエリー製品卸売業</t>
  </si>
  <si>
    <t>5597</t>
  </si>
  <si>
    <t>書籍・雑誌卸売業</t>
  </si>
  <si>
    <t>5598</t>
  </si>
  <si>
    <t>代理商，仲立業</t>
  </si>
  <si>
    <t>5599</t>
  </si>
  <si>
    <t>他に分類されないその他の卸売業</t>
  </si>
  <si>
    <t>5600</t>
  </si>
  <si>
    <t>5608</t>
  </si>
  <si>
    <t>5609</t>
  </si>
  <si>
    <t>5611</t>
  </si>
  <si>
    <t>百貨店，総合スーパー</t>
  </si>
  <si>
    <t>5699</t>
  </si>
  <si>
    <t>その他の各種商品小売業（従業者が常時50人未満のもの）</t>
  </si>
  <si>
    <t>5700</t>
  </si>
  <si>
    <t>5708</t>
  </si>
  <si>
    <t>5709</t>
  </si>
  <si>
    <t>5711</t>
  </si>
  <si>
    <t>呉服・服地小売業</t>
  </si>
  <si>
    <t>5712</t>
  </si>
  <si>
    <t>寝具小売業</t>
  </si>
  <si>
    <t>5721</t>
  </si>
  <si>
    <t>男子服小売業</t>
  </si>
  <si>
    <t>5731</t>
  </si>
  <si>
    <t>婦人服小売業</t>
  </si>
  <si>
    <t>5732</t>
  </si>
  <si>
    <t>子供服小売業</t>
  </si>
  <si>
    <t>5741</t>
  </si>
  <si>
    <t>靴小売業</t>
  </si>
  <si>
    <t>5742</t>
  </si>
  <si>
    <t>履物小売業（靴を除く）</t>
  </si>
  <si>
    <t>5791</t>
  </si>
  <si>
    <t>かばん・袋物小売業</t>
  </si>
  <si>
    <t>5792</t>
  </si>
  <si>
    <t>下着類小売業</t>
  </si>
  <si>
    <t>5793</t>
  </si>
  <si>
    <t>洋品雑貨・小間物小売業</t>
  </si>
  <si>
    <t>5799</t>
  </si>
  <si>
    <t>他に分類されない織物・衣服・身の回り品小売業</t>
  </si>
  <si>
    <t>5800</t>
  </si>
  <si>
    <t>5808</t>
  </si>
  <si>
    <t>5809</t>
  </si>
  <si>
    <t>5811</t>
  </si>
  <si>
    <t>各種食料品小売業</t>
  </si>
  <si>
    <t>5821</t>
  </si>
  <si>
    <t>野菜小売業</t>
  </si>
  <si>
    <t>5822</t>
  </si>
  <si>
    <t>果実小売業</t>
  </si>
  <si>
    <t>5831</t>
  </si>
  <si>
    <t>食肉小売業（卵，鳥肉を除く）</t>
  </si>
  <si>
    <t>5832</t>
  </si>
  <si>
    <t>卵・鳥肉小売業</t>
  </si>
  <si>
    <t>5841</t>
  </si>
  <si>
    <t>鮮魚小売業</t>
  </si>
  <si>
    <t>5851</t>
  </si>
  <si>
    <t>酒小売業</t>
  </si>
  <si>
    <t>5861</t>
  </si>
  <si>
    <t>菓子小売業（製造小売）</t>
  </si>
  <si>
    <t>5862</t>
  </si>
  <si>
    <t>菓子小売業（製造小売でないもの）</t>
  </si>
  <si>
    <t>5863</t>
  </si>
  <si>
    <t>パン小売業（製造小売）</t>
  </si>
  <si>
    <t>5864</t>
  </si>
  <si>
    <t>パン小売業（製造小売でないもの）</t>
  </si>
  <si>
    <t>5891</t>
  </si>
  <si>
    <t>コンビニエンスストア（飲食料品を中心とするものに限る）</t>
  </si>
  <si>
    <t>5892</t>
  </si>
  <si>
    <t>牛乳小売業</t>
  </si>
  <si>
    <t>5893</t>
  </si>
  <si>
    <t>飲料小売業（別掲を除く）</t>
  </si>
  <si>
    <t>5894</t>
  </si>
  <si>
    <t>茶類小売業</t>
  </si>
  <si>
    <t>5895</t>
  </si>
  <si>
    <t>料理品小売業</t>
  </si>
  <si>
    <t>5896</t>
  </si>
  <si>
    <t>米穀類小売業</t>
  </si>
  <si>
    <t>5897</t>
  </si>
  <si>
    <t>豆腐・かまぼこ等加工食品小売業</t>
  </si>
  <si>
    <t>5898</t>
  </si>
  <si>
    <t>乾物小売業</t>
  </si>
  <si>
    <t>5899</t>
  </si>
  <si>
    <t>他に分類されない飲食料品小売業</t>
  </si>
  <si>
    <t>5900</t>
  </si>
  <si>
    <t>5908</t>
  </si>
  <si>
    <t>5909</t>
  </si>
  <si>
    <t>5911</t>
  </si>
  <si>
    <t>自動車（新車）小売業</t>
  </si>
  <si>
    <t>5912</t>
  </si>
  <si>
    <t>中古自動車小売業</t>
  </si>
  <si>
    <t>5913</t>
  </si>
  <si>
    <t>自動車部分品・附属品小売業</t>
  </si>
  <si>
    <t>5914</t>
  </si>
  <si>
    <t>二輪自動車小売業（原動機付自転車を含む）</t>
  </si>
  <si>
    <t>5921</t>
  </si>
  <si>
    <t>自転車小売業</t>
  </si>
  <si>
    <t>5931</t>
  </si>
  <si>
    <t>電気機械器具小売業（中古品を除く）</t>
  </si>
  <si>
    <t>5932</t>
  </si>
  <si>
    <t>電気事務機械器具小売業（中古品を除く）</t>
  </si>
  <si>
    <t>5933</t>
  </si>
  <si>
    <t>中古電気製品小売業</t>
  </si>
  <si>
    <t>5939</t>
  </si>
  <si>
    <t>その他の機械器具小売業</t>
  </si>
  <si>
    <t>6000</t>
  </si>
  <si>
    <t>6008</t>
  </si>
  <si>
    <t>6009</t>
  </si>
  <si>
    <t>6011</t>
  </si>
  <si>
    <t>家具小売業</t>
  </si>
  <si>
    <t>6012</t>
  </si>
  <si>
    <t>建具小売業</t>
  </si>
  <si>
    <t>6013</t>
  </si>
  <si>
    <t>畳小売業</t>
  </si>
  <si>
    <t>6014</t>
  </si>
  <si>
    <t>宗教用具小売業</t>
  </si>
  <si>
    <t>6021</t>
  </si>
  <si>
    <t>金物小売業</t>
  </si>
  <si>
    <t>6022</t>
  </si>
  <si>
    <t>荒物小売業</t>
  </si>
  <si>
    <t>6023</t>
  </si>
  <si>
    <t>陶磁器・ガラス器小売業</t>
  </si>
  <si>
    <t>6029</t>
  </si>
  <si>
    <t>他に分類されないじゅう器小売業</t>
  </si>
  <si>
    <t>6031</t>
  </si>
  <si>
    <t>ドラッグストア</t>
  </si>
  <si>
    <t>6032</t>
  </si>
  <si>
    <t>医薬品小売業（調剤薬局を除く）</t>
  </si>
  <si>
    <t>6033</t>
  </si>
  <si>
    <t>調剤薬局</t>
  </si>
  <si>
    <t>6034</t>
  </si>
  <si>
    <t>化粧品小売業</t>
  </si>
  <si>
    <t>6041</t>
  </si>
  <si>
    <t>農業用機械器具小売業</t>
  </si>
  <si>
    <t>6042</t>
  </si>
  <si>
    <t>苗・種子小売業</t>
  </si>
  <si>
    <t>6043</t>
  </si>
  <si>
    <t>肥料・飼料小売業</t>
  </si>
  <si>
    <t>6051</t>
  </si>
  <si>
    <t>ガソリンスタンド</t>
  </si>
  <si>
    <t>6052</t>
  </si>
  <si>
    <t>燃料小売業（ガソリンスタンドを除く）</t>
  </si>
  <si>
    <t>6061</t>
  </si>
  <si>
    <t>書籍・雑誌小売業（古本を除く）</t>
  </si>
  <si>
    <t>6062</t>
  </si>
  <si>
    <t>古本小売業</t>
  </si>
  <si>
    <t>6063</t>
  </si>
  <si>
    <t>新聞小売業</t>
  </si>
  <si>
    <t>6064</t>
  </si>
  <si>
    <t>紙・文房具小売業</t>
  </si>
  <si>
    <t>6071</t>
  </si>
  <si>
    <t>スポーツ用品小売業</t>
  </si>
  <si>
    <t>6072</t>
  </si>
  <si>
    <t>がん具・娯楽用品小売業</t>
  </si>
  <si>
    <t>6073</t>
  </si>
  <si>
    <t>楽器小売業</t>
  </si>
  <si>
    <t>6081</t>
  </si>
  <si>
    <t>写真機・写真材料小売業</t>
  </si>
  <si>
    <t>6082</t>
  </si>
  <si>
    <t>時計・眼鏡・光学機械小売業</t>
  </si>
  <si>
    <t>6091</t>
  </si>
  <si>
    <t>ホームセンター</t>
  </si>
  <si>
    <t>6092</t>
  </si>
  <si>
    <t>たばこ・喫煙具専門小売業</t>
  </si>
  <si>
    <t>6093</t>
  </si>
  <si>
    <t>花・植木小売業</t>
  </si>
  <si>
    <t>6094</t>
  </si>
  <si>
    <t>建築材料小売業</t>
  </si>
  <si>
    <t>6095</t>
  </si>
  <si>
    <t>ジュエリー製品小売業</t>
  </si>
  <si>
    <t>6096</t>
  </si>
  <si>
    <t>ペット・ペット用品小売業</t>
  </si>
  <si>
    <t>6097</t>
  </si>
  <si>
    <t>骨とう品小売業</t>
  </si>
  <si>
    <t>6098</t>
  </si>
  <si>
    <t>中古品小売業（骨とう品を除く）</t>
  </si>
  <si>
    <t>6099</t>
  </si>
  <si>
    <t>他に分類されないその他の小売業</t>
  </si>
  <si>
    <t>6100</t>
  </si>
  <si>
    <t>6108</t>
  </si>
  <si>
    <t>6109</t>
  </si>
  <si>
    <t>6111</t>
  </si>
  <si>
    <t>無店舗小売業（各種商品小売）</t>
  </si>
  <si>
    <t>6112</t>
  </si>
  <si>
    <t>無店舗小売業（織物・衣服・身の回り品小売）</t>
  </si>
  <si>
    <t>6113</t>
  </si>
  <si>
    <t>無店舗小売業（飲食料品小売）</t>
  </si>
  <si>
    <t>6114</t>
  </si>
  <si>
    <t>無店舗小売業（機械器具小売）</t>
  </si>
  <si>
    <t>6119</t>
  </si>
  <si>
    <t>無店舗小売業（その他の小売）</t>
  </si>
  <si>
    <t>6121</t>
  </si>
  <si>
    <t>自動販売機による小売業</t>
  </si>
  <si>
    <t>6199</t>
  </si>
  <si>
    <t>その他の無店舗小売業</t>
  </si>
  <si>
    <t>6200</t>
  </si>
  <si>
    <t>6209</t>
  </si>
  <si>
    <t>6211</t>
  </si>
  <si>
    <t>中央銀行</t>
  </si>
  <si>
    <t>6221</t>
  </si>
  <si>
    <t>普通銀行</t>
  </si>
  <si>
    <t>6222</t>
  </si>
  <si>
    <t>郵便貯金銀行</t>
  </si>
  <si>
    <t>6223</t>
  </si>
  <si>
    <t>信託銀行</t>
  </si>
  <si>
    <t>6229</t>
  </si>
  <si>
    <t>その他の銀行</t>
  </si>
  <si>
    <t>6300</t>
  </si>
  <si>
    <t>6309</t>
  </si>
  <si>
    <t>6311</t>
  </si>
  <si>
    <t>信用金庫・同連合会</t>
  </si>
  <si>
    <t>6312</t>
  </si>
  <si>
    <t>信用協同組合・同連合会</t>
  </si>
  <si>
    <t>6313</t>
  </si>
  <si>
    <t>商工組合中央金庫</t>
  </si>
  <si>
    <t>6314</t>
  </si>
  <si>
    <t>労働金庫・同連合会</t>
  </si>
  <si>
    <t>6321</t>
  </si>
  <si>
    <t>農林中央金庫</t>
  </si>
  <si>
    <t>6322</t>
  </si>
  <si>
    <t>信用農業協同組合連合会</t>
  </si>
  <si>
    <t>6323</t>
  </si>
  <si>
    <t>信用漁業協同組合連合会，信用水産加工業協同組合連合会</t>
  </si>
  <si>
    <t>6324</t>
  </si>
  <si>
    <t>農業協同組合</t>
  </si>
  <si>
    <t>6325</t>
  </si>
  <si>
    <t>漁業協同組合，水産加工業協同組合</t>
  </si>
  <si>
    <t>6400</t>
  </si>
  <si>
    <t>6409</t>
  </si>
  <si>
    <t>6411</t>
  </si>
  <si>
    <t>消費者向け貸金業</t>
  </si>
  <si>
    <t>6412</t>
  </si>
  <si>
    <t>事業者向け貸金業</t>
  </si>
  <si>
    <t>6421</t>
  </si>
  <si>
    <t>質屋</t>
  </si>
  <si>
    <t>6431</t>
  </si>
  <si>
    <t>クレジットカード業</t>
  </si>
  <si>
    <t>6432</t>
  </si>
  <si>
    <t>割賦金融業</t>
  </si>
  <si>
    <t>6491</t>
  </si>
  <si>
    <t>政府関係金融機関</t>
  </si>
  <si>
    <t>6492</t>
  </si>
  <si>
    <t>住宅専門金融業</t>
  </si>
  <si>
    <t>6493</t>
  </si>
  <si>
    <t>証券金融業</t>
  </si>
  <si>
    <t>6499</t>
  </si>
  <si>
    <t>他に分類されない非預金信用機関</t>
  </si>
  <si>
    <t>6500</t>
  </si>
  <si>
    <t>6509</t>
  </si>
  <si>
    <t>6511</t>
  </si>
  <si>
    <t>金融商品取引業（投資助言・代理・運用業，補助的金融商品取引業を除く）</t>
  </si>
  <si>
    <t>6512</t>
  </si>
  <si>
    <t>投資助言・代理業</t>
  </si>
  <si>
    <t>6513</t>
  </si>
  <si>
    <t>投資運用業</t>
  </si>
  <si>
    <t>6514</t>
  </si>
  <si>
    <t>補助的金融商品取引業</t>
  </si>
  <si>
    <t>6521</t>
  </si>
  <si>
    <t>商品先物取引業</t>
    <rPh sb="0" eb="2">
      <t>ショウヒン</t>
    </rPh>
    <rPh sb="2" eb="4">
      <t>サキモノ</t>
    </rPh>
    <rPh sb="4" eb="6">
      <t>トリヒキ</t>
    </rPh>
    <rPh sb="6" eb="7">
      <t>ギョウ</t>
    </rPh>
    <phoneticPr fontId="5"/>
  </si>
  <si>
    <t>6522</t>
  </si>
  <si>
    <t>商品投資顧問業</t>
    <rPh sb="0" eb="2">
      <t>ショウヒン</t>
    </rPh>
    <rPh sb="2" eb="4">
      <t>トウシ</t>
    </rPh>
    <rPh sb="4" eb="6">
      <t>コモン</t>
    </rPh>
    <rPh sb="6" eb="7">
      <t>ギョウ</t>
    </rPh>
    <phoneticPr fontId="5"/>
  </si>
  <si>
    <t>6529</t>
  </si>
  <si>
    <t>その他の商品先物取引業，商品投資顧問業</t>
    <rPh sb="16" eb="18">
      <t>コモン</t>
    </rPh>
    <phoneticPr fontId="5"/>
  </si>
  <si>
    <t>6600</t>
  </si>
  <si>
    <t>6609</t>
  </si>
  <si>
    <t>6611</t>
  </si>
  <si>
    <t>短資業</t>
  </si>
  <si>
    <t>6612</t>
  </si>
  <si>
    <t>手形交換所</t>
  </si>
  <si>
    <t>6613</t>
  </si>
  <si>
    <t>両替業</t>
  </si>
  <si>
    <t>6614</t>
  </si>
  <si>
    <t>信用保証機関</t>
  </si>
  <si>
    <t>6615</t>
  </si>
  <si>
    <t>信用保証再保険機関</t>
  </si>
  <si>
    <t>6616</t>
  </si>
  <si>
    <t>預・貯金等保険機関</t>
  </si>
  <si>
    <t>6617</t>
  </si>
  <si>
    <t>金融商品取引所</t>
  </si>
  <si>
    <t>6618</t>
  </si>
  <si>
    <t>商品取引所</t>
  </si>
  <si>
    <t>6619</t>
  </si>
  <si>
    <t>その他の補助的金融業，金融附帯業</t>
  </si>
  <si>
    <t>6621</t>
  </si>
  <si>
    <t>運用型信託業</t>
  </si>
  <si>
    <t>6622</t>
  </si>
  <si>
    <t>管理型信託業</t>
  </si>
  <si>
    <t>6631</t>
  </si>
  <si>
    <t>金融商品仲介業</t>
  </si>
  <si>
    <t>6632</t>
  </si>
  <si>
    <t>信託契約代理業</t>
  </si>
  <si>
    <t>6639</t>
  </si>
  <si>
    <t>その他の金融代理業</t>
  </si>
  <si>
    <t>6700</t>
  </si>
  <si>
    <t>6709</t>
  </si>
  <si>
    <t>6711</t>
  </si>
  <si>
    <t>生命保険業（郵便保険業，生命保険再保険業を除く）</t>
  </si>
  <si>
    <t>6712</t>
  </si>
  <si>
    <t>郵便保険業</t>
  </si>
  <si>
    <t>6713</t>
  </si>
  <si>
    <t>生命保険再保険業</t>
  </si>
  <si>
    <t>6719</t>
  </si>
  <si>
    <t>その他の生命保険業</t>
  </si>
  <si>
    <t>6721</t>
  </si>
  <si>
    <t>損害保険業（損害保険再保険業を除く）</t>
  </si>
  <si>
    <t>6722</t>
  </si>
  <si>
    <t>損害保険再保険業</t>
  </si>
  <si>
    <t>6729</t>
  </si>
  <si>
    <t>その他の損害保険業</t>
  </si>
  <si>
    <t>6731</t>
  </si>
  <si>
    <t>共済事業（各種災害補償法によるもの）</t>
  </si>
  <si>
    <t>6732</t>
  </si>
  <si>
    <t>共済事業（各種協同組合法等によるもの）</t>
  </si>
  <si>
    <t>6733</t>
  </si>
  <si>
    <t>少額短期保険業</t>
  </si>
  <si>
    <t>6741</t>
  </si>
  <si>
    <t>生命保険媒介業</t>
  </si>
  <si>
    <t>6742</t>
  </si>
  <si>
    <t>損害保険代理業</t>
  </si>
  <si>
    <t>6743</t>
  </si>
  <si>
    <t>共済事業媒介代理業・少額短期保険代理業</t>
  </si>
  <si>
    <t>6751</t>
  </si>
  <si>
    <t>保険料率算出団体</t>
  </si>
  <si>
    <t>6752</t>
  </si>
  <si>
    <t>損害査定業</t>
  </si>
  <si>
    <t>6759</t>
  </si>
  <si>
    <t>その他の保険サービス業</t>
  </si>
  <si>
    <t>6800</t>
  </si>
  <si>
    <t>6809</t>
  </si>
  <si>
    <t>6811</t>
  </si>
  <si>
    <t>建物売買業</t>
  </si>
  <si>
    <t>6812</t>
  </si>
  <si>
    <t>土地売買業</t>
  </si>
  <si>
    <t>6821</t>
  </si>
  <si>
    <t>不動産代理業・仲介業</t>
  </si>
  <si>
    <t>6900</t>
  </si>
  <si>
    <t>6909</t>
  </si>
  <si>
    <t>6911</t>
  </si>
  <si>
    <t>貸事務所業</t>
  </si>
  <si>
    <t>6912</t>
  </si>
  <si>
    <t>土地賃貸業</t>
  </si>
  <si>
    <t>6919</t>
  </si>
  <si>
    <t>その他の不動産賃貸業</t>
  </si>
  <si>
    <t>6921</t>
  </si>
  <si>
    <t>貸家業</t>
  </si>
  <si>
    <t>6922</t>
  </si>
  <si>
    <t>貸間業</t>
  </si>
  <si>
    <t>6931</t>
  </si>
  <si>
    <t>駐車場業</t>
  </si>
  <si>
    <t>6941</t>
  </si>
  <si>
    <t>不動産管理業</t>
  </si>
  <si>
    <t>7000</t>
  </si>
  <si>
    <t>7009</t>
  </si>
  <si>
    <t>7011</t>
  </si>
  <si>
    <t>総合リース業</t>
  </si>
  <si>
    <t>7019</t>
  </si>
  <si>
    <t>その他の各種物品賃貸業</t>
  </si>
  <si>
    <t>7021</t>
  </si>
  <si>
    <t>産業用機械器具賃貸業（建設機械器具を除く）</t>
  </si>
  <si>
    <t>7022</t>
  </si>
  <si>
    <t>建設機械器具賃貸業</t>
  </si>
  <si>
    <t>7031</t>
  </si>
  <si>
    <t>事務用機械器具賃貸業（電子計算機を除く）</t>
  </si>
  <si>
    <t>7032</t>
  </si>
  <si>
    <t>電子計算機・同関連機器賃貸業</t>
  </si>
  <si>
    <t>7041</t>
  </si>
  <si>
    <t>自動車賃貸業</t>
  </si>
  <si>
    <t>7051</t>
  </si>
  <si>
    <t>スポーツ・娯楽用品賃貸業</t>
  </si>
  <si>
    <t>7091</t>
  </si>
  <si>
    <t>映画・演劇用品賃貸業</t>
  </si>
  <si>
    <t>7092</t>
  </si>
  <si>
    <t>音楽・映像記録物賃貸業（別掲を除く）</t>
  </si>
  <si>
    <t>7093</t>
  </si>
  <si>
    <t>貸衣しょう業（別掲を除く）</t>
  </si>
  <si>
    <t>7099</t>
  </si>
  <si>
    <t>他に分類されない物品賃貸業</t>
  </si>
  <si>
    <t>7101</t>
  </si>
  <si>
    <t>7111</t>
  </si>
  <si>
    <t>理学研究所</t>
  </si>
  <si>
    <t>7112</t>
  </si>
  <si>
    <t>工学研究所</t>
  </si>
  <si>
    <t>7113</t>
  </si>
  <si>
    <t>農学研究所</t>
  </si>
  <si>
    <t>7114</t>
  </si>
  <si>
    <t>医学・薬学研究所</t>
  </si>
  <si>
    <t>7121</t>
  </si>
  <si>
    <t>人文・社会科学研究所</t>
  </si>
  <si>
    <t>7201</t>
  </si>
  <si>
    <t>7211</t>
  </si>
  <si>
    <t>法律事務所</t>
  </si>
  <si>
    <t>7212</t>
  </si>
  <si>
    <t>特許事務所</t>
  </si>
  <si>
    <t>7221</t>
  </si>
  <si>
    <t>公証人役場，司法書士事務所</t>
  </si>
  <si>
    <t>7222</t>
  </si>
  <si>
    <t>土地家屋調査士事務所</t>
  </si>
  <si>
    <t>7231</t>
  </si>
  <si>
    <t>行政書士事務所</t>
  </si>
  <si>
    <t>7241</t>
  </si>
  <si>
    <t>公認会計士事務所</t>
  </si>
  <si>
    <t>7242</t>
  </si>
  <si>
    <t>税理士事務所</t>
  </si>
  <si>
    <t>7251</t>
  </si>
  <si>
    <t>社会保険労務士事務所</t>
  </si>
  <si>
    <t>7261</t>
  </si>
  <si>
    <t>デザイン業</t>
  </si>
  <si>
    <t>7271</t>
  </si>
  <si>
    <t>著述家業</t>
  </si>
  <si>
    <t>7272</t>
  </si>
  <si>
    <t>芸術家業</t>
  </si>
  <si>
    <t>7281</t>
  </si>
  <si>
    <t>経営コンサルタント業</t>
  </si>
  <si>
    <t>7282</t>
  </si>
  <si>
    <t>純粋持株会社</t>
  </si>
  <si>
    <t>7291</t>
  </si>
  <si>
    <t>興信所</t>
  </si>
  <si>
    <t>7292</t>
  </si>
  <si>
    <t>翻訳業（著述家業を除く）</t>
  </si>
  <si>
    <t>7293</t>
  </si>
  <si>
    <t>通訳業，通訳案内業</t>
  </si>
  <si>
    <t>7294</t>
  </si>
  <si>
    <t>不動産鑑定業</t>
  </si>
  <si>
    <t>7299</t>
  </si>
  <si>
    <t>他に分類されない専門サービス業</t>
  </si>
  <si>
    <t>7300</t>
  </si>
  <si>
    <t>7309</t>
  </si>
  <si>
    <t>7311</t>
  </si>
  <si>
    <t>広告業</t>
  </si>
  <si>
    <t>7401</t>
  </si>
  <si>
    <t>7411</t>
  </si>
  <si>
    <t>獣医業</t>
  </si>
  <si>
    <t>7421</t>
  </si>
  <si>
    <t>建築設計業</t>
  </si>
  <si>
    <t>7422</t>
  </si>
  <si>
    <t>測量業</t>
  </si>
  <si>
    <t>7429</t>
  </si>
  <si>
    <t>その他の土木建築サービス業</t>
  </si>
  <si>
    <t>7431</t>
  </si>
  <si>
    <t>機械設計業</t>
  </si>
  <si>
    <t>7441</t>
  </si>
  <si>
    <t>商品検査業</t>
  </si>
  <si>
    <t>7442</t>
  </si>
  <si>
    <t>非破壊検査業</t>
  </si>
  <si>
    <t>7451</t>
  </si>
  <si>
    <t>一般計量証明業</t>
  </si>
  <si>
    <t>7452</t>
  </si>
  <si>
    <t>環境計量証明業</t>
  </si>
  <si>
    <t>7459</t>
  </si>
  <si>
    <t>その他の計量証明業</t>
  </si>
  <si>
    <t>7461</t>
  </si>
  <si>
    <t>写真業（商業写真業を除く）</t>
  </si>
  <si>
    <t>7462</t>
  </si>
  <si>
    <t>商業写真業</t>
  </si>
  <si>
    <t>7499</t>
  </si>
  <si>
    <t>その他の技術サービス業</t>
  </si>
  <si>
    <t>7500</t>
  </si>
  <si>
    <t>7509</t>
  </si>
  <si>
    <t>7511</t>
  </si>
  <si>
    <t>旅館，ホテル</t>
  </si>
  <si>
    <t>7521</t>
  </si>
  <si>
    <t>簡易宿所</t>
  </si>
  <si>
    <t>7531</t>
  </si>
  <si>
    <t>下宿業</t>
  </si>
  <si>
    <t>7591</t>
  </si>
  <si>
    <t>会社・団体の宿泊所</t>
  </si>
  <si>
    <t>7592</t>
  </si>
  <si>
    <t>リゾートクラブ</t>
  </si>
  <si>
    <t>7599</t>
  </si>
  <si>
    <t>他に分類されない宿泊業</t>
  </si>
  <si>
    <t>7600</t>
  </si>
  <si>
    <t>7609</t>
  </si>
  <si>
    <t>7611</t>
  </si>
  <si>
    <t>食堂，レストラン（専門料理店を除く）</t>
  </si>
  <si>
    <t>7621</t>
  </si>
  <si>
    <t>日本料理店</t>
  </si>
  <si>
    <t>7622</t>
  </si>
  <si>
    <t>料亭</t>
  </si>
  <si>
    <t>7623</t>
  </si>
  <si>
    <t>中華料理店</t>
  </si>
  <si>
    <t>7624</t>
  </si>
  <si>
    <t>ラーメン店</t>
  </si>
  <si>
    <t>7625</t>
  </si>
  <si>
    <t>焼肉店</t>
  </si>
  <si>
    <t>7629</t>
  </si>
  <si>
    <t>その他の専門料理店</t>
  </si>
  <si>
    <t>7631</t>
  </si>
  <si>
    <t>そば・うどん店</t>
  </si>
  <si>
    <t>7641</t>
  </si>
  <si>
    <t>すし店</t>
  </si>
  <si>
    <t>7651</t>
  </si>
  <si>
    <t>酒場，ビヤホール</t>
  </si>
  <si>
    <t>7661</t>
  </si>
  <si>
    <t>バー，キャバレー，ナイトクラブ</t>
  </si>
  <si>
    <t>7671</t>
  </si>
  <si>
    <t>喫茶店</t>
  </si>
  <si>
    <t>7691</t>
  </si>
  <si>
    <t>ハンバーガー店</t>
  </si>
  <si>
    <t>7692</t>
  </si>
  <si>
    <t>お好み焼き・焼きそば・たこ焼店</t>
  </si>
  <si>
    <t>7699</t>
  </si>
  <si>
    <t>7700</t>
  </si>
  <si>
    <t>7709</t>
  </si>
  <si>
    <t>7711</t>
  </si>
  <si>
    <t>持ち帰り飲食サービス業</t>
  </si>
  <si>
    <t>7721</t>
  </si>
  <si>
    <t>配達飲食サービス業</t>
  </si>
  <si>
    <t>7800</t>
  </si>
  <si>
    <t>7809</t>
  </si>
  <si>
    <t>7811</t>
  </si>
  <si>
    <t>普通洗濯業</t>
  </si>
  <si>
    <t>7812</t>
  </si>
  <si>
    <t>洗濯物取次業</t>
  </si>
  <si>
    <t>7813</t>
  </si>
  <si>
    <t>リネンサプライ業</t>
  </si>
  <si>
    <t>7821</t>
  </si>
  <si>
    <t>理容業</t>
  </si>
  <si>
    <t>7831</t>
  </si>
  <si>
    <t>美容業</t>
  </si>
  <si>
    <t>7841</t>
  </si>
  <si>
    <t>一般公衆浴場業</t>
  </si>
  <si>
    <t>7851</t>
  </si>
  <si>
    <t>その他の公衆浴場業</t>
  </si>
  <si>
    <t>7891</t>
  </si>
  <si>
    <t>洗張・染物業</t>
  </si>
  <si>
    <t>7892</t>
  </si>
  <si>
    <t>エステティック業</t>
  </si>
  <si>
    <t>7893</t>
  </si>
  <si>
    <t>リラクゼーション業（手技を用いるもの）</t>
    <rPh sb="8" eb="9">
      <t>ギョウ</t>
    </rPh>
    <rPh sb="10" eb="12">
      <t>シュギ</t>
    </rPh>
    <rPh sb="13" eb="14">
      <t>モチ</t>
    </rPh>
    <phoneticPr fontId="5"/>
  </si>
  <si>
    <t>7894</t>
  </si>
  <si>
    <t>7899</t>
  </si>
  <si>
    <t>他に分類されない洗濯・理容・美容・浴場業</t>
  </si>
  <si>
    <t>7900</t>
  </si>
  <si>
    <t>7909</t>
  </si>
  <si>
    <t>7911</t>
  </si>
  <si>
    <t>旅行業(旅行業者代理業を除く)</t>
  </si>
  <si>
    <t>7912</t>
  </si>
  <si>
    <t>旅行業者代理業</t>
  </si>
  <si>
    <t>7921</t>
  </si>
  <si>
    <t>家事サービス業（住込みのもの）</t>
  </si>
  <si>
    <t>7922</t>
  </si>
  <si>
    <t>家事サービス業（住込みでないもの）</t>
  </si>
  <si>
    <t>7931</t>
  </si>
  <si>
    <t>衣服裁縫修理業</t>
  </si>
  <si>
    <t>7941</t>
  </si>
  <si>
    <t>物品預り業</t>
  </si>
  <si>
    <t>7951</t>
  </si>
  <si>
    <t>火葬業</t>
  </si>
  <si>
    <t>7952</t>
  </si>
  <si>
    <t>墓地管理業</t>
  </si>
  <si>
    <t>7961</t>
  </si>
  <si>
    <t>葬儀業</t>
  </si>
  <si>
    <t>7962</t>
  </si>
  <si>
    <t>結婚式場業</t>
  </si>
  <si>
    <t>7963</t>
  </si>
  <si>
    <t>冠婚葬祭互助会</t>
  </si>
  <si>
    <t>7991</t>
  </si>
  <si>
    <t>食品賃加工業</t>
  </si>
  <si>
    <t>7992</t>
  </si>
  <si>
    <t>結婚相談業，結婚式場紹介業</t>
  </si>
  <si>
    <t>7993</t>
  </si>
  <si>
    <t>7999</t>
  </si>
  <si>
    <t>他に分類されないその他の生活関連サービス業</t>
  </si>
  <si>
    <t>8000</t>
  </si>
  <si>
    <t>8009</t>
  </si>
  <si>
    <t>8011</t>
  </si>
  <si>
    <t>映画館</t>
  </si>
  <si>
    <t>8021</t>
  </si>
  <si>
    <t>劇場</t>
  </si>
  <si>
    <t>8022</t>
  </si>
  <si>
    <t>興行場</t>
  </si>
  <si>
    <t>8023</t>
  </si>
  <si>
    <t>劇団</t>
  </si>
  <si>
    <t>8024</t>
  </si>
  <si>
    <t>楽団，舞踏団</t>
  </si>
  <si>
    <t>8025</t>
  </si>
  <si>
    <t>演芸・スポーツ等興行団</t>
  </si>
  <si>
    <t>8031</t>
  </si>
  <si>
    <t>競輪場</t>
  </si>
  <si>
    <t>8032</t>
  </si>
  <si>
    <t>競馬場</t>
  </si>
  <si>
    <t>8033</t>
  </si>
  <si>
    <t>自動車・モータボートの競走場</t>
  </si>
  <si>
    <t>8034</t>
  </si>
  <si>
    <t>競輪競技団</t>
  </si>
  <si>
    <t>8035</t>
  </si>
  <si>
    <t>競馬競技団</t>
  </si>
  <si>
    <t>8036</t>
  </si>
  <si>
    <t>自動車・モータボートの競技団</t>
  </si>
  <si>
    <t>8041</t>
  </si>
  <si>
    <t>スポーツ施設提供業（別掲を除く）</t>
  </si>
  <si>
    <t>8042</t>
  </si>
  <si>
    <t>体育館</t>
  </si>
  <si>
    <t>8043</t>
  </si>
  <si>
    <t>ゴルフ場</t>
  </si>
  <si>
    <t>8044</t>
  </si>
  <si>
    <t>ゴルフ練習場</t>
  </si>
  <si>
    <t>8045</t>
  </si>
  <si>
    <t>ボウリング場</t>
  </si>
  <si>
    <t>8046</t>
  </si>
  <si>
    <t>テニス場</t>
  </si>
  <si>
    <t>8047</t>
  </si>
  <si>
    <t>バッティング・テニス練習場</t>
  </si>
  <si>
    <t>8048</t>
  </si>
  <si>
    <t>フィットネスクラブ</t>
  </si>
  <si>
    <t>8051</t>
  </si>
  <si>
    <t>公園</t>
  </si>
  <si>
    <t>8052</t>
  </si>
  <si>
    <t>遊園地（テーマパークを除く）</t>
  </si>
  <si>
    <t>8053</t>
  </si>
  <si>
    <t>テーマパーク</t>
  </si>
  <si>
    <t>8061</t>
  </si>
  <si>
    <t>ビリヤード場</t>
  </si>
  <si>
    <t>8062</t>
  </si>
  <si>
    <t>囲碁・将棋所</t>
  </si>
  <si>
    <t>8063</t>
  </si>
  <si>
    <t>マージャンクラブ</t>
  </si>
  <si>
    <t>8064</t>
  </si>
  <si>
    <t>パチンコホール</t>
  </si>
  <si>
    <t>8065</t>
  </si>
  <si>
    <t>ゲームセンター</t>
  </si>
  <si>
    <t>8069</t>
  </si>
  <si>
    <t>その他の遊戯場</t>
  </si>
  <si>
    <t>8091</t>
  </si>
  <si>
    <t>ダンスホール</t>
  </si>
  <si>
    <t>8092</t>
  </si>
  <si>
    <t>マリーナ業</t>
  </si>
  <si>
    <t>8093</t>
  </si>
  <si>
    <t>遊漁船業</t>
  </si>
  <si>
    <t>8094</t>
  </si>
  <si>
    <t>芸ぎ業</t>
  </si>
  <si>
    <t>8095</t>
  </si>
  <si>
    <t>カラオケボックス業</t>
  </si>
  <si>
    <t>8096</t>
  </si>
  <si>
    <t>娯楽に附帯するサービス業</t>
  </si>
  <si>
    <t>8099</t>
  </si>
  <si>
    <t>他に分類されない娯楽業</t>
  </si>
  <si>
    <t>8101</t>
  </si>
  <si>
    <t>8111</t>
  </si>
  <si>
    <t>幼稚園</t>
  </si>
  <si>
    <t>8121</t>
  </si>
  <si>
    <t>小学校</t>
  </si>
  <si>
    <t>8131</t>
  </si>
  <si>
    <t>中学校</t>
  </si>
  <si>
    <t>8141</t>
  </si>
  <si>
    <t>高等学校</t>
  </si>
  <si>
    <t>8142</t>
  </si>
  <si>
    <t>中等教育学校</t>
  </si>
  <si>
    <t>8151</t>
  </si>
  <si>
    <t>特別支援学校</t>
  </si>
  <si>
    <t>8161</t>
  </si>
  <si>
    <t>大学</t>
  </si>
  <si>
    <t>8162</t>
  </si>
  <si>
    <t>短期大学</t>
  </si>
  <si>
    <t>8163</t>
  </si>
  <si>
    <t>高等専門学校</t>
  </si>
  <si>
    <t>8171</t>
  </si>
  <si>
    <t>専修学校</t>
  </si>
  <si>
    <t>8172</t>
  </si>
  <si>
    <t>各種学校</t>
  </si>
  <si>
    <t>8181</t>
  </si>
  <si>
    <t>学校教育支援機関</t>
  </si>
  <si>
    <t>幼保連携型認定こども園</t>
    <rPh sb="0" eb="1">
      <t>ヨウ</t>
    </rPh>
    <rPh sb="1" eb="2">
      <t>タモツ</t>
    </rPh>
    <rPh sb="2" eb="4">
      <t>レンケイ</t>
    </rPh>
    <rPh sb="4" eb="5">
      <t>カタ</t>
    </rPh>
    <rPh sb="5" eb="7">
      <t>ニンテイ</t>
    </rPh>
    <rPh sb="10" eb="11">
      <t>エン</t>
    </rPh>
    <phoneticPr fontId="5"/>
  </si>
  <si>
    <t>8200</t>
  </si>
  <si>
    <t>8209</t>
  </si>
  <si>
    <t>8211</t>
  </si>
  <si>
    <t>公民館</t>
  </si>
  <si>
    <t>8212</t>
  </si>
  <si>
    <t>図書館</t>
  </si>
  <si>
    <t>8213</t>
  </si>
  <si>
    <t>博物館，美術館</t>
  </si>
  <si>
    <t>8214</t>
  </si>
  <si>
    <t>動物園，植物園，水族館</t>
  </si>
  <si>
    <t>8215</t>
  </si>
  <si>
    <t>青少年教育施設</t>
  </si>
  <si>
    <t>8216</t>
  </si>
  <si>
    <t>社会通信教育</t>
  </si>
  <si>
    <t>8219</t>
  </si>
  <si>
    <t>その他の社会教育</t>
  </si>
  <si>
    <t>8221</t>
  </si>
  <si>
    <t>職員教育施設・支援業</t>
  </si>
  <si>
    <t>8222</t>
  </si>
  <si>
    <t>職業訓練施設</t>
  </si>
  <si>
    <t>8229</t>
  </si>
  <si>
    <t>その他の職業・教育支援施設</t>
  </si>
  <si>
    <t>8231</t>
  </si>
  <si>
    <t>学習塾</t>
  </si>
  <si>
    <t>8241</t>
  </si>
  <si>
    <t>音楽教授業</t>
  </si>
  <si>
    <t>8242</t>
  </si>
  <si>
    <t>書道教授業</t>
  </si>
  <si>
    <t>8243</t>
  </si>
  <si>
    <t>生花・茶道教授業</t>
  </si>
  <si>
    <t>8244</t>
  </si>
  <si>
    <t>そろばん教授業</t>
  </si>
  <si>
    <t>8245</t>
  </si>
  <si>
    <t>外国語会話教授業</t>
  </si>
  <si>
    <t>8246</t>
  </si>
  <si>
    <t>スポーツ・健康教授業</t>
  </si>
  <si>
    <t>8249</t>
  </si>
  <si>
    <t>その他の教養・技能教授業</t>
  </si>
  <si>
    <t>8299</t>
  </si>
  <si>
    <t>他に分類されない教育，学習支援業</t>
  </si>
  <si>
    <t>8300</t>
  </si>
  <si>
    <t>8309</t>
  </si>
  <si>
    <t>8311</t>
  </si>
  <si>
    <t>一般病院</t>
  </si>
  <si>
    <t>8312</t>
  </si>
  <si>
    <t>精神科病院</t>
  </si>
  <si>
    <t>8321</t>
  </si>
  <si>
    <t>有床診療所</t>
  </si>
  <si>
    <t>8322</t>
  </si>
  <si>
    <t>無床診療所</t>
  </si>
  <si>
    <t>8331</t>
  </si>
  <si>
    <t>歯科診療所</t>
  </si>
  <si>
    <t>8341</t>
  </si>
  <si>
    <t>助産所</t>
  </si>
  <si>
    <t>8342</t>
  </si>
  <si>
    <t>看護業</t>
  </si>
  <si>
    <t>8351</t>
  </si>
  <si>
    <t>あん摩マッサージ指圧師・はり師・きゅう師・柔道整復師の施術所</t>
  </si>
  <si>
    <t>8359</t>
  </si>
  <si>
    <t>その他の療術業</t>
  </si>
  <si>
    <t>8361</t>
  </si>
  <si>
    <t>歯科技工所</t>
  </si>
  <si>
    <t>8369</t>
  </si>
  <si>
    <t>その他の医療に附帯するサービス業</t>
  </si>
  <si>
    <t>8400</t>
  </si>
  <si>
    <t>8409</t>
  </si>
  <si>
    <t>8411</t>
  </si>
  <si>
    <t>保健所</t>
  </si>
  <si>
    <t>8421</t>
  </si>
  <si>
    <t>結核健康相談施設</t>
  </si>
  <si>
    <t>8422</t>
  </si>
  <si>
    <t>精神保健相談施設</t>
  </si>
  <si>
    <t>8423</t>
  </si>
  <si>
    <t>母子健康相談施設</t>
  </si>
  <si>
    <t>8429</t>
  </si>
  <si>
    <t>その他の健康相談施設</t>
  </si>
  <si>
    <t>8491</t>
  </si>
  <si>
    <t>検疫所（動物検疫所，植物防疫所を除く）</t>
  </si>
  <si>
    <t>8492</t>
  </si>
  <si>
    <t>検査業</t>
  </si>
  <si>
    <t>8493</t>
  </si>
  <si>
    <t>消毒業</t>
  </si>
  <si>
    <t>8499</t>
  </si>
  <si>
    <t>他に分類されない保健衛生</t>
  </si>
  <si>
    <t>8500</t>
  </si>
  <si>
    <t>8509</t>
  </si>
  <si>
    <t>8511</t>
  </si>
  <si>
    <t>社会保険事業団体</t>
  </si>
  <si>
    <t>8521</t>
  </si>
  <si>
    <t>福祉事務所</t>
  </si>
  <si>
    <t>8531</t>
  </si>
  <si>
    <t>保育所</t>
  </si>
  <si>
    <t>8539</t>
  </si>
  <si>
    <t>その他の児童福祉事業</t>
  </si>
  <si>
    <t>8541</t>
  </si>
  <si>
    <t>特別養護老人ホーム</t>
  </si>
  <si>
    <t>8542</t>
  </si>
  <si>
    <t>介護老人保健施設</t>
  </si>
  <si>
    <t>8543</t>
  </si>
  <si>
    <t>通所・短期入所介護事業</t>
  </si>
  <si>
    <t>8544</t>
  </si>
  <si>
    <t>訪問介護事業</t>
  </si>
  <si>
    <t>8545</t>
  </si>
  <si>
    <t>認知症老人グループホーム</t>
  </si>
  <si>
    <t>8546</t>
  </si>
  <si>
    <t>有料老人ホーム</t>
  </si>
  <si>
    <t>8549</t>
  </si>
  <si>
    <t>その他の老人福祉・介護事業</t>
  </si>
  <si>
    <t>8551</t>
  </si>
  <si>
    <t>居住支援事業</t>
  </si>
  <si>
    <t>8559</t>
  </si>
  <si>
    <t>その他の障害者福祉事業</t>
  </si>
  <si>
    <t>8591</t>
  </si>
  <si>
    <t>更生保護事業</t>
  </si>
  <si>
    <t>8599</t>
  </si>
  <si>
    <t>他に分類されない社会保険・社会福祉・介護事業</t>
  </si>
  <si>
    <t>8601</t>
  </si>
  <si>
    <t>8611</t>
  </si>
  <si>
    <t>郵便局</t>
  </si>
  <si>
    <t>8621</t>
  </si>
  <si>
    <t>簡易郵便局</t>
  </si>
  <si>
    <t>8629</t>
  </si>
  <si>
    <t>その他の郵便局受託業</t>
  </si>
  <si>
    <t>8701</t>
  </si>
  <si>
    <t>8711</t>
  </si>
  <si>
    <t>農業協同組合（他に分類されないもの）</t>
  </si>
  <si>
    <t>8712</t>
  </si>
  <si>
    <t>漁業協同組合（他に分類されないもの）</t>
  </si>
  <si>
    <t>8713</t>
  </si>
  <si>
    <t>水産加工業協同組合（他に分類されないもの）</t>
  </si>
  <si>
    <t>8714</t>
  </si>
  <si>
    <t>森林組合（他に分類されないもの）</t>
  </si>
  <si>
    <t>8721</t>
  </si>
  <si>
    <t>事業協同組合（他に分類されないもの）</t>
  </si>
  <si>
    <t>8800</t>
  </si>
  <si>
    <t>8809</t>
  </si>
  <si>
    <t>8811</t>
  </si>
  <si>
    <t>し尿収集運搬業</t>
  </si>
  <si>
    <t>8812</t>
  </si>
  <si>
    <t>し尿処分業</t>
  </si>
  <si>
    <t>8813</t>
  </si>
  <si>
    <t>浄化槽清掃業</t>
  </si>
  <si>
    <t>8814</t>
  </si>
  <si>
    <t>浄化槽保守点検業</t>
  </si>
  <si>
    <t>8815</t>
  </si>
  <si>
    <t>ごみ収集運搬業</t>
  </si>
  <si>
    <t>8816</t>
  </si>
  <si>
    <t>ごみ処分業</t>
  </si>
  <si>
    <t>8817</t>
  </si>
  <si>
    <t>清掃事務所</t>
  </si>
  <si>
    <t>8821</t>
  </si>
  <si>
    <t>産業廃棄物収集運搬業</t>
  </si>
  <si>
    <t>8822</t>
  </si>
  <si>
    <t>産業廃棄物処分業</t>
  </si>
  <si>
    <t>8823</t>
  </si>
  <si>
    <t>特別管理産業廃棄物収集運搬業</t>
  </si>
  <si>
    <t>8824</t>
  </si>
  <si>
    <t>特別管理産業廃棄物処分業</t>
  </si>
  <si>
    <t>8891</t>
  </si>
  <si>
    <t>死亡獣畜取扱業</t>
  </si>
  <si>
    <t>8899</t>
  </si>
  <si>
    <t>他に分類されない廃棄物処理業</t>
  </si>
  <si>
    <t>8901</t>
  </si>
  <si>
    <t>8911</t>
  </si>
  <si>
    <t>自動車一般整備業</t>
  </si>
  <si>
    <t>8919</t>
  </si>
  <si>
    <t>その他の自動車整備業</t>
  </si>
  <si>
    <t>9000</t>
  </si>
  <si>
    <t>9009</t>
  </si>
  <si>
    <t>9011</t>
  </si>
  <si>
    <t>一般機械修理業（建設・鉱山機械を除く）</t>
  </si>
  <si>
    <t>9012</t>
  </si>
  <si>
    <t>建設・鉱山機械整備業</t>
  </si>
  <si>
    <t>9021</t>
  </si>
  <si>
    <t>電気機械器具修理業</t>
  </si>
  <si>
    <t>9031</t>
  </si>
  <si>
    <t>表具業</t>
  </si>
  <si>
    <t>9091</t>
  </si>
  <si>
    <t>家具修理業</t>
  </si>
  <si>
    <t>9092</t>
  </si>
  <si>
    <t>時計修理業</t>
  </si>
  <si>
    <t>9093</t>
  </si>
  <si>
    <t>履物修理業</t>
  </si>
  <si>
    <t>9094</t>
  </si>
  <si>
    <t>かじ業</t>
  </si>
  <si>
    <t>9099</t>
  </si>
  <si>
    <t>他に分類されない修理業</t>
  </si>
  <si>
    <t>9100</t>
  </si>
  <si>
    <t>9109</t>
  </si>
  <si>
    <t>9111</t>
  </si>
  <si>
    <t>職業紹介業</t>
  </si>
  <si>
    <t>9121</t>
  </si>
  <si>
    <t>労働者派遣業</t>
  </si>
  <si>
    <t>9200</t>
  </si>
  <si>
    <t>9209</t>
  </si>
  <si>
    <t>9211</t>
  </si>
  <si>
    <t>速記・ワープロ入力業</t>
  </si>
  <si>
    <t>9212</t>
  </si>
  <si>
    <t>複写業</t>
  </si>
  <si>
    <t>9221</t>
  </si>
  <si>
    <t>ビルメンテナンス業</t>
  </si>
  <si>
    <t>9229</t>
  </si>
  <si>
    <t>その他の建物サービス業</t>
  </si>
  <si>
    <t>9231</t>
  </si>
  <si>
    <t>警備業</t>
  </si>
  <si>
    <t>9291</t>
  </si>
  <si>
    <t>ディスプレイ業</t>
  </si>
  <si>
    <t>9292</t>
  </si>
  <si>
    <t>産業用設備洗浄業</t>
  </si>
  <si>
    <t>9293</t>
  </si>
  <si>
    <t>看板書き業</t>
  </si>
  <si>
    <t>9294</t>
  </si>
  <si>
    <t>コールセンター業</t>
    <rPh sb="7" eb="8">
      <t>ギョウ</t>
    </rPh>
    <phoneticPr fontId="5"/>
  </si>
  <si>
    <t>9299</t>
  </si>
  <si>
    <t>他に分類されないその他の事業サービス業</t>
  </si>
  <si>
    <t>9311</t>
  </si>
  <si>
    <t>実業団体</t>
  </si>
  <si>
    <t>9312</t>
  </si>
  <si>
    <t>同業団体</t>
  </si>
  <si>
    <t>9321</t>
  </si>
  <si>
    <t>労働団体</t>
  </si>
  <si>
    <t>9331</t>
  </si>
  <si>
    <t>学術団体</t>
  </si>
  <si>
    <t>9332</t>
  </si>
  <si>
    <t>文化団体</t>
  </si>
  <si>
    <t>9341</t>
  </si>
  <si>
    <t>政治団体</t>
  </si>
  <si>
    <t>9399</t>
  </si>
  <si>
    <t>他に分類されない非営利的団体</t>
  </si>
  <si>
    <t>9411</t>
  </si>
  <si>
    <t>神社，神道教会</t>
  </si>
  <si>
    <t>9412</t>
  </si>
  <si>
    <t>教派事務所</t>
  </si>
  <si>
    <t>9421</t>
  </si>
  <si>
    <t>寺院，仏教教会</t>
  </si>
  <si>
    <t>9422</t>
  </si>
  <si>
    <t>宗派事務所</t>
  </si>
  <si>
    <t>9431</t>
  </si>
  <si>
    <t>キリスト教教会，修道院</t>
  </si>
  <si>
    <t>9432</t>
  </si>
  <si>
    <t>教団事務所</t>
  </si>
  <si>
    <t>9491</t>
  </si>
  <si>
    <t>その他の宗教の教会</t>
  </si>
  <si>
    <t>9499</t>
  </si>
  <si>
    <t>その他の宗教の教団事務所</t>
  </si>
  <si>
    <t>9501</t>
  </si>
  <si>
    <t>9511</t>
  </si>
  <si>
    <t>集会場</t>
  </si>
  <si>
    <t>9521</t>
  </si>
  <si>
    <t>と畜場</t>
  </si>
  <si>
    <t>9599</t>
  </si>
  <si>
    <t>他に分類されないサービス業</t>
  </si>
  <si>
    <t>9611</t>
  </si>
  <si>
    <t>外国公館</t>
  </si>
  <si>
    <t>9699</t>
  </si>
  <si>
    <t>その他の外国公務</t>
  </si>
  <si>
    <t>9711</t>
  </si>
  <si>
    <t>立法機関</t>
  </si>
  <si>
    <t>9721</t>
  </si>
  <si>
    <t>司法機関</t>
  </si>
  <si>
    <t>9731</t>
  </si>
  <si>
    <t>行政機関</t>
  </si>
  <si>
    <t>9811</t>
  </si>
  <si>
    <t>都道府県機関</t>
  </si>
  <si>
    <t>9821</t>
  </si>
  <si>
    <t>市町村機関</t>
  </si>
  <si>
    <t>織物製事務用・作業用・衛生用・スポーツ用衣服・学校服製造業（不織布製及びレース製を含む）</t>
  </si>
  <si>
    <t>他に分類されない飲食店</t>
  </si>
  <si>
    <t>ネイルサービス業</t>
  </si>
  <si>
    <t>写真プリント,現像・焼付業</t>
  </si>
  <si>
    <t>8191</t>
  </si>
  <si>
    <t>林業</t>
  </si>
  <si>
    <t>漁業（水産養殖業を除く）</t>
  </si>
  <si>
    <t>水産養殖業</t>
  </si>
  <si>
    <t>総合工事業</t>
  </si>
  <si>
    <t>職別工事業(設備工事業を除く)</t>
  </si>
  <si>
    <t>設備工事業</t>
  </si>
  <si>
    <t>食料品製造業</t>
  </si>
  <si>
    <t>飲料・たばこ・飼料製造業</t>
  </si>
  <si>
    <t>繊維工業</t>
  </si>
  <si>
    <t>木材・木製品製造業（家具を除く）</t>
  </si>
  <si>
    <t>家具・装備品製造業</t>
  </si>
  <si>
    <t>パルプ・紙・紙加工品製造業</t>
  </si>
  <si>
    <t>印刷・同関連業</t>
  </si>
  <si>
    <t>化学工業</t>
  </si>
  <si>
    <t>石油製品・石炭製品製造業</t>
  </si>
  <si>
    <t>プラスチック製品製造業（別掲を除く）</t>
  </si>
  <si>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</si>
  <si>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</si>
  <si>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</si>
  <si>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</si>
  <si>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</si>
  <si>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</si>
  <si>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</si>
  <si>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</si>
  <si>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</si>
  <si>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</si>
  <si>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</si>
  <si>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</si>
  <si>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</si>
  <si>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</si>
  <si>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電気業</t>
  </si>
  <si>
    <t>ガス業</t>
  </si>
  <si>
    <t>水道業</t>
  </si>
  <si>
    <t>通信業</t>
  </si>
  <si>
    <t>放送業</t>
  </si>
  <si>
    <t>情報サービス業</t>
  </si>
  <si>
    <t>インターネット附随サービス業</t>
  </si>
  <si>
    <t>映像・音声・文字情報制作業</t>
  </si>
  <si>
    <t>鉄道業</t>
  </si>
  <si>
    <t>道路旅客運送業</t>
  </si>
  <si>
    <t>道路貨物運送業</t>
  </si>
  <si>
    <t>水運業</t>
  </si>
  <si>
    <t>航空運輸業</t>
  </si>
  <si>
    <t>倉庫業</t>
  </si>
  <si>
    <t>運輸に附帯するサービス業</t>
  </si>
  <si>
    <t>各種商品卸売業</t>
  </si>
  <si>
    <t>繊維・衣服等卸売業</t>
  </si>
  <si>
    <t>飲食料品卸売業</t>
  </si>
  <si>
    <t>機械器具卸売業</t>
  </si>
  <si>
    <t>その他の卸売業</t>
  </si>
  <si>
    <t>各種商品小売業</t>
  </si>
  <si>
    <t>織物・衣服・身の回り品小売業</t>
  </si>
  <si>
    <t>飲食料品小売業</t>
  </si>
  <si>
    <t>機械器具小売業</t>
  </si>
  <si>
    <t>その他の小売業</t>
  </si>
  <si>
    <t>無店舗小売業</t>
  </si>
  <si>
    <t>銀行業</t>
  </si>
  <si>
    <t>協同組織金融業</t>
  </si>
  <si>
    <t>補助的金融業等</t>
  </si>
  <si>
    <t>不動産取引業</t>
  </si>
  <si>
    <t>不動産賃貸業・管理業</t>
  </si>
  <si>
    <t>物品賃貸業</t>
  </si>
  <si>
    <t>学術・開発研究機関</t>
  </si>
  <si>
    <t>専門サービス業（他に分類されないもの）</t>
  </si>
  <si>
    <t>技術サービス業（他に分類されないもの）</t>
  </si>
  <si>
    <t>飲食店</t>
  </si>
  <si>
    <t>持ち帰り・配達飲食サービス業</t>
  </si>
  <si>
    <t>洗濯・理容・美容・浴場業</t>
  </si>
  <si>
    <t>その他の生活関連サービス業</t>
  </si>
  <si>
    <t>娯楽業</t>
  </si>
  <si>
    <t>学校教育</t>
  </si>
  <si>
    <t>医療業</t>
  </si>
  <si>
    <t>保健衛生</t>
  </si>
  <si>
    <t>社会保険・社会福祉・介護事業</t>
  </si>
  <si>
    <t>協同組合（他に分類されないもの）</t>
  </si>
  <si>
    <t>廃棄物処理業</t>
  </si>
  <si>
    <t>自動車整備業</t>
  </si>
  <si>
    <t>機械等修理業（別掲を除く）</t>
  </si>
  <si>
    <t>職業紹介・労働者派遣業</t>
  </si>
  <si>
    <t>その他の事業サービス業</t>
  </si>
  <si>
    <t>政治・経済・文化団体</t>
  </si>
  <si>
    <t>宗教</t>
  </si>
  <si>
    <t>その他のサービス業</t>
  </si>
  <si>
    <t>外国公務</t>
  </si>
  <si>
    <t>国家公務</t>
  </si>
  <si>
    <t>地方公務</t>
  </si>
  <si>
    <t>分類不能の産業</t>
  </si>
  <si>
    <t>農業</t>
    <phoneticPr fontId="1"/>
  </si>
  <si>
    <t>鉱業、採石業、砂利採取業</t>
  </si>
  <si>
    <t>建築材料、鉱物・金属材料等卸売業</t>
  </si>
  <si>
    <t>貸金業、クレジットカード業等非預金信用機関</t>
  </si>
  <si>
    <t>金融商品取引業、商品先物取引業</t>
  </si>
  <si>
    <t>保険業（保険媒介代理業、保険サービス業を含む）</t>
  </si>
  <si>
    <t>その他の教育、学習支援業</t>
  </si>
  <si>
    <t>中分類</t>
    <rPh sb="0" eb="3">
      <t>チュウブンルイ</t>
    </rPh>
    <phoneticPr fontId="5"/>
  </si>
  <si>
    <t>01</t>
    <phoneticPr fontId="1"/>
  </si>
  <si>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</si>
  <si>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</si>
  <si>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</si>
  <si>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</si>
  <si>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</si>
  <si>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</si>
  <si>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</si>
  <si>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</si>
  <si>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</si>
  <si>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</si>
  <si>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</si>
  <si>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</si>
  <si>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</si>
  <si>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</si>
  <si>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</si>
  <si>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</si>
  <si>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</si>
  <si>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</si>
  <si>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</si>
  <si>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</si>
  <si>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</si>
  <si>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</si>
  <si>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</si>
  <si>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</si>
  <si>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</si>
  <si>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</si>
  <si>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</si>
  <si>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</si>
  <si>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</si>
  <si>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</si>
  <si>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</si>
  <si>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</si>
  <si>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</si>
  <si>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</si>
  <si>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</si>
  <si>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</si>
  <si>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</si>
  <si>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</si>
  <si>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</si>
  <si>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</si>
  <si>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</si>
  <si>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</si>
  <si>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</si>
  <si>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</si>
  <si>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</si>
  <si>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</si>
  <si>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</si>
  <si>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</si>
  <si>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</si>
  <si>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</si>
  <si>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</si>
  <si>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</si>
  <si>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</si>
  <si>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</si>
  <si>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</si>
  <si>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</si>
  <si>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</si>
  <si>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</si>
  <si>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</si>
  <si>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</si>
  <si>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</si>
  <si>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</si>
  <si>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</si>
  <si>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</si>
  <si>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</si>
  <si>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</si>
  <si>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</si>
  <si>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</si>
  <si>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</si>
  <si>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</si>
  <si>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</si>
  <si>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</si>
  <si>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</si>
  <si>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</si>
  <si>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</si>
  <si>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</si>
  <si>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</si>
  <si>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</si>
  <si>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</si>
  <si>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</si>
  <si>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</si>
  <si>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</si>
  <si>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</si>
  <si>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</si>
  <si>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</si>
  <si>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</si>
  <si>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</si>
  <si>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</si>
  <si>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</si>
  <si>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</si>
  <si>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</si>
  <si>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</si>
  <si>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</si>
  <si>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</si>
  <si>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</si>
  <si>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</si>
  <si>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</si>
  <si>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</si>
  <si>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細分類</t>
    <rPh sb="0" eb="3">
      <t>サイブンルイ</t>
    </rPh>
    <phoneticPr fontId="1"/>
  </si>
  <si>
    <t>排出原単位</t>
    <rPh sb="0" eb="2">
      <t>ハイシュツ</t>
    </rPh>
    <rPh sb="2" eb="5">
      <t>ゲンタンイ</t>
    </rPh>
    <phoneticPr fontId="1"/>
  </si>
  <si>
    <t>２　温室効果ガスの削減目標等</t>
    <rPh sb="2" eb="4">
      <t>オンシツ</t>
    </rPh>
    <rPh sb="4" eb="6">
      <t>コウカ</t>
    </rPh>
    <rPh sb="9" eb="11">
      <t>サクゲン</t>
    </rPh>
    <rPh sb="11" eb="13">
      <t>モクヒョウ</t>
    </rPh>
    <rPh sb="13" eb="14">
      <t>ナド</t>
    </rPh>
    <phoneticPr fontId="4"/>
  </si>
  <si>
    <t>計画期間</t>
    <rPh sb="0" eb="2">
      <t>ケイカク</t>
    </rPh>
    <rPh sb="2" eb="4">
      <t>キカン</t>
    </rPh>
    <phoneticPr fontId="1"/>
  </si>
  <si>
    <t>～</t>
    <phoneticPr fontId="1"/>
  </si>
  <si>
    <t>tC/GJ</t>
  </si>
  <si>
    <t>換算係数
(GJ/千ｋWh)</t>
    <rPh sb="0" eb="2">
      <t>カンサン</t>
    </rPh>
    <rPh sb="2" eb="4">
      <t>ケイスウ</t>
    </rPh>
    <phoneticPr fontId="4"/>
  </si>
  <si>
    <t>売電量
(千kWh)</t>
    <rPh sb="0" eb="2">
      <t>バイデン</t>
    </rPh>
    <rPh sb="2" eb="3">
      <t>リョウ</t>
    </rPh>
    <phoneticPr fontId="4"/>
  </si>
  <si>
    <t>買電量
(千kWh)</t>
    <phoneticPr fontId="4"/>
  </si>
  <si>
    <t>該当する
事業者の要件</t>
    <rPh sb="0" eb="2">
      <t>ガイトウ</t>
    </rPh>
    <rPh sb="5" eb="8">
      <t>ジギョウシャ</t>
    </rPh>
    <rPh sb="9" eb="11">
      <t>ヨウケン</t>
    </rPh>
    <phoneticPr fontId="4"/>
  </si>
  <si>
    <t>車両</t>
    <rPh sb="0" eb="2">
      <t>シャリョウ</t>
    </rPh>
    <phoneticPr fontId="1"/>
  </si>
  <si>
    <t>宿泊業</t>
    <phoneticPr fontId="1"/>
  </si>
  <si>
    <t>３　温室効果ガスの排出抑制に関する取組</t>
    <rPh sb="2" eb="4">
      <t>オンシツ</t>
    </rPh>
    <rPh sb="4" eb="6">
      <t>コウカ</t>
    </rPh>
    <rPh sb="9" eb="11">
      <t>ハイシュツ</t>
    </rPh>
    <rPh sb="11" eb="13">
      <t>ヨクセイ</t>
    </rPh>
    <rPh sb="14" eb="15">
      <t>カン</t>
    </rPh>
    <rPh sb="17" eb="19">
      <t>トリクミ</t>
    </rPh>
    <phoneticPr fontId="4"/>
  </si>
  <si>
    <t>選択対策の実施計画</t>
    <rPh sb="0" eb="2">
      <t>センタク</t>
    </rPh>
    <rPh sb="2" eb="4">
      <t>タイサク</t>
    </rPh>
    <rPh sb="5" eb="7">
      <t>ジッシ</t>
    </rPh>
    <rPh sb="7" eb="9">
      <t>ケイカク</t>
    </rPh>
    <phoneticPr fontId="4"/>
  </si>
  <si>
    <t>項目</t>
    <rPh sb="0" eb="2">
      <t>コウモク</t>
    </rPh>
    <phoneticPr fontId="1"/>
  </si>
  <si>
    <t>基準年度実施率</t>
    <rPh sb="0" eb="2">
      <t>キジュン</t>
    </rPh>
    <rPh sb="2" eb="4">
      <t>ネンド</t>
    </rPh>
    <rPh sb="4" eb="6">
      <t>ジッシ</t>
    </rPh>
    <rPh sb="6" eb="7">
      <t>リツ</t>
    </rPh>
    <phoneticPr fontId="1"/>
  </si>
  <si>
    <t>目標年度実施率</t>
    <rPh sb="0" eb="2">
      <t>モクヒョウ</t>
    </rPh>
    <rPh sb="2" eb="4">
      <t>ネンド</t>
    </rPh>
    <rPh sb="4" eb="6">
      <t>ジッシ</t>
    </rPh>
    <rPh sb="6" eb="7">
      <t>リツ</t>
    </rPh>
    <phoneticPr fontId="1"/>
  </si>
  <si>
    <t>実施年度</t>
    <rPh sb="0" eb="2">
      <t>ジッシ</t>
    </rPh>
    <rPh sb="2" eb="4">
      <t>ネンド</t>
    </rPh>
    <phoneticPr fontId="1"/>
  </si>
  <si>
    <t>郵便番号</t>
    <rPh sb="0" eb="4">
      <t>ユウビンバンゴウ</t>
    </rPh>
    <phoneticPr fontId="4"/>
  </si>
  <si>
    <t>小分類</t>
    <rPh sb="0" eb="1">
      <t>ショウ</t>
    </rPh>
    <rPh sb="1" eb="3">
      <t>ブンルイ</t>
    </rPh>
    <phoneticPr fontId="5"/>
  </si>
  <si>
    <t>細分類</t>
    <rPh sb="0" eb="3">
      <t>サイブンルイ</t>
    </rPh>
    <phoneticPr fontId="5"/>
  </si>
  <si>
    <t>管理，補助的経済活動を行う事業所（01農業）</t>
  </si>
  <si>
    <t>耕種農業</t>
  </si>
  <si>
    <t>畜産農業</t>
  </si>
  <si>
    <t>農業サービス業（園芸サービス業を除く）</t>
  </si>
  <si>
    <t>管理，補助的経済活動を行う事業所（02林業）</t>
  </si>
  <si>
    <t>特用林産物生産業（きのこ類の栽培を除く）</t>
  </si>
  <si>
    <t>林業サービス業</t>
  </si>
  <si>
    <t>管理，補助的経済活動を行う事業所（03漁業）</t>
  </si>
  <si>
    <t>海面漁業</t>
  </si>
  <si>
    <t>管理，補助的経済活動を行う事業所（04水産養殖業）</t>
  </si>
  <si>
    <t>海面養殖業</t>
  </si>
  <si>
    <t>管理，補助的経済活動を行う事業所（05鉱業，採石業，砂利採取業）</t>
  </si>
  <si>
    <t>金属鉱業</t>
  </si>
  <si>
    <t>石炭・亜炭鉱業</t>
  </si>
  <si>
    <t>原油・天然ガス鉱業</t>
  </si>
  <si>
    <t>採石業，砂・砂利・玉石採取業</t>
  </si>
  <si>
    <t>窯業原料用鉱物鉱業（耐火物・陶磁器・ガラス・セメント原料用に限る）</t>
  </si>
  <si>
    <t>その他の鉱業</t>
  </si>
  <si>
    <t>管理，補助的経済活動を行う事業所（06総合工事業）</t>
  </si>
  <si>
    <t>土木工事業（舗装工事業を除く）</t>
  </si>
  <si>
    <t>管理，補助的経済活動を行う事業所（07職別工事業）</t>
  </si>
  <si>
    <t>大工工事業</t>
  </si>
  <si>
    <t>とび・土工・コンクリート工事業</t>
  </si>
  <si>
    <t>鉄骨・鉄筋工事業</t>
  </si>
  <si>
    <t>石工・れんが・タイル・ブロック工事業</t>
  </si>
  <si>
    <t>板金・金物工事業</t>
  </si>
  <si>
    <t>塗装工事業</t>
  </si>
  <si>
    <t>床・内装工事業</t>
  </si>
  <si>
    <t>その他の職別工事業</t>
  </si>
  <si>
    <t>管理，補助的経済活動を行う事業所（08設備工事業）</t>
  </si>
  <si>
    <t>電気工事業</t>
  </si>
  <si>
    <t>電気通信・信号装置工事業</t>
  </si>
  <si>
    <t>管工事業（さく井工事業を除く）</t>
  </si>
  <si>
    <t>機械器具設置工事業</t>
  </si>
  <si>
    <t>その他の設備工事業</t>
  </si>
  <si>
    <t>管理，補助的経済活動を行う事業所（09食料品製造業）</t>
  </si>
  <si>
    <t>畜産食料品製造業</t>
  </si>
  <si>
    <t>水産食料品製造業</t>
  </si>
  <si>
    <t>野菜缶詰・果実缶詰・農産保存食料品製造業</t>
  </si>
  <si>
    <t>調味料製造業</t>
  </si>
  <si>
    <t>糖類製造業</t>
  </si>
  <si>
    <t>精穀・製粉業</t>
  </si>
  <si>
    <t>パン・菓子製造業</t>
  </si>
  <si>
    <t>動植物油脂製造業</t>
  </si>
  <si>
    <t>その他の食料品製造業</t>
  </si>
  <si>
    <t>管理，補助的経済活動を行う事業所（10飲料・たばこ・飼料製造業）</t>
  </si>
  <si>
    <t>酒類製造業</t>
  </si>
  <si>
    <t>茶・コーヒー製造業（清涼飲料を除く）</t>
  </si>
  <si>
    <t>たばこ製造業</t>
  </si>
  <si>
    <t>飼料・有機質肥料製造業</t>
  </si>
  <si>
    <t>管理，補助的経済活動を行う事業所（11繊維工業）</t>
  </si>
  <si>
    <t>製糸業，紡績業，化学繊維・ねん糸等製造業</t>
  </si>
  <si>
    <t>織物業</t>
  </si>
  <si>
    <t>ニット生地製造業</t>
  </si>
  <si>
    <t>染色整理業</t>
  </si>
  <si>
    <t>綱・網・レース・繊維粗製品製造業</t>
  </si>
  <si>
    <t>外衣・シャツ製造業（和式を除く）</t>
  </si>
  <si>
    <t>下着類製造業</t>
  </si>
  <si>
    <t>和装製品・その他の衣服・繊維製身の回り品製造業</t>
  </si>
  <si>
    <t>その他の繊維製品製造業</t>
  </si>
  <si>
    <t>管理，補助的経済活動を行う事業所（12木材・木製品製造業）</t>
  </si>
  <si>
    <t>製材業，木製品製造業</t>
  </si>
  <si>
    <t>造作材・合板・建築用組立材料製造業</t>
  </si>
  <si>
    <t>木製容器製造業（竹，とうを含む）</t>
  </si>
  <si>
    <t>その他の木製品製造業(竹，とうを含む)</t>
  </si>
  <si>
    <t>管理，補助的経済活動を行う事業所（13家具・装備品製造業）</t>
  </si>
  <si>
    <t>家具製造業</t>
  </si>
  <si>
    <t>その他の家具・装備品製造業</t>
  </si>
  <si>
    <t>管理，補助的経済活動を行う事業所（14パルプ・紙・紙加工品製造業）</t>
  </si>
  <si>
    <t>紙製造業</t>
  </si>
  <si>
    <t>加工紙製造業</t>
  </si>
  <si>
    <t>紙製品製造業</t>
  </si>
  <si>
    <t>紙製容器製造業</t>
  </si>
  <si>
    <t>管理，補助的経済活動を行う事業所（15印刷・同関連業）</t>
  </si>
  <si>
    <t>印刷業</t>
  </si>
  <si>
    <t>製本業，印刷物加工業</t>
  </si>
  <si>
    <t>管理，補助的経済活動を行う事業所（16化学工業）</t>
  </si>
  <si>
    <t>化学肥料製造業</t>
  </si>
  <si>
    <t>無機化学工業製品製造業</t>
  </si>
  <si>
    <t>有機化学工業製品製造業</t>
  </si>
  <si>
    <t>油脂加工製品・石けん・合成洗剤・界面活性剤・塗料製造業</t>
  </si>
  <si>
    <t>医薬品製造業</t>
  </si>
  <si>
    <t>化粧品・歯磨・その他の化粧用調整品製造業</t>
  </si>
  <si>
    <t>その他の化学工業</t>
  </si>
  <si>
    <t>管理，補助的経済活動を行う事業所（17石油製品・石炭製品製造業）</t>
  </si>
  <si>
    <t>管理，補助的経済活動を行う事業所（18プラスチック製品製造業）</t>
  </si>
  <si>
    <t>プラスチック板・棒・管・継手・異形押出製品製造業</t>
  </si>
  <si>
    <t>プラスチックフィルム・シート・床材・合成皮革製造業</t>
  </si>
  <si>
    <t>工業用プラスチック製品製造業</t>
  </si>
  <si>
    <t>発泡・強化プラスチック製品製造業</t>
  </si>
  <si>
    <t>プラスチック成形材料製造業（廃プラスチックを含む）</t>
  </si>
  <si>
    <t>その他のプラスチック製品製造業</t>
  </si>
  <si>
    <t>管理，補助的経済活動を行う事業所（19ゴム製品製造業）</t>
  </si>
  <si>
    <t>タイヤ・チューブ製造業</t>
  </si>
  <si>
    <t>ゴム製・プラスチック製履物・同附属品製造業</t>
  </si>
  <si>
    <t>ゴムベルト・ゴムホース・工業用ゴム製品製造業</t>
  </si>
  <si>
    <t>その他のゴム製品製造業</t>
  </si>
  <si>
    <t>管理，補助的経済活動を行う事業所（20なめし革・同製品・毛皮製造業）</t>
  </si>
  <si>
    <t>袋物製造業</t>
  </si>
  <si>
    <t>管理，補助的経済活動を行う事業所（21窯業・土石製品製造業）</t>
  </si>
  <si>
    <t>ガラス・同製品製造業</t>
  </si>
  <si>
    <t>セメント・同製品製造業</t>
  </si>
  <si>
    <t>建設用粘土製品製造業（陶磁器製を除く)</t>
  </si>
  <si>
    <t>陶磁器・同関連製品製造業</t>
  </si>
  <si>
    <t>耐火物製造業</t>
  </si>
  <si>
    <t>炭素・黒鉛製品製造業</t>
  </si>
  <si>
    <t>研磨材・同製品製造業</t>
  </si>
  <si>
    <t>骨材・石工品等製造業</t>
  </si>
  <si>
    <t>その他の窯業・土石製品製造業</t>
  </si>
  <si>
    <t>管理，補助的経済活動を行う事業所（22鉄鋼業）</t>
  </si>
  <si>
    <t>製鉄業</t>
  </si>
  <si>
    <t>製鋼を行わない鋼材製造業（表面処理鋼材を除く）</t>
  </si>
  <si>
    <t>表面処理鋼材製造業</t>
  </si>
  <si>
    <t>鉄素形材製造業</t>
  </si>
  <si>
    <t>その他の鉄鋼業</t>
  </si>
  <si>
    <t>管理，補助的経済活動を行う事業所（23非鉄金属製造業）</t>
  </si>
  <si>
    <t>非鉄金属第1次製錬・精製業</t>
  </si>
  <si>
    <t>非鉄金属第2次製錬・精製業（非鉄金属合金製造業を含む）</t>
  </si>
  <si>
    <t>非鉄金属・同合金圧延業（抽伸，押出しを含む）</t>
  </si>
  <si>
    <t>電線・ケーブル製造業</t>
  </si>
  <si>
    <t>非鉄金属素形材製造業</t>
  </si>
  <si>
    <t>その他の非鉄金属製造業</t>
  </si>
  <si>
    <t>管理，補助的経済活動を行う事業所（24金属製品製造業）</t>
  </si>
  <si>
    <t>洋食器・刃物・手道具・金物類製造業</t>
  </si>
  <si>
    <t>暖房・調理等装置,配管工事用附属品製造業</t>
  </si>
  <si>
    <t>建設用・建築用金属製品製造業（製缶板金業を含む)</t>
  </si>
  <si>
    <t>金属素形材製品製造業</t>
  </si>
  <si>
    <t>金属被覆・彫刻業，熱処理業（ほうろう鉄器を除く）</t>
  </si>
  <si>
    <t>金属線製品製造業（ねじ類を除く)</t>
  </si>
  <si>
    <t>その他の金属製品製造業</t>
  </si>
  <si>
    <t>管理，補助的経済活動を行う事業所（25はん用機械器具製造業）</t>
  </si>
  <si>
    <t>ボイラ・原動機製造業</t>
  </si>
  <si>
    <t>ポンプ・圧縮機器製造業</t>
  </si>
  <si>
    <t>一般産業用機械・装置製造業</t>
  </si>
  <si>
    <t>その他のはん用機械・同部分品製造業</t>
  </si>
  <si>
    <t>管理，補助的経済活動を行う事業所（26生産用機械器具製造業）</t>
  </si>
  <si>
    <t>繊維機械製造業</t>
  </si>
  <si>
    <t>生活関連産業用機械製造業</t>
  </si>
  <si>
    <t>基礎素材産業用機械製造業</t>
  </si>
  <si>
    <t>金属加工機械製造業</t>
  </si>
  <si>
    <t>半導体・フラットパネルディスプレイ製造装置製造業</t>
  </si>
  <si>
    <t>その他の生産用機械・同部分品製造業</t>
  </si>
  <si>
    <t>管理，補助的経済活動を行う事業所（27業務用機械器具製造業）</t>
  </si>
  <si>
    <t>事務用機械器具製造業</t>
  </si>
  <si>
    <t>サービス用・娯楽用機械器具製造業</t>
  </si>
  <si>
    <t>計量器・測定器・分析機器・試験機・測量機械器具・理化学機械器具製造業</t>
  </si>
  <si>
    <t>医療用機械器具・医療用品製造業</t>
  </si>
  <si>
    <t>光学機械器具・レンズ製造業</t>
  </si>
  <si>
    <t>管理，補助的経済活動を行う事業所（28電子部品・デバイス・電子回路製造業）</t>
  </si>
  <si>
    <t>電子デバイス製造業</t>
  </si>
  <si>
    <t>電子部品製造業</t>
  </si>
  <si>
    <t>記録メディア製造業</t>
  </si>
  <si>
    <t>電子回路製造業</t>
  </si>
  <si>
    <t>ユニット部品製造業</t>
  </si>
  <si>
    <t>管理，補助的経済活動を行う事業所（29電気機械器具製造業）</t>
  </si>
  <si>
    <t>発電用・送電用・配電用電気機械器具製造業</t>
  </si>
  <si>
    <t>産業用電気機械器具製造業</t>
  </si>
  <si>
    <t>民生用電気機械器具製造業</t>
  </si>
  <si>
    <t>電球・電気照明器具製造業</t>
  </si>
  <si>
    <t>電池製造業</t>
  </si>
  <si>
    <t>電子応用装置製造業</t>
  </si>
  <si>
    <t>電気計測器製造業</t>
  </si>
  <si>
    <t>管理，補助的経済活動を行う事業所（30情報通信機械器具製造業）</t>
  </si>
  <si>
    <t>通信機械器具・同関連機械器具製造業</t>
  </si>
  <si>
    <t>映像・音響機械器具製造業</t>
  </si>
  <si>
    <t>電子計算機・同附属装置製造業</t>
  </si>
  <si>
    <t>管理，補助的経済活動を行う事業所（31輸送用機械器具製造業）</t>
  </si>
  <si>
    <t>自動車・同附属品製造業</t>
  </si>
  <si>
    <t>鉄道車両・同部分品製造業</t>
  </si>
  <si>
    <t>船舶製造・修理業，舶用機関製造業</t>
  </si>
  <si>
    <t>航空機・同附属品製造業</t>
  </si>
  <si>
    <t>産業用運搬車両・同部分品・附属品製造業</t>
  </si>
  <si>
    <t>その他の輸送用機械器具製造業</t>
  </si>
  <si>
    <t>管理，補助的経済活動を行う事業所（32その他の製造業）</t>
  </si>
  <si>
    <t>貴金属・宝石製品製造業</t>
  </si>
  <si>
    <t>装身具・装飾品・ボタン・同関連品製造業（貴金属・宝石製を除く）</t>
  </si>
  <si>
    <t>楽器製造業</t>
  </si>
  <si>
    <t>がん具・運動用具製造業</t>
  </si>
  <si>
    <t>ペン・鉛筆・絵画用品・その他の事務用品製造業</t>
  </si>
  <si>
    <t>畳等生活雑貨製品製造業</t>
  </si>
  <si>
    <t>他に分類されない製造業</t>
  </si>
  <si>
    <t>管理，補助的経済活動を行う事業所（33電気業）</t>
  </si>
  <si>
    <t>管理，補助的経済活動を行う事業所（34ガス業）</t>
  </si>
  <si>
    <t>管理，補助的経済活動を行う事業所（35熱供給業）</t>
  </si>
  <si>
    <t>管理，補助的経済活動を行う事業所（36水道業）</t>
  </si>
  <si>
    <t>下水道業</t>
  </si>
  <si>
    <t>管理，補助的経済活動を行う事業所（37通信業）</t>
  </si>
  <si>
    <t>固定電気通信業</t>
  </si>
  <si>
    <t>管理，補助的経済活動を行う事業所（38放送業）</t>
  </si>
  <si>
    <t>民間放送業（有線放送業を除く）</t>
  </si>
  <si>
    <t>有線放送業</t>
  </si>
  <si>
    <t>管理，補助的経済活動を行う事業所（39情報サービス業）</t>
  </si>
  <si>
    <t>ソフトウェア業</t>
  </si>
  <si>
    <t>情報処理・提供サービス業</t>
  </si>
  <si>
    <t>管理，補助的経済活動を行う事業所（40インターネット附随サービス業）</t>
  </si>
  <si>
    <t>管理，補助的経済活動を行う事業所（41映像・音声・文字情報制作業）</t>
  </si>
  <si>
    <t>映像情報制作・配給業</t>
  </si>
  <si>
    <t>音声情報制作業</t>
  </si>
  <si>
    <t>映像・音声・文字情報制作に附帯するサービス業</t>
  </si>
  <si>
    <t>管理，補助的経済活動を行う事業所（42鉄道業）</t>
  </si>
  <si>
    <t>管理，補助的経済活動を行う事業所（43道路旅客運送業）</t>
  </si>
  <si>
    <t>その他の道路旅客運送業</t>
  </si>
  <si>
    <t>管理，補助的経済活動を行う事業所（44道路貨物運送業）</t>
  </si>
  <si>
    <t>一般貨物自動車運送業</t>
  </si>
  <si>
    <t>管理，補助的経済活動を行う事業所（45水運業）</t>
  </si>
  <si>
    <t>外航海運業</t>
  </si>
  <si>
    <t>沿海海運業</t>
  </si>
  <si>
    <t>内陸水運業</t>
  </si>
  <si>
    <t>船舶貸渡業</t>
  </si>
  <si>
    <t>管理，補助的経済活動を行う事業所（46航空運輸業）</t>
  </si>
  <si>
    <t>管理，補助的経済活動を行う事業所（47倉庫業）</t>
  </si>
  <si>
    <t>管理，補助的経済活動を行う事業所（48運輸に附帯するサービス業）</t>
  </si>
  <si>
    <t>貨物運送取扱業（集配利用運送業を除く）</t>
  </si>
  <si>
    <t>こん包業</t>
  </si>
  <si>
    <t>運輸施設提供業</t>
  </si>
  <si>
    <t>その他の運輸に附帯するサービス業</t>
  </si>
  <si>
    <t>管理，補助的経済活動を行う事業所（49郵便業）</t>
  </si>
  <si>
    <t>管理，補助的経済活動を行う事業所（50各種商品卸売業）</t>
  </si>
  <si>
    <t>管理，補助的経済活動を行う事業所（51繊維・衣服等卸売業）</t>
  </si>
  <si>
    <t>繊維品卸売業（衣服，身の回り品を除く）</t>
  </si>
  <si>
    <t>衣服卸売業</t>
  </si>
  <si>
    <t>身の回り品卸売業</t>
  </si>
  <si>
    <t>管理，補助的経済活動を行う事業所（52飲食料品卸売業）</t>
  </si>
  <si>
    <t>農畜産物・水産物卸売業</t>
  </si>
  <si>
    <t>食料・飲料卸売業</t>
  </si>
  <si>
    <t>管理，補助的経済活動を行う事業所（53建築材料，鉱物・金属材料等卸売業）</t>
  </si>
  <si>
    <t>建築材料卸売業</t>
  </si>
  <si>
    <t>化学製品卸売業</t>
  </si>
  <si>
    <t>石油・鉱物卸売業</t>
  </si>
  <si>
    <t>鉄鋼製品卸売業</t>
  </si>
  <si>
    <t>非鉄金属卸売業</t>
  </si>
  <si>
    <t>再生資源卸売業</t>
  </si>
  <si>
    <t>管理，補助的経済活動を行う事業所（54機械器具卸売業）</t>
  </si>
  <si>
    <t>産業機械器具卸売業</t>
  </si>
  <si>
    <t>自動車卸売業</t>
  </si>
  <si>
    <t>電気機械器具卸売業</t>
  </si>
  <si>
    <t>その他の機械器具卸売業</t>
  </si>
  <si>
    <t>管理，補助的経済活動を行う事業所（55その他の卸売業）</t>
  </si>
  <si>
    <t>家具・建具・じゅう器等卸売業</t>
  </si>
  <si>
    <t>医薬品・化粧品等卸売業</t>
  </si>
  <si>
    <t>紙・紙製品卸売業</t>
  </si>
  <si>
    <t>他に分類されない卸売業</t>
  </si>
  <si>
    <t>管理，補助的経済活動を行う事業所（56各種商品小売業）</t>
  </si>
  <si>
    <t>管理，補助的経済活動を行う事業所（57織物・衣服・身の回り品小売業）</t>
  </si>
  <si>
    <t>呉服・服地・寝具小売業</t>
  </si>
  <si>
    <t>婦人・子供服小売業</t>
  </si>
  <si>
    <t>靴・履物小売業</t>
  </si>
  <si>
    <t>その他の織物・衣服・身の回り品小売業</t>
  </si>
  <si>
    <t>管理，補助的経済活動を行う事業所（58飲食料品小売業）</t>
  </si>
  <si>
    <t>野菜・果実小売業</t>
  </si>
  <si>
    <t>食肉小売業</t>
  </si>
  <si>
    <t>菓子・パン小売業</t>
  </si>
  <si>
    <t>その他の飲食料品小売業</t>
  </si>
  <si>
    <t>管理，補助的経済活動を行う事業所（59機械器具小売業）</t>
  </si>
  <si>
    <t>自動車小売業</t>
  </si>
  <si>
    <t>機械器具小売業（自動車，自転車を除く）</t>
  </si>
  <si>
    <t>管理，補助的経済活動を行う事業所（60その他の小売業）</t>
  </si>
  <si>
    <t>家具・建具・畳小売業</t>
  </si>
  <si>
    <t>じゅう器小売業</t>
  </si>
  <si>
    <t>医薬品・化粧品小売業</t>
  </si>
  <si>
    <t>農耕用品小売業</t>
  </si>
  <si>
    <t>燃料小売業</t>
  </si>
  <si>
    <t>書籍・文房具小売業</t>
  </si>
  <si>
    <t>スポーツ用品・がん具・娯楽用品・楽器小売業</t>
  </si>
  <si>
    <t>写真機・時計・眼鏡小売業</t>
  </si>
  <si>
    <t>他に分類されない小売業</t>
  </si>
  <si>
    <t>管理，補助的経済活動を行う事業所（61無店舗小売業）</t>
  </si>
  <si>
    <t>通信販売・訪問販売小売業</t>
  </si>
  <si>
    <t>管理，補助的経済活動を行う事業所（62銀行業）</t>
  </si>
  <si>
    <t>銀行（中央銀行を除く）</t>
  </si>
  <si>
    <t>管理，補助的経済活動を行う事業所（63協同組織金融業）</t>
  </si>
  <si>
    <t>中小企業等金融業</t>
  </si>
  <si>
    <t>農林水産金融業</t>
  </si>
  <si>
    <t>管理，補助的経済活動を行う事業所（64貸金業，クレジットカード業等非預金信用機関）</t>
  </si>
  <si>
    <t>貸金業</t>
  </si>
  <si>
    <t>クレジットカード業，割賦金融業</t>
  </si>
  <si>
    <t>その他の非預金信用機関</t>
  </si>
  <si>
    <t>管理，補助的経済活動を行う事業所（65金融商品取引業，商品先物取引業）</t>
  </si>
  <si>
    <t>金融商品取引業</t>
  </si>
  <si>
    <t>商品先物取引業，商品投資顧問業</t>
  </si>
  <si>
    <t>管理，補助的経済活動を行う事業所（66補助的金融業等）</t>
  </si>
  <si>
    <t>補助的金融業，金融附帯業</t>
  </si>
  <si>
    <t>信託業</t>
  </si>
  <si>
    <t>金融代理業</t>
  </si>
  <si>
    <t>管理，補助的経済活動を行う事業所（67保険業）</t>
  </si>
  <si>
    <t>生命保険業</t>
  </si>
  <si>
    <t>損害保険業</t>
  </si>
  <si>
    <t>共済事業，少額短期保険業</t>
  </si>
  <si>
    <t>保険媒介代理業</t>
  </si>
  <si>
    <t>保険サービス業</t>
  </si>
  <si>
    <t>管理，補助的経済活動を行う事業所（68不動産取引業）</t>
  </si>
  <si>
    <t>建物売買業，土地売買業</t>
  </si>
  <si>
    <t>管理，補助的経済活動を行う事業所（69不動産賃貸業・管理業）</t>
  </si>
  <si>
    <t>不動産賃貸業（貸家業，貸間業を除く）</t>
  </si>
  <si>
    <t>貸家業，貸間業</t>
  </si>
  <si>
    <t>管理，補助的経済活動を行う事業所（70物品賃貸業）</t>
  </si>
  <si>
    <t>各種物品賃貸業</t>
  </si>
  <si>
    <t>産業用機械器具賃貸業</t>
  </si>
  <si>
    <t>事務用機械器具賃貸業</t>
  </si>
  <si>
    <t>その他の物品賃貸業</t>
  </si>
  <si>
    <t>管理，補助的経済活動を行う事業所（71学術・開発研究機関）</t>
  </si>
  <si>
    <t>自然科学研究所</t>
  </si>
  <si>
    <t>管理，補助的経済活動を行う事業所（72専門サービス業）</t>
  </si>
  <si>
    <t>法律事務所，特許事務所</t>
  </si>
  <si>
    <t>公証人役場，司法書士事務所，土地家屋調査士事務所</t>
  </si>
  <si>
    <t>公認会計士事務所，税理士事務所</t>
  </si>
  <si>
    <t>著述・芸術家業</t>
  </si>
  <si>
    <t>経営コンサルタント業，純粋持株会社</t>
  </si>
  <si>
    <t>その他の専門サービス業</t>
  </si>
  <si>
    <t>管理，補助的経済活動を行う事業所（73広告業）</t>
  </si>
  <si>
    <t>管理，補助的経済活動を行う事業所（74技術サービス業）</t>
  </si>
  <si>
    <t>土木建築サービス業</t>
  </si>
  <si>
    <t>商品・非破壊検査業</t>
  </si>
  <si>
    <t>計量証明業</t>
  </si>
  <si>
    <t>写真業</t>
  </si>
  <si>
    <t>管理，補助的経済活動を行う事業所（75宿泊業）</t>
  </si>
  <si>
    <t>その他の宿泊業</t>
  </si>
  <si>
    <t>管理，補助的経済活動を行う事業所（76飲食店）</t>
  </si>
  <si>
    <t>専門料理店</t>
  </si>
  <si>
    <t>その他の飲食店</t>
  </si>
  <si>
    <t>管理，補助的経済活動を行う事業所（77持ち帰り・配達飲食サービス業）</t>
  </si>
  <si>
    <t>管理，補助的経済活動を行う事業所（78洗濯・理容・美容・浴場業）</t>
  </si>
  <si>
    <t>洗濯業</t>
  </si>
  <si>
    <t>その他の洗濯・理容・美容・浴場業</t>
  </si>
  <si>
    <t>管理，補助的経済活動を行う事業所（79その他の生活関連サービス業）</t>
  </si>
  <si>
    <t>旅行業</t>
  </si>
  <si>
    <t>家事サービス業</t>
  </si>
  <si>
    <t>火葬・墓地管理業</t>
  </si>
  <si>
    <t>冠婚葬祭業</t>
  </si>
  <si>
    <t>他に分類されない生活関連サービス業</t>
  </si>
  <si>
    <t>管理，補助的経済活動を行う事業所（80娯楽業）</t>
  </si>
  <si>
    <t>興行場（別掲を除く），興行団</t>
  </si>
  <si>
    <t>競輪・競馬等の競走場，競技団</t>
  </si>
  <si>
    <t>スポーツ施設提供業</t>
  </si>
  <si>
    <t>公園，遊園地</t>
  </si>
  <si>
    <t>遊戯場</t>
  </si>
  <si>
    <t>その他の娯楽業</t>
  </si>
  <si>
    <t>管理，補助的経済活動を行う事業所（81学校教育）</t>
  </si>
  <si>
    <t>高等学校，中等教育学校</t>
  </si>
  <si>
    <t>高等教育機関</t>
  </si>
  <si>
    <t>専修学校，各種学校</t>
  </si>
  <si>
    <t>幼保連携型認定こども園</t>
  </si>
  <si>
    <t>管理，補助的経済活動を行う事業所（82その他の教育，学習支援業）</t>
  </si>
  <si>
    <t>社会教育</t>
  </si>
  <si>
    <t>職業・教育支援施設</t>
  </si>
  <si>
    <t>教養・技能教授業</t>
  </si>
  <si>
    <t>管理，補助的経済活動を行う事業所（83医療業）</t>
  </si>
  <si>
    <t>病院</t>
  </si>
  <si>
    <t>一般診療所</t>
  </si>
  <si>
    <t>助産・看護業</t>
  </si>
  <si>
    <t>療術業</t>
  </si>
  <si>
    <t>医療に附帯するサービス業</t>
  </si>
  <si>
    <t>管理，補助的経済活動を行う事業所（84保健衛生）</t>
  </si>
  <si>
    <t>健康相談施設</t>
  </si>
  <si>
    <t>その他の保健衛生</t>
  </si>
  <si>
    <t>管理，補助的経済活動を行う事業所（85社会保険・社会福祉・介護事業）</t>
  </si>
  <si>
    <t>児童福祉事業</t>
  </si>
  <si>
    <t>老人福祉・介護事業</t>
  </si>
  <si>
    <t>障害者福祉事業</t>
  </si>
  <si>
    <t>その他の社会保険・社会福祉・介護事業</t>
  </si>
  <si>
    <t>管理，補助的経済活動を行う事業所（86郵便局）</t>
  </si>
  <si>
    <t>郵便局受託業</t>
  </si>
  <si>
    <t>管理，補助的経済活動を行う事業所（87協同組合）</t>
  </si>
  <si>
    <t>農林水産業協同組合（他に分類されないもの）</t>
  </si>
  <si>
    <t>管理，補助的経済活動を行う事業所（88廃棄物処理業）</t>
  </si>
  <si>
    <t>一般廃棄物処理業</t>
  </si>
  <si>
    <t>産業廃棄物処理業</t>
  </si>
  <si>
    <t>その他の廃棄物処理業</t>
  </si>
  <si>
    <t>管理，補助的経済活動を行う事業所（89自動車整備業）</t>
  </si>
  <si>
    <t>管理，補助的経済活動を行う事業所（90機械等修理業）</t>
  </si>
  <si>
    <t>機械修理業（電気機械器具を除く）</t>
  </si>
  <si>
    <t>その他の修理業</t>
  </si>
  <si>
    <t>管理，補助的経済活動を行う事業所（91職業紹介・労働者派遣業）</t>
  </si>
  <si>
    <t>管理，補助的経済活動を行う事業所（92その他の事業サービス業）</t>
  </si>
  <si>
    <t>速記・ワープロ入力・複写業</t>
  </si>
  <si>
    <t>建物サービス業</t>
  </si>
  <si>
    <t>他に分類されない事業サービス業</t>
  </si>
  <si>
    <t>経済団体</t>
  </si>
  <si>
    <t>学術・文化団体</t>
  </si>
  <si>
    <t>神道系宗教</t>
  </si>
  <si>
    <t>仏教系宗教</t>
  </si>
  <si>
    <t>キリスト教系宗教</t>
  </si>
  <si>
    <t>その他の宗教</t>
  </si>
  <si>
    <t>管理，補助的経済活動を行う事業所（95その他のサービス業）</t>
  </si>
  <si>
    <t>010</t>
  </si>
  <si>
    <t>011</t>
  </si>
  <si>
    <t>012</t>
  </si>
  <si>
    <t>013</t>
  </si>
  <si>
    <t>014</t>
  </si>
  <si>
    <t>020</t>
  </si>
  <si>
    <t>021</t>
  </si>
  <si>
    <t>022</t>
  </si>
  <si>
    <t>023</t>
  </si>
  <si>
    <t>024</t>
  </si>
  <si>
    <t>029</t>
  </si>
  <si>
    <t>030</t>
  </si>
  <si>
    <t>031</t>
  </si>
  <si>
    <t>032</t>
  </si>
  <si>
    <t>040</t>
  </si>
  <si>
    <t>041</t>
  </si>
  <si>
    <t>042</t>
  </si>
  <si>
    <t>050</t>
  </si>
  <si>
    <t>051</t>
  </si>
  <si>
    <t>052</t>
  </si>
  <si>
    <t>053</t>
  </si>
  <si>
    <t>054</t>
  </si>
  <si>
    <t>055</t>
  </si>
  <si>
    <t>059</t>
  </si>
  <si>
    <t>060</t>
  </si>
  <si>
    <t>061</t>
  </si>
  <si>
    <t>062</t>
  </si>
  <si>
    <t>063</t>
  </si>
  <si>
    <t>064</t>
  </si>
  <si>
    <t>065</t>
  </si>
  <si>
    <t>066</t>
  </si>
  <si>
    <t>070</t>
  </si>
  <si>
    <t>071</t>
  </si>
  <si>
    <t>072</t>
  </si>
  <si>
    <t>073</t>
  </si>
  <si>
    <t>074</t>
  </si>
  <si>
    <t>075</t>
  </si>
  <si>
    <t>076</t>
  </si>
  <si>
    <t>077</t>
  </si>
  <si>
    <t>078</t>
  </si>
  <si>
    <t>079</t>
  </si>
  <si>
    <t>080</t>
  </si>
  <si>
    <t>081</t>
  </si>
  <si>
    <t>082</t>
  </si>
  <si>
    <t>083</t>
  </si>
  <si>
    <t>084</t>
  </si>
  <si>
    <t>089</t>
  </si>
  <si>
    <t>090</t>
  </si>
  <si>
    <t>091</t>
  </si>
  <si>
    <t>092</t>
  </si>
  <si>
    <t>093</t>
  </si>
  <si>
    <t>094</t>
  </si>
  <si>
    <t>095</t>
  </si>
  <si>
    <t>096</t>
  </si>
  <si>
    <t>097</t>
  </si>
  <si>
    <t>098</t>
  </si>
  <si>
    <t>099</t>
  </si>
  <si>
    <t>主たる業種（中分類）</t>
    <rPh sb="0" eb="1">
      <t>シュ</t>
    </rPh>
    <rPh sb="3" eb="5">
      <t>ギョウシュ</t>
    </rPh>
    <rPh sb="6" eb="9">
      <t>チュウブンルイ</t>
    </rPh>
    <phoneticPr fontId="1"/>
  </si>
  <si>
    <t>小分類</t>
    <rPh sb="0" eb="1">
      <t>ショウ</t>
    </rPh>
    <rPh sb="1" eb="3">
      <t>ブンルイ</t>
    </rPh>
    <phoneticPr fontId="1"/>
  </si>
  <si>
    <t>主たる業種（小分類）</t>
    <rPh sb="0" eb="1">
      <t>シュ</t>
    </rPh>
    <rPh sb="3" eb="5">
      <t>ギョウシュ</t>
    </rPh>
    <rPh sb="6" eb="7">
      <t>ショウ</t>
    </rPh>
    <rPh sb="7" eb="9">
      <t>ブンルイ</t>
    </rPh>
    <phoneticPr fontId="1"/>
  </si>
  <si>
    <t>100</t>
  </si>
  <si>
    <t>101</t>
  </si>
  <si>
    <t>102</t>
  </si>
  <si>
    <t>103</t>
  </si>
  <si>
    <t>104</t>
  </si>
  <si>
    <t>105</t>
  </si>
  <si>
    <t>106</t>
  </si>
  <si>
    <t>110</t>
  </si>
  <si>
    <t>111</t>
  </si>
  <si>
    <t>112</t>
  </si>
  <si>
    <t>113</t>
  </si>
  <si>
    <t>114</t>
  </si>
  <si>
    <t>115</t>
  </si>
  <si>
    <t>116</t>
  </si>
  <si>
    <t>117</t>
  </si>
  <si>
    <t>118</t>
  </si>
  <si>
    <t>119</t>
  </si>
  <si>
    <t>120</t>
  </si>
  <si>
    <t>121</t>
  </si>
  <si>
    <t>122</t>
  </si>
  <si>
    <t>123</t>
  </si>
  <si>
    <t>129</t>
  </si>
  <si>
    <t>130</t>
  </si>
  <si>
    <t>131</t>
  </si>
  <si>
    <t>132</t>
  </si>
  <si>
    <t>133</t>
  </si>
  <si>
    <t>139</t>
  </si>
  <si>
    <t>140</t>
  </si>
  <si>
    <t>141</t>
  </si>
  <si>
    <t>142</t>
  </si>
  <si>
    <t>143</t>
  </si>
  <si>
    <t>144</t>
  </si>
  <si>
    <t>145</t>
  </si>
  <si>
    <t>149</t>
  </si>
  <si>
    <t>150</t>
  </si>
  <si>
    <t>151</t>
  </si>
  <si>
    <t>152</t>
  </si>
  <si>
    <t>153</t>
  </si>
  <si>
    <t>159</t>
  </si>
  <si>
    <t>160</t>
  </si>
  <si>
    <t>161</t>
  </si>
  <si>
    <t>162</t>
  </si>
  <si>
    <t>163</t>
  </si>
  <si>
    <t>164</t>
  </si>
  <si>
    <t>165</t>
  </si>
  <si>
    <t>166</t>
  </si>
  <si>
    <t>169</t>
  </si>
  <si>
    <t>170</t>
  </si>
  <si>
    <t>171</t>
  </si>
  <si>
    <t>172</t>
  </si>
  <si>
    <t>173</t>
  </si>
  <si>
    <t>174</t>
  </si>
  <si>
    <t>179</t>
  </si>
  <si>
    <t>180</t>
  </si>
  <si>
    <t>181</t>
  </si>
  <si>
    <t>182</t>
  </si>
  <si>
    <t>183</t>
  </si>
  <si>
    <t>184</t>
  </si>
  <si>
    <t>185</t>
  </si>
  <si>
    <t>189</t>
  </si>
  <si>
    <t>190</t>
  </si>
  <si>
    <t>191</t>
  </si>
  <si>
    <t>192</t>
  </si>
  <si>
    <t>193</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</si>
  <si>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</si>
  <si>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</si>
  <si>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</si>
  <si>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</si>
  <si>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</si>
  <si>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</si>
  <si>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</si>
  <si>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</si>
  <si>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</si>
  <si>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</si>
  <si>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</si>
  <si>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</si>
  <si>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</si>
  <si>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</si>
  <si>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</si>
  <si>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</si>
  <si>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</si>
  <si>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</si>
  <si>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</si>
  <si>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</si>
  <si>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</si>
  <si>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</si>
  <si>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</si>
  <si>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</si>
  <si>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</si>
  <si>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</si>
  <si>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</si>
  <si>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229</t>
  </si>
  <si>
    <t>230</t>
  </si>
  <si>
    <t>231</t>
  </si>
  <si>
    <t>232</t>
  </si>
  <si>
    <t>233</t>
  </si>
  <si>
    <t>234</t>
  </si>
  <si>
    <t>235</t>
  </si>
  <si>
    <t>239</t>
  </si>
  <si>
    <t>240</t>
  </si>
  <si>
    <t>241</t>
  </si>
  <si>
    <t>242</t>
  </si>
  <si>
    <t>243</t>
  </si>
  <si>
    <t>244</t>
  </si>
  <si>
    <t>245</t>
  </si>
  <si>
    <t>246</t>
  </si>
  <si>
    <t>247</t>
  </si>
  <si>
    <t>248</t>
  </si>
  <si>
    <t>249</t>
  </si>
  <si>
    <t>250</t>
  </si>
  <si>
    <t>251</t>
  </si>
  <si>
    <t>252</t>
  </si>
  <si>
    <t>253</t>
  </si>
  <si>
    <t>259</t>
  </si>
  <si>
    <t>260</t>
  </si>
  <si>
    <t>261</t>
  </si>
  <si>
    <t>262</t>
  </si>
  <si>
    <t>263</t>
  </si>
  <si>
    <t>264</t>
  </si>
  <si>
    <t>265</t>
  </si>
  <si>
    <t>266</t>
  </si>
  <si>
    <t>267</t>
  </si>
  <si>
    <t>269</t>
  </si>
  <si>
    <t>270</t>
  </si>
  <si>
    <t>271</t>
  </si>
  <si>
    <t>272</t>
  </si>
  <si>
    <t>273</t>
  </si>
  <si>
    <t>274</t>
  </si>
  <si>
    <t>275</t>
  </si>
  <si>
    <t>276</t>
  </si>
  <si>
    <t>280</t>
  </si>
  <si>
    <t>281</t>
  </si>
  <si>
    <t>282</t>
  </si>
  <si>
    <t>283</t>
  </si>
  <si>
    <t>284</t>
  </si>
  <si>
    <t>285</t>
  </si>
  <si>
    <t>289</t>
  </si>
  <si>
    <t>290</t>
  </si>
  <si>
    <t>291</t>
  </si>
  <si>
    <t>292</t>
  </si>
  <si>
    <t>293</t>
  </si>
  <si>
    <t>294</t>
  </si>
  <si>
    <t>295</t>
  </si>
  <si>
    <t>296</t>
  </si>
  <si>
    <t>297</t>
  </si>
  <si>
    <t>299</t>
  </si>
  <si>
    <t>300</t>
  </si>
  <si>
    <t>301</t>
  </si>
  <si>
    <t>302</t>
  </si>
  <si>
    <t>303</t>
  </si>
  <si>
    <t>310</t>
  </si>
  <si>
    <t>311</t>
  </si>
  <si>
    <t>312</t>
  </si>
  <si>
    <t>313</t>
  </si>
  <si>
    <t>314</t>
  </si>
  <si>
    <t>315</t>
  </si>
  <si>
    <t>319</t>
  </si>
  <si>
    <t>320</t>
  </si>
  <si>
    <t>321</t>
  </si>
  <si>
    <t>322</t>
  </si>
  <si>
    <t>323</t>
  </si>
  <si>
    <t>324</t>
  </si>
  <si>
    <t>325</t>
  </si>
  <si>
    <t>326</t>
  </si>
  <si>
    <t>327</t>
  </si>
  <si>
    <t>328</t>
  </si>
  <si>
    <t>329</t>
  </si>
  <si>
    <t>330</t>
  </si>
  <si>
    <t>331</t>
  </si>
  <si>
    <t>340</t>
  </si>
  <si>
    <t>341</t>
  </si>
  <si>
    <t>350</t>
  </si>
  <si>
    <t>351</t>
  </si>
  <si>
    <t>360</t>
  </si>
  <si>
    <t>361</t>
  </si>
  <si>
    <t>362</t>
  </si>
  <si>
    <t>363</t>
  </si>
  <si>
    <t>370</t>
  </si>
  <si>
    <t>371</t>
  </si>
  <si>
    <t>372</t>
  </si>
  <si>
    <t>373</t>
  </si>
  <si>
    <t>380</t>
  </si>
  <si>
    <t>381</t>
  </si>
  <si>
    <t>382</t>
  </si>
  <si>
    <t>383</t>
  </si>
  <si>
    <t>390</t>
  </si>
  <si>
    <t>391</t>
  </si>
  <si>
    <t>392</t>
  </si>
  <si>
    <t>400</t>
  </si>
  <si>
    <t>401</t>
  </si>
  <si>
    <t>410</t>
  </si>
  <si>
    <t>411</t>
  </si>
  <si>
    <t>412</t>
  </si>
  <si>
    <t>413</t>
  </si>
  <si>
    <t>414</t>
  </si>
  <si>
    <t>415</t>
  </si>
  <si>
    <t>416</t>
  </si>
  <si>
    <t>420</t>
  </si>
  <si>
    <t>421</t>
  </si>
  <si>
    <t>430</t>
  </si>
  <si>
    <t>431</t>
  </si>
  <si>
    <t>432</t>
  </si>
  <si>
    <t>433</t>
  </si>
  <si>
    <t>439</t>
  </si>
  <si>
    <t>440</t>
  </si>
  <si>
    <t>441</t>
  </si>
  <si>
    <t>442</t>
  </si>
  <si>
    <t>443</t>
  </si>
  <si>
    <t>444</t>
  </si>
  <si>
    <t>449</t>
  </si>
  <si>
    <t>450</t>
  </si>
  <si>
    <t>451</t>
  </si>
  <si>
    <t>452</t>
  </si>
  <si>
    <t>453</t>
  </si>
  <si>
    <t>454</t>
  </si>
  <si>
    <t>460</t>
  </si>
  <si>
    <t>461</t>
  </si>
  <si>
    <t>462</t>
  </si>
  <si>
    <t>470</t>
  </si>
  <si>
    <t>471</t>
  </si>
  <si>
    <t>472</t>
  </si>
  <si>
    <t>480</t>
  </si>
  <si>
    <t>481</t>
  </si>
  <si>
    <t>482</t>
  </si>
  <si>
    <t>483</t>
  </si>
  <si>
    <t>484</t>
  </si>
  <si>
    <t>485</t>
  </si>
  <si>
    <t>489</t>
  </si>
  <si>
    <t>490</t>
  </si>
  <si>
    <t>491</t>
  </si>
  <si>
    <t>500</t>
  </si>
  <si>
    <t>501</t>
  </si>
  <si>
    <t>510</t>
  </si>
  <si>
    <t>511</t>
  </si>
  <si>
    <t>512</t>
  </si>
  <si>
    <t>513</t>
  </si>
  <si>
    <t>520</t>
  </si>
  <si>
    <t>521</t>
  </si>
  <si>
    <t>522</t>
  </si>
  <si>
    <t>530</t>
  </si>
  <si>
    <t>531</t>
  </si>
  <si>
    <t>532</t>
  </si>
  <si>
    <t>533</t>
  </si>
  <si>
    <t>534</t>
  </si>
  <si>
    <t>535</t>
  </si>
  <si>
    <t>536</t>
  </si>
  <si>
    <t>540</t>
  </si>
  <si>
    <t>541</t>
  </si>
  <si>
    <t>542</t>
  </si>
  <si>
    <t>543</t>
  </si>
  <si>
    <t>549</t>
  </si>
  <si>
    <t>550</t>
  </si>
  <si>
    <t>551</t>
  </si>
  <si>
    <t>552</t>
  </si>
  <si>
    <t>553</t>
  </si>
  <si>
    <t>559</t>
  </si>
  <si>
    <t>560</t>
  </si>
  <si>
    <t>561</t>
  </si>
  <si>
    <t>569</t>
  </si>
  <si>
    <t>570</t>
  </si>
  <si>
    <t>571</t>
  </si>
  <si>
    <t>572</t>
  </si>
  <si>
    <t>573</t>
  </si>
  <si>
    <t>574</t>
  </si>
  <si>
    <t>579</t>
  </si>
  <si>
    <t>580</t>
  </si>
  <si>
    <t>581</t>
  </si>
  <si>
    <t>582</t>
  </si>
  <si>
    <t>583</t>
  </si>
  <si>
    <t>584</t>
  </si>
  <si>
    <t>585</t>
  </si>
  <si>
    <t>586</t>
  </si>
  <si>
    <t>589</t>
  </si>
  <si>
    <t>590</t>
  </si>
  <si>
    <t>591</t>
  </si>
  <si>
    <t>592</t>
  </si>
  <si>
    <t>593</t>
  </si>
  <si>
    <t>600</t>
  </si>
  <si>
    <t>601</t>
  </si>
  <si>
    <t>602</t>
  </si>
  <si>
    <t>603</t>
  </si>
  <si>
    <t>604</t>
  </si>
  <si>
    <t>605</t>
  </si>
  <si>
    <t>606</t>
  </si>
  <si>
    <t>607</t>
  </si>
  <si>
    <t>608</t>
  </si>
  <si>
    <t>609</t>
  </si>
  <si>
    <t>610</t>
  </si>
  <si>
    <t>611</t>
  </si>
  <si>
    <t>612</t>
  </si>
  <si>
    <t>619</t>
  </si>
  <si>
    <t>620</t>
  </si>
  <si>
    <t>621</t>
  </si>
  <si>
    <t>622</t>
  </si>
  <si>
    <t>630</t>
  </si>
  <si>
    <t>631</t>
  </si>
  <si>
    <t>632</t>
  </si>
  <si>
    <t>640</t>
  </si>
  <si>
    <t>641</t>
  </si>
  <si>
    <t>642</t>
  </si>
  <si>
    <t>643</t>
  </si>
  <si>
    <t>649</t>
  </si>
  <si>
    <t>650</t>
  </si>
  <si>
    <t>651</t>
  </si>
  <si>
    <t>652</t>
  </si>
  <si>
    <t>660</t>
  </si>
  <si>
    <t>661</t>
  </si>
  <si>
    <t>662</t>
  </si>
  <si>
    <t>663</t>
  </si>
  <si>
    <t>670</t>
  </si>
  <si>
    <t>671</t>
  </si>
  <si>
    <t>672</t>
  </si>
  <si>
    <t>673</t>
  </si>
  <si>
    <t>674</t>
  </si>
  <si>
    <t>675</t>
  </si>
  <si>
    <t>680</t>
  </si>
  <si>
    <t>681</t>
  </si>
  <si>
    <t>682</t>
  </si>
  <si>
    <t>690</t>
  </si>
  <si>
    <t>691</t>
  </si>
  <si>
    <t>692</t>
  </si>
  <si>
    <t>693</t>
  </si>
  <si>
    <t>694</t>
  </si>
  <si>
    <t>700</t>
  </si>
  <si>
    <t>701</t>
  </si>
  <si>
    <t>702</t>
  </si>
  <si>
    <t>703</t>
  </si>
  <si>
    <t>704</t>
  </si>
  <si>
    <t>705</t>
  </si>
  <si>
    <t>709</t>
  </si>
  <si>
    <t>710</t>
  </si>
  <si>
    <t>711</t>
  </si>
  <si>
    <t>712</t>
  </si>
  <si>
    <t>720</t>
  </si>
  <si>
    <t>721</t>
  </si>
  <si>
    <t>722</t>
  </si>
  <si>
    <t>723</t>
  </si>
  <si>
    <t>724</t>
  </si>
  <si>
    <t>725</t>
  </si>
  <si>
    <t>726</t>
  </si>
  <si>
    <t>727</t>
  </si>
  <si>
    <t>728</t>
  </si>
  <si>
    <t>729</t>
  </si>
  <si>
    <t>730</t>
  </si>
  <si>
    <t>731</t>
  </si>
  <si>
    <t>740</t>
  </si>
  <si>
    <t>741</t>
  </si>
  <si>
    <t>742</t>
  </si>
  <si>
    <t>743</t>
  </si>
  <si>
    <t>744</t>
  </si>
  <si>
    <t>745</t>
  </si>
  <si>
    <t>746</t>
  </si>
  <si>
    <t>749</t>
  </si>
  <si>
    <t>750</t>
  </si>
  <si>
    <t>751</t>
  </si>
  <si>
    <t>752</t>
  </si>
  <si>
    <t>753</t>
  </si>
  <si>
    <t>759</t>
  </si>
  <si>
    <t>760</t>
  </si>
  <si>
    <t>761</t>
  </si>
  <si>
    <t>762</t>
  </si>
  <si>
    <t>763</t>
  </si>
  <si>
    <t>764</t>
  </si>
  <si>
    <t>765</t>
  </si>
  <si>
    <t>766</t>
  </si>
  <si>
    <t>767</t>
  </si>
  <si>
    <t>769</t>
  </si>
  <si>
    <t>770</t>
  </si>
  <si>
    <t>771</t>
  </si>
  <si>
    <t>772</t>
  </si>
  <si>
    <t>780</t>
  </si>
  <si>
    <t>781</t>
  </si>
  <si>
    <t>782</t>
  </si>
  <si>
    <t>783</t>
  </si>
  <si>
    <t>784</t>
  </si>
  <si>
    <t>785</t>
  </si>
  <si>
    <t>789</t>
  </si>
  <si>
    <t>790</t>
  </si>
  <si>
    <t>791</t>
  </si>
  <si>
    <t>792</t>
  </si>
  <si>
    <t>793</t>
  </si>
  <si>
    <t>794</t>
  </si>
  <si>
    <t>795</t>
  </si>
  <si>
    <t>796</t>
  </si>
  <si>
    <t>799</t>
  </si>
  <si>
    <t>800</t>
  </si>
  <si>
    <t>801</t>
  </si>
  <si>
    <t>802</t>
  </si>
  <si>
    <t>803</t>
  </si>
  <si>
    <t>804</t>
  </si>
  <si>
    <t>805</t>
  </si>
  <si>
    <t>806</t>
  </si>
  <si>
    <t>809</t>
  </si>
  <si>
    <t>810</t>
  </si>
  <si>
    <t>811</t>
  </si>
  <si>
    <t>812</t>
  </si>
  <si>
    <t>813</t>
  </si>
  <si>
    <t>814</t>
  </si>
  <si>
    <t>815</t>
  </si>
  <si>
    <t>816</t>
  </si>
  <si>
    <t>817</t>
  </si>
  <si>
    <t>818</t>
  </si>
  <si>
    <t>819</t>
  </si>
  <si>
    <t>820</t>
  </si>
  <si>
    <t>821</t>
  </si>
  <si>
    <t>822</t>
  </si>
  <si>
    <t>823</t>
  </si>
  <si>
    <t>824</t>
  </si>
  <si>
    <t>829</t>
  </si>
  <si>
    <t>830</t>
  </si>
  <si>
    <t>831</t>
  </si>
  <si>
    <t>832</t>
  </si>
  <si>
    <t>833</t>
  </si>
  <si>
    <t>834</t>
  </si>
  <si>
    <t>835</t>
  </si>
  <si>
    <t>836</t>
  </si>
  <si>
    <t>840</t>
  </si>
  <si>
    <t>841</t>
  </si>
  <si>
    <t>842</t>
  </si>
  <si>
    <t>849</t>
  </si>
  <si>
    <t>850</t>
  </si>
  <si>
    <t>851</t>
  </si>
  <si>
    <t>852</t>
  </si>
  <si>
    <t>853</t>
  </si>
  <si>
    <t>854</t>
  </si>
  <si>
    <t>855</t>
  </si>
  <si>
    <t>859</t>
  </si>
  <si>
    <t>860</t>
  </si>
  <si>
    <t>861</t>
  </si>
  <si>
    <t>862</t>
  </si>
  <si>
    <t>870</t>
  </si>
  <si>
    <t>871</t>
  </si>
  <si>
    <t>872</t>
  </si>
  <si>
    <t>880</t>
  </si>
  <si>
    <t>881</t>
  </si>
  <si>
    <t>882</t>
  </si>
  <si>
    <t>889</t>
  </si>
  <si>
    <t>890</t>
  </si>
  <si>
    <t>891</t>
  </si>
  <si>
    <t>900</t>
  </si>
  <si>
    <t>901</t>
  </si>
  <si>
    <t>902</t>
  </si>
  <si>
    <t>903</t>
  </si>
  <si>
    <t>909</t>
  </si>
  <si>
    <t>910</t>
  </si>
  <si>
    <t>911</t>
  </si>
  <si>
    <t>912</t>
  </si>
  <si>
    <t>920</t>
  </si>
  <si>
    <t>921</t>
  </si>
  <si>
    <t>922</t>
  </si>
  <si>
    <t>923</t>
  </si>
  <si>
    <t>929</t>
  </si>
  <si>
    <t>931</t>
  </si>
  <si>
    <t>932</t>
  </si>
  <si>
    <t>933</t>
  </si>
  <si>
    <t>934</t>
  </si>
  <si>
    <t>939</t>
  </si>
  <si>
    <t>941</t>
  </si>
  <si>
    <t>942</t>
  </si>
  <si>
    <t>943</t>
  </si>
  <si>
    <t>949</t>
  </si>
  <si>
    <t>950</t>
  </si>
  <si>
    <t>951</t>
  </si>
  <si>
    <t>952</t>
  </si>
  <si>
    <t>959</t>
  </si>
  <si>
    <t>961</t>
  </si>
  <si>
    <t>969</t>
  </si>
  <si>
    <t>971</t>
  </si>
  <si>
    <t>972</t>
  </si>
  <si>
    <t>973</t>
  </si>
  <si>
    <t>981</t>
  </si>
  <si>
    <t>982</t>
  </si>
  <si>
    <t>999</t>
  </si>
  <si>
    <t>エネルギー管理推進体制の整備</t>
  </si>
  <si>
    <t>エネルギー使用量の把握</t>
  </si>
  <si>
    <t>省エネルギー教育の実施</t>
  </si>
  <si>
    <t>空調設定温度の管理</t>
  </si>
  <si>
    <t>空調機器の保全管理</t>
  </si>
  <si>
    <t>照明器具の点灯時間管理</t>
  </si>
  <si>
    <t>給湯器の運転方法管理</t>
  </si>
  <si>
    <t>事務所機器の待機電力管理</t>
  </si>
  <si>
    <t>日射エネルギーに起因する空調負荷の抑制</t>
  </si>
  <si>
    <t>車両の点検整備</t>
  </si>
  <si>
    <t>エコドライブ実践</t>
  </si>
  <si>
    <t>実施状況
（基準年度）</t>
    <rPh sb="0" eb="2">
      <t>ジッシ</t>
    </rPh>
    <rPh sb="2" eb="4">
      <t>ジョウキョウ</t>
    </rPh>
    <rPh sb="6" eb="8">
      <t>キジュン</t>
    </rPh>
    <rPh sb="8" eb="9">
      <t>ネン</t>
    </rPh>
    <rPh sb="9" eb="10">
      <t>ド</t>
    </rPh>
    <phoneticPr fontId="1"/>
  </si>
  <si>
    <t>Eメールアドレス</t>
  </si>
  <si>
    <t>基本対策の実施計画</t>
    <rPh sb="0" eb="2">
      <t>キホン</t>
    </rPh>
    <rPh sb="2" eb="4">
      <t>タイサク</t>
    </rPh>
    <rPh sb="5" eb="7">
      <t>ジッシ</t>
    </rPh>
    <rPh sb="7" eb="9">
      <t>ケイカク</t>
    </rPh>
    <phoneticPr fontId="4"/>
  </si>
  <si>
    <t>　下記の者を代理人と定め、仙台市地球温暖化対策等の推進に関する条例第10条及び第11条に基づく手続きに関する一切の権限を委任します。</t>
    <rPh sb="1" eb="3">
      <t>カキ</t>
    </rPh>
    <rPh sb="4" eb="5">
      <t>モノ</t>
    </rPh>
    <rPh sb="6" eb="9">
      <t>ダイリニン</t>
    </rPh>
    <rPh sb="10" eb="11">
      <t>サダ</t>
    </rPh>
    <rPh sb="13" eb="24">
      <t>センダイシチキュウオンダンカタイサクナド</t>
    </rPh>
    <rPh sb="25" eb="27">
      <t>スイシン</t>
    </rPh>
    <rPh sb="28" eb="29">
      <t>カン</t>
    </rPh>
    <rPh sb="31" eb="34">
      <t>ジョウレイダイ</t>
    </rPh>
    <rPh sb="36" eb="37">
      <t>ジョウ</t>
    </rPh>
    <rPh sb="37" eb="38">
      <t>オヨ</t>
    </rPh>
    <rPh sb="39" eb="40">
      <t>ダイ</t>
    </rPh>
    <rPh sb="42" eb="43">
      <t>ジョウ</t>
    </rPh>
    <rPh sb="44" eb="45">
      <t>モト</t>
    </rPh>
    <rPh sb="47" eb="49">
      <t>テツヅ</t>
    </rPh>
    <rPh sb="51" eb="52">
      <t>カン</t>
    </rPh>
    <rPh sb="54" eb="56">
      <t>イッサイ</t>
    </rPh>
    <rPh sb="57" eb="59">
      <t>ケンゲン</t>
    </rPh>
    <rPh sb="60" eb="62">
      <t>イニン</t>
    </rPh>
    <phoneticPr fontId="4"/>
  </si>
  <si>
    <t>所在地</t>
    <rPh sb="0" eb="3">
      <t>ショザイチ</t>
    </rPh>
    <phoneticPr fontId="4"/>
  </si>
  <si>
    <t>削減率</t>
    <rPh sb="0" eb="2">
      <t>サクゲン</t>
    </rPh>
    <rPh sb="2" eb="3">
      <t>リツ</t>
    </rPh>
    <phoneticPr fontId="4"/>
  </si>
  <si>
    <t>削減率</t>
    <rPh sb="0" eb="2">
      <t>サクゲン</t>
    </rPh>
    <rPh sb="2" eb="3">
      <t>リツ</t>
    </rPh>
    <phoneticPr fontId="1"/>
  </si>
  <si>
    <t>温室効果ガスの
排出状況
及び削減目標</t>
    <rPh sb="0" eb="2">
      <t>オンシツ</t>
    </rPh>
    <rPh sb="2" eb="4">
      <t>コウカ</t>
    </rPh>
    <rPh sb="8" eb="10">
      <t>ハイシュツ</t>
    </rPh>
    <rPh sb="10" eb="12">
      <t>ジョウキョウ</t>
    </rPh>
    <rPh sb="13" eb="14">
      <t>オヨ</t>
    </rPh>
    <rPh sb="15" eb="17">
      <t>サクゲン</t>
    </rPh>
    <rPh sb="17" eb="19">
      <t>モクヒョウ</t>
    </rPh>
    <phoneticPr fontId="4"/>
  </si>
  <si>
    <t>基準排出量</t>
    <rPh sb="0" eb="2">
      <t>キジュン</t>
    </rPh>
    <phoneticPr fontId="1"/>
  </si>
  <si>
    <t>目標排出量</t>
    <rPh sb="0" eb="2">
      <t>モクヒョウ</t>
    </rPh>
    <phoneticPr fontId="1"/>
  </si>
  <si>
    <t>基準原単位</t>
    <rPh sb="0" eb="2">
      <t>キジュン</t>
    </rPh>
    <phoneticPr fontId="1"/>
  </si>
  <si>
    <t>①原油換算エネルギー使用量が1,500kL以上の事業所
　　（条例第2条第5号イに該当する特定事業者）</t>
    <rPh sb="31" eb="33">
      <t>ジョウレイ</t>
    </rPh>
    <rPh sb="33" eb="34">
      <t>ダイ</t>
    </rPh>
    <rPh sb="35" eb="36">
      <t>ジョウ</t>
    </rPh>
    <rPh sb="36" eb="37">
      <t>ダイ</t>
    </rPh>
    <rPh sb="38" eb="39">
      <t>ゴウ</t>
    </rPh>
    <rPh sb="41" eb="43">
      <t>ガイトウ</t>
    </rPh>
    <rPh sb="45" eb="47">
      <t>トクテイ</t>
    </rPh>
    <rPh sb="47" eb="50">
      <t>ジギョウシャ</t>
    </rPh>
    <phoneticPr fontId="1"/>
  </si>
  <si>
    <t>③市内に100台以上の自動車を所有する運送事業者
　　（条例第2条第5号ハに該当する特定事業者）</t>
    <phoneticPr fontId="1"/>
  </si>
  <si>
    <t>④任意提出事業者
　　（条例第15条第1項に該当する一般事業者）</t>
    <rPh sb="1" eb="3">
      <t>ニンイ</t>
    </rPh>
    <rPh sb="3" eb="5">
      <t>テイシュツ</t>
    </rPh>
    <rPh sb="5" eb="8">
      <t>ジギョウシャ</t>
    </rPh>
    <rPh sb="26" eb="28">
      <t>イッパン</t>
    </rPh>
    <phoneticPr fontId="1"/>
  </si>
  <si>
    <t>月</t>
    <rPh sb="0" eb="1">
      <t>ガツ</t>
    </rPh>
    <phoneticPr fontId="1"/>
  </si>
  <si>
    <t>日</t>
    <rPh sb="0" eb="1">
      <t>ニチ</t>
    </rPh>
    <phoneticPr fontId="1"/>
  </si>
  <si>
    <t>該当要件</t>
    <rPh sb="0" eb="2">
      <t>ガイトウ</t>
    </rPh>
    <rPh sb="2" eb="4">
      <t>ヨウケン</t>
    </rPh>
    <phoneticPr fontId="1"/>
  </si>
  <si>
    <t>条例第２条第５号イ</t>
    <rPh sb="0" eb="2">
      <t>ジョウレイ</t>
    </rPh>
    <rPh sb="2" eb="3">
      <t>ダイ</t>
    </rPh>
    <rPh sb="4" eb="5">
      <t>ジョウ</t>
    </rPh>
    <rPh sb="5" eb="6">
      <t>ダイ</t>
    </rPh>
    <rPh sb="7" eb="8">
      <t>ゴウ</t>
    </rPh>
    <phoneticPr fontId="1"/>
  </si>
  <si>
    <t>条例第２条第５号ロ</t>
    <rPh sb="0" eb="2">
      <t>ジョウレイ</t>
    </rPh>
    <rPh sb="2" eb="3">
      <t>ダイ</t>
    </rPh>
    <rPh sb="4" eb="5">
      <t>ジョウ</t>
    </rPh>
    <rPh sb="5" eb="6">
      <t>ダイ</t>
    </rPh>
    <rPh sb="7" eb="8">
      <t>ゴウ</t>
    </rPh>
    <phoneticPr fontId="1"/>
  </si>
  <si>
    <t>条例第２条第５号ハ</t>
    <rPh sb="0" eb="2">
      <t>ジョウレイ</t>
    </rPh>
    <rPh sb="2" eb="3">
      <t>ダイ</t>
    </rPh>
    <rPh sb="4" eb="5">
      <t>ジョウ</t>
    </rPh>
    <rPh sb="5" eb="6">
      <t>ダイ</t>
    </rPh>
    <rPh sb="7" eb="8">
      <t>ゴウ</t>
    </rPh>
    <phoneticPr fontId="1"/>
  </si>
  <si>
    <t>①原油換算エネルギー使用量が1,500kL以上の事業所
　</t>
    <phoneticPr fontId="1"/>
  </si>
  <si>
    <t>②エネルギー起源CO2を除くいずれかの物質の温室効果ガス排出量が3,000トン以上の事業所</t>
    <phoneticPr fontId="1"/>
  </si>
  <si>
    <t>③市内に100台以上の自動車を所有する運送事業者</t>
    <phoneticPr fontId="1"/>
  </si>
  <si>
    <t>一般事業者</t>
    <rPh sb="0" eb="2">
      <t>イッパン</t>
    </rPh>
    <rPh sb="2" eb="5">
      <t>ジギョウシャ</t>
    </rPh>
    <phoneticPr fontId="1"/>
  </si>
  <si>
    <t>④任意提出事業者</t>
    <rPh sb="1" eb="3">
      <t>ニンイ</t>
    </rPh>
    <rPh sb="3" eb="5">
      <t>テイシュツ</t>
    </rPh>
    <rPh sb="5" eb="8">
      <t>ジギョウシャ</t>
    </rPh>
    <phoneticPr fontId="1"/>
  </si>
  <si>
    <t>条例第2条第5号イに該当する特定事業者</t>
    <rPh sb="0" eb="2">
      <t>ジョウレイ</t>
    </rPh>
    <rPh sb="2" eb="3">
      <t>ダイ</t>
    </rPh>
    <rPh sb="4" eb="5">
      <t>ジョウ</t>
    </rPh>
    <rPh sb="5" eb="6">
      <t>ダイ</t>
    </rPh>
    <rPh sb="7" eb="8">
      <t>ゴウ</t>
    </rPh>
    <rPh sb="10" eb="12">
      <t>ガイトウ</t>
    </rPh>
    <rPh sb="14" eb="16">
      <t>トクテイ</t>
    </rPh>
    <rPh sb="16" eb="19">
      <t>ジギョウシャ</t>
    </rPh>
    <phoneticPr fontId="1"/>
  </si>
  <si>
    <t>条例第15条第1項に該当する一般事業者</t>
    <rPh sb="14" eb="16">
      <t>イッパン</t>
    </rPh>
    <phoneticPr fontId="1"/>
  </si>
  <si>
    <t>事業者の該当要件</t>
    <rPh sb="0" eb="3">
      <t>ジギョウシャ</t>
    </rPh>
    <rPh sb="4" eb="6">
      <t>ガイトウ</t>
    </rPh>
    <rPh sb="6" eb="8">
      <t>ヨウケン</t>
    </rPh>
    <phoneticPr fontId="1"/>
  </si>
  <si>
    <t>条例第2条第5号ロに該当する特定事業者</t>
    <phoneticPr fontId="1"/>
  </si>
  <si>
    <t>条例第2条第5号ハに該当する特定事業者</t>
    <phoneticPr fontId="1"/>
  </si>
  <si>
    <t>その他の対策の
実施計画</t>
    <rPh sb="4" eb="6">
      <t>タイサク</t>
    </rPh>
    <phoneticPr fontId="4"/>
  </si>
  <si>
    <t>b</t>
    <phoneticPr fontId="1"/>
  </si>
  <si>
    <t>c</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</si>
  <si>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</si>
  <si>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</si>
  <si>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</si>
  <si>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</si>
  <si>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</si>
  <si>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</si>
  <si>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</si>
  <si>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</si>
  <si>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</si>
  <si>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</si>
  <si>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計画期間満了時</t>
    <rPh sb="0" eb="2">
      <t>ケイカク</t>
    </rPh>
    <rPh sb="2" eb="4">
      <t>キカン</t>
    </rPh>
    <rPh sb="4" eb="6">
      <t>マンリョウ</t>
    </rPh>
    <rPh sb="6" eb="7">
      <t>ジ</t>
    </rPh>
    <phoneticPr fontId="1"/>
  </si>
  <si>
    <t>事業者温室効果ガス削減計画書　提出書</t>
    <rPh sb="0" eb="3">
      <t>ジギョウシャ</t>
    </rPh>
    <rPh sb="3" eb="5">
      <t>オンシツ</t>
    </rPh>
    <rPh sb="5" eb="7">
      <t>コウカ</t>
    </rPh>
    <rPh sb="9" eb="11">
      <t>サクゲン</t>
    </rPh>
    <rPh sb="11" eb="13">
      <t>ケイカク</t>
    </rPh>
    <rPh sb="13" eb="14">
      <t>ショ</t>
    </rPh>
    <rPh sb="15" eb="17">
      <t>テイシュツ</t>
    </rPh>
    <rPh sb="17" eb="18">
      <t>ショ</t>
    </rPh>
    <phoneticPr fontId="1"/>
  </si>
  <si>
    <t>事業者温室効果ガス削減報告書　提出書</t>
    <rPh sb="0" eb="3">
      <t>ジギョウシャ</t>
    </rPh>
    <rPh sb="3" eb="5">
      <t>オンシツ</t>
    </rPh>
    <rPh sb="5" eb="7">
      <t>コウカ</t>
    </rPh>
    <rPh sb="9" eb="11">
      <t>サクゲン</t>
    </rPh>
    <rPh sb="11" eb="13">
      <t>ホウコク</t>
    </rPh>
    <rPh sb="13" eb="14">
      <t>ショ</t>
    </rPh>
    <rPh sb="15" eb="17">
      <t>テイシュツ</t>
    </rPh>
    <rPh sb="17" eb="18">
      <t>ショ</t>
    </rPh>
    <phoneticPr fontId="1"/>
  </si>
  <si>
    <t>　仙台市地球温暖化対策等の推進に関する条例第11条第1項の規定により、別紙のとおり事業者温室効果ガス削減報告書を提出します。</t>
    <rPh sb="1" eb="12">
      <t>センダイシチキュウオンダンカタイサクナド</t>
    </rPh>
    <rPh sb="13" eb="15">
      <t>スイシン</t>
    </rPh>
    <rPh sb="16" eb="17">
      <t>カン</t>
    </rPh>
    <rPh sb="19" eb="22">
      <t>ジョウレイダイ</t>
    </rPh>
    <rPh sb="24" eb="25">
      <t>ジョウ</t>
    </rPh>
    <rPh sb="25" eb="26">
      <t>ダイ</t>
    </rPh>
    <rPh sb="27" eb="28">
      <t>コウ</t>
    </rPh>
    <rPh sb="35" eb="37">
      <t>ベッシ</t>
    </rPh>
    <rPh sb="41" eb="48">
      <t>ジギョウシャオンシツコウカ</t>
    </rPh>
    <rPh sb="50" eb="52">
      <t>サクゲン</t>
    </rPh>
    <rPh sb="52" eb="55">
      <t>ホウコクショ</t>
    </rPh>
    <phoneticPr fontId="4"/>
  </si>
  <si>
    <t>②エネルギー起源CO2を除くいずれかの物質の温室効果ガス排出量が3,000トン以上の事業所（条例第2条第5号ロに該当する特定事業者）</t>
  </si>
  <si>
    <t>③市内に100台以上の自動車を所有する運送事業者
　　（条例第2条第5号ハに該当する特定事業者）</t>
  </si>
  <si>
    <t>連絡先</t>
    <phoneticPr fontId="4"/>
  </si>
  <si>
    <t>住所</t>
    <rPh sb="0" eb="2">
      <t>ジュウショ</t>
    </rPh>
    <phoneticPr fontId="4"/>
  </si>
  <si>
    <t>電話番号</t>
    <phoneticPr fontId="4"/>
  </si>
  <si>
    <t>ＦＡＸ番号</t>
    <phoneticPr fontId="4"/>
  </si>
  <si>
    <t>メールアドレス</t>
    <phoneticPr fontId="4"/>
  </si>
  <si>
    <t>主たる事業</t>
    <phoneticPr fontId="4"/>
  </si>
  <si>
    <t>２　温室効果ガスの排出状況等</t>
    <rPh sb="2" eb="4">
      <t>オンシツ</t>
    </rPh>
    <rPh sb="4" eb="6">
      <t>コウカ</t>
    </rPh>
    <rPh sb="13" eb="14">
      <t>ナド</t>
    </rPh>
    <phoneticPr fontId="4"/>
  </si>
  <si>
    <t>温室効果ガスの
削減目標</t>
    <rPh sb="0" eb="2">
      <t>オンシツ</t>
    </rPh>
    <rPh sb="2" eb="4">
      <t>コウカ</t>
    </rPh>
    <rPh sb="8" eb="10">
      <t>サクゲン</t>
    </rPh>
    <rPh sb="10" eb="12">
      <t>モクヒョウ</t>
    </rPh>
    <phoneticPr fontId="4"/>
  </si>
  <si>
    <t>％</t>
    <phoneticPr fontId="1"/>
  </si>
  <si>
    <t>温室効果ガスの
排出状況</t>
    <rPh sb="0" eb="2">
      <t>オンシツ</t>
    </rPh>
    <rPh sb="2" eb="4">
      <t>コウカ</t>
    </rPh>
    <rPh sb="8" eb="10">
      <t>ハイシュツ</t>
    </rPh>
    <rPh sb="10" eb="12">
      <t>ジョウキョウ</t>
    </rPh>
    <phoneticPr fontId="1"/>
  </si>
  <si>
    <t>第１年度</t>
    <rPh sb="0" eb="1">
      <t>ダイ</t>
    </rPh>
    <rPh sb="2" eb="4">
      <t>ネンド</t>
    </rPh>
    <phoneticPr fontId="1"/>
  </si>
  <si>
    <t>排出量</t>
    <phoneticPr fontId="1"/>
  </si>
  <si>
    <t>排出原単位</t>
    <rPh sb="0" eb="2">
      <t>ハイシュツ</t>
    </rPh>
    <phoneticPr fontId="1"/>
  </si>
  <si>
    <t>排出量等の
増減理由</t>
    <phoneticPr fontId="1"/>
  </si>
  <si>
    <t>排出量等の
増減理由</t>
    <phoneticPr fontId="1"/>
  </si>
  <si>
    <t>第２年度</t>
    <rPh sb="0" eb="1">
      <t>ダイ</t>
    </rPh>
    <rPh sb="2" eb="4">
      <t>ネンド</t>
    </rPh>
    <phoneticPr fontId="1"/>
  </si>
  <si>
    <t>第３年度</t>
    <rPh sb="0" eb="1">
      <t>ダイ</t>
    </rPh>
    <rPh sb="2" eb="4">
      <t>ネンド</t>
    </rPh>
    <phoneticPr fontId="1"/>
  </si>
  <si>
    <t>基本対策の実施状況</t>
    <rPh sb="0" eb="2">
      <t>キホン</t>
    </rPh>
    <rPh sb="2" eb="4">
      <t>タイサク</t>
    </rPh>
    <rPh sb="5" eb="7">
      <t>ジッシ</t>
    </rPh>
    <rPh sb="7" eb="9">
      <t>ジョウキョウ</t>
    </rPh>
    <phoneticPr fontId="4"/>
  </si>
  <si>
    <t>基準年度</t>
    <rPh sb="0" eb="2">
      <t>キジュン</t>
    </rPh>
    <rPh sb="2" eb="4">
      <t>ネンド</t>
    </rPh>
    <phoneticPr fontId="1"/>
  </si>
  <si>
    <t>第１年度</t>
    <phoneticPr fontId="1"/>
  </si>
  <si>
    <t>実施状況の説明等</t>
    <rPh sb="0" eb="2">
      <t>ジッシ</t>
    </rPh>
    <rPh sb="2" eb="4">
      <t>ジョウキョウ</t>
    </rPh>
    <rPh sb="5" eb="7">
      <t>セツメイ</t>
    </rPh>
    <rPh sb="7" eb="8">
      <t>ナド</t>
    </rPh>
    <phoneticPr fontId="1"/>
  </si>
  <si>
    <t>第２年度</t>
  </si>
  <si>
    <t>第３年度</t>
  </si>
  <si>
    <t>選択対策の実施状況</t>
    <rPh sb="0" eb="2">
      <t>センタク</t>
    </rPh>
    <rPh sb="2" eb="4">
      <t>タイサク</t>
    </rPh>
    <rPh sb="5" eb="7">
      <t>ジッシ</t>
    </rPh>
    <rPh sb="7" eb="9">
      <t>ジョウキョウ</t>
    </rPh>
    <phoneticPr fontId="4"/>
  </si>
  <si>
    <t>実施状況</t>
    <rPh sb="0" eb="2">
      <t>ジッシ</t>
    </rPh>
    <rPh sb="2" eb="4">
      <t>ジョウキョウ</t>
    </rPh>
    <phoneticPr fontId="1"/>
  </si>
  <si>
    <t>その他の対策の
実施状況</t>
    <rPh sb="4" eb="6">
      <t>タイサク</t>
    </rPh>
    <rPh sb="8" eb="10">
      <t>ジッシ</t>
    </rPh>
    <rPh sb="10" eb="12">
      <t>ジョウキョウ</t>
    </rPh>
    <phoneticPr fontId="4"/>
  </si>
  <si>
    <t>評価点</t>
    <rPh sb="0" eb="2">
      <t>ヒョウカ</t>
    </rPh>
    <rPh sb="2" eb="3">
      <t>テン</t>
    </rPh>
    <phoneticPr fontId="1"/>
  </si>
  <si>
    <t>第1年度</t>
    <rPh sb="0" eb="1">
      <t>ダイ</t>
    </rPh>
    <rPh sb="2" eb="4">
      <t>ネンド</t>
    </rPh>
    <phoneticPr fontId="1"/>
  </si>
  <si>
    <t>第2年度</t>
    <rPh sb="0" eb="1">
      <t>ダイ</t>
    </rPh>
    <rPh sb="2" eb="4">
      <t>ネンド</t>
    </rPh>
    <phoneticPr fontId="1"/>
  </si>
  <si>
    <t>第3年度</t>
    <rPh sb="0" eb="1">
      <t>ダイ</t>
    </rPh>
    <rPh sb="2" eb="4">
      <t>ネンド</t>
    </rPh>
    <phoneticPr fontId="1"/>
  </si>
  <si>
    <t>平均</t>
    <rPh sb="0" eb="2">
      <t>ヘイキン</t>
    </rPh>
    <phoneticPr fontId="1"/>
  </si>
  <si>
    <t>目標削減率</t>
    <rPh sb="0" eb="2">
      <t>モクヒョウ</t>
    </rPh>
    <rPh sb="2" eb="4">
      <t>サクゲン</t>
    </rPh>
    <rPh sb="4" eb="5">
      <t>リツ</t>
    </rPh>
    <phoneticPr fontId="4"/>
  </si>
  <si>
    <t>排出量</t>
    <rPh sb="0" eb="2">
      <t>ハイシュツ</t>
    </rPh>
    <rPh sb="2" eb="3">
      <t>リョウ</t>
    </rPh>
    <phoneticPr fontId="1"/>
  </si>
  <si>
    <t>第１年度</t>
    <rPh sb="0" eb="1">
      <t>ダイ</t>
    </rPh>
    <rPh sb="2" eb="4">
      <t>ネンド</t>
    </rPh>
    <phoneticPr fontId="4"/>
  </si>
  <si>
    <t>排出量</t>
    <rPh sb="0" eb="2">
      <t>ハイシュツ</t>
    </rPh>
    <rPh sb="2" eb="3">
      <t>リョウ</t>
    </rPh>
    <phoneticPr fontId="4"/>
  </si>
  <si>
    <t>原単位</t>
    <rPh sb="0" eb="3">
      <t>ゲンタンイ</t>
    </rPh>
    <phoneticPr fontId="4"/>
  </si>
  <si>
    <t>原単位</t>
    <rPh sb="0" eb="3">
      <t>ゲンタンイ</t>
    </rPh>
    <phoneticPr fontId="1"/>
  </si>
  <si>
    <t>排出量等の
増減理由</t>
    <rPh sb="0" eb="2">
      <t>ハイシュツ</t>
    </rPh>
    <rPh sb="2" eb="4">
      <t>リョウナド</t>
    </rPh>
    <rPh sb="6" eb="8">
      <t>ゾウゲン</t>
    </rPh>
    <rPh sb="8" eb="10">
      <t>リユウ</t>
    </rPh>
    <phoneticPr fontId="4"/>
  </si>
  <si>
    <t>第２年度</t>
    <rPh sb="0" eb="1">
      <t>ダイ</t>
    </rPh>
    <rPh sb="2" eb="4">
      <t>ネンド</t>
    </rPh>
    <phoneticPr fontId="4"/>
  </si>
  <si>
    <t>第３年度</t>
    <rPh sb="0" eb="1">
      <t>ダイ</t>
    </rPh>
    <rPh sb="2" eb="4">
      <t>ネンド</t>
    </rPh>
    <phoneticPr fontId="4"/>
  </si>
  <si>
    <t>第３年度状況</t>
    <rPh sb="4" eb="6">
      <t>ジョウキョウ</t>
    </rPh>
    <phoneticPr fontId="1"/>
  </si>
  <si>
    <t>第3年度</t>
    <phoneticPr fontId="1"/>
  </si>
  <si>
    <t>最終年度</t>
    <rPh sb="0" eb="2">
      <t>サイシュウ</t>
    </rPh>
    <rPh sb="2" eb="4">
      <t>ネンド</t>
    </rPh>
    <phoneticPr fontId="1"/>
  </si>
  <si>
    <t>基本対策の実施状況に関する説明・特記事項など</t>
    <rPh sb="0" eb="2">
      <t>キホン</t>
    </rPh>
    <rPh sb="2" eb="4">
      <t>タイサク</t>
    </rPh>
    <rPh sb="5" eb="9">
      <t>ジッシジョウキョウ</t>
    </rPh>
    <rPh sb="10" eb="11">
      <t>カン</t>
    </rPh>
    <rPh sb="13" eb="15">
      <t>セツメイ</t>
    </rPh>
    <rPh sb="16" eb="18">
      <t>トッキ</t>
    </rPh>
    <rPh sb="18" eb="20">
      <t>ジコウ</t>
    </rPh>
    <phoneticPr fontId="1"/>
  </si>
  <si>
    <t>最終年度
評価点</t>
    <rPh sb="0" eb="2">
      <t>サイシュウ</t>
    </rPh>
    <rPh sb="2" eb="4">
      <t>ネンド</t>
    </rPh>
    <rPh sb="5" eb="8">
      <t>ヒョウカテン</t>
    </rPh>
    <phoneticPr fontId="1"/>
  </si>
  <si>
    <t>報告書</t>
    <rPh sb="0" eb="3">
      <t>ホウコクショ</t>
    </rPh>
    <phoneticPr fontId="1"/>
  </si>
  <si>
    <t>提出対象年度</t>
    <rPh sb="0" eb="2">
      <t>テイシュツ</t>
    </rPh>
    <rPh sb="2" eb="4">
      <t>タイショウ</t>
    </rPh>
    <rPh sb="4" eb="6">
      <t>ネンド</t>
    </rPh>
    <phoneticPr fontId="1"/>
  </si>
  <si>
    <t>第</t>
    <rPh sb="0" eb="1">
      <t>ダイ</t>
    </rPh>
    <phoneticPr fontId="1"/>
  </si>
  <si>
    <t>年度</t>
    <rPh sb="0" eb="1">
      <t>ネン</t>
    </rPh>
    <rPh sb="1" eb="2">
      <t>ド</t>
    </rPh>
    <phoneticPr fontId="1"/>
  </si>
  <si>
    <t>提出年月日</t>
    <rPh sb="0" eb="2">
      <t>テイシュツ</t>
    </rPh>
    <rPh sb="2" eb="5">
      <t>ネンガッピ</t>
    </rPh>
    <phoneticPr fontId="1"/>
  </si>
  <si>
    <t>基本対策</t>
    <rPh sb="0" eb="2">
      <t>キホン</t>
    </rPh>
    <rPh sb="2" eb="4">
      <t>タイサク</t>
    </rPh>
    <phoneticPr fontId="1"/>
  </si>
  <si>
    <t>選択対策</t>
    <rPh sb="0" eb="2">
      <t>センタク</t>
    </rPh>
    <rPh sb="2" eb="4">
      <t>タイサク</t>
    </rPh>
    <phoneticPr fontId="1"/>
  </si>
  <si>
    <t>その他対策</t>
    <rPh sb="2" eb="3">
      <t>タ</t>
    </rPh>
    <rPh sb="3" eb="5">
      <t>タイサク</t>
    </rPh>
    <phoneticPr fontId="1"/>
  </si>
  <si>
    <t>環境マネジメントシステムの導入</t>
  </si>
  <si>
    <t>従業員の自動車利用の抑制、公共交通機関の利用促進</t>
  </si>
  <si>
    <t>廃棄物削減対策の実施</t>
  </si>
  <si>
    <t>森林の保全・緑化の推進</t>
  </si>
  <si>
    <t>グリーン調達の実施</t>
  </si>
  <si>
    <t>カーボンオフセットの実施</t>
  </si>
  <si>
    <t>ヒートアイランド対策の実施</t>
  </si>
  <si>
    <t>計画期間以前の温室効果ガスの大幅な削減</t>
  </si>
  <si>
    <t>排出係数の小さい電気事業者の選択</t>
  </si>
  <si>
    <t>市が実施する環境関連事業への参画</t>
  </si>
  <si>
    <t>その他地球温暖化を防止する対策の実施</t>
  </si>
  <si>
    <t>目標年度</t>
    <rPh sb="0" eb="2">
      <t>モクヒョウ</t>
    </rPh>
    <rPh sb="2" eb="4">
      <t>ネンド</t>
    </rPh>
    <phoneticPr fontId="1"/>
  </si>
  <si>
    <t>定量項目</t>
    <rPh sb="0" eb="2">
      <t>テイリョウ</t>
    </rPh>
    <rPh sb="2" eb="4">
      <t>コウモク</t>
    </rPh>
    <phoneticPr fontId="1"/>
  </si>
  <si>
    <t>定性項目</t>
    <rPh sb="0" eb="4">
      <t>テイセイコウモク</t>
    </rPh>
    <phoneticPr fontId="1"/>
  </si>
  <si>
    <t>その他対策</t>
    <rPh sb="2" eb="5">
      <t>タタイサク</t>
    </rPh>
    <phoneticPr fontId="1"/>
  </si>
  <si>
    <t>配点（最大）</t>
    <rPh sb="0" eb="2">
      <t>ハイテン</t>
    </rPh>
    <rPh sb="3" eb="5">
      <t>サイダイ</t>
    </rPh>
    <phoneticPr fontId="1"/>
  </si>
  <si>
    <t>50
（うち、その他対策25）</t>
    <rPh sb="9" eb="10">
      <t>タ</t>
    </rPh>
    <rPh sb="10" eb="12">
      <t>タイサク</t>
    </rPh>
    <phoneticPr fontId="1"/>
  </si>
  <si>
    <t>評価項目</t>
    <rPh sb="0" eb="2">
      <t>ヒョウカ</t>
    </rPh>
    <rPh sb="2" eb="4">
      <t>コウモク</t>
    </rPh>
    <phoneticPr fontId="1"/>
  </si>
  <si>
    <t>評価</t>
    <rPh sb="0" eb="2">
      <t>ヒョウカ</t>
    </rPh>
    <phoneticPr fontId="1"/>
  </si>
  <si>
    <t>S</t>
    <phoneticPr fontId="1"/>
  </si>
  <si>
    <t>A</t>
    <phoneticPr fontId="1"/>
  </si>
  <si>
    <t>B</t>
    <phoneticPr fontId="1"/>
  </si>
  <si>
    <t>以上</t>
    <rPh sb="0" eb="2">
      <t>イジョウ</t>
    </rPh>
    <phoneticPr fontId="1"/>
  </si>
  <si>
    <t>未満</t>
    <rPh sb="0" eb="2">
      <t>ミマン</t>
    </rPh>
    <phoneticPr fontId="1"/>
  </si>
  <si>
    <t>（内訳）</t>
    <rPh sb="1" eb="3">
      <t>ウチワケ</t>
    </rPh>
    <phoneticPr fontId="1"/>
  </si>
  <si>
    <t>整理番号</t>
    <rPh sb="0" eb="2">
      <t>セイリ</t>
    </rPh>
    <rPh sb="2" eb="4">
      <t>バンゴウ</t>
    </rPh>
    <phoneticPr fontId="1"/>
  </si>
  <si>
    <t>番号</t>
    <rPh sb="0" eb="2">
      <t>バンゴウ</t>
    </rPh>
    <phoneticPr fontId="4"/>
  </si>
  <si>
    <t>対策内容</t>
    <rPh sb="0" eb="2">
      <t>タイサク</t>
    </rPh>
    <rPh sb="2" eb="4">
      <t>ナイヨウ</t>
    </rPh>
    <phoneticPr fontId="4"/>
  </si>
  <si>
    <t>実施年度</t>
    <rPh sb="0" eb="2">
      <t>ジッシ</t>
    </rPh>
    <rPh sb="2" eb="4">
      <t>ネンド</t>
    </rPh>
    <phoneticPr fontId="4"/>
  </si>
  <si>
    <t>参考２　計画期間内に実施を予定している削減対策（詳細）</t>
    <rPh sb="0" eb="2">
      <t>サンコウ</t>
    </rPh>
    <rPh sb="4" eb="6">
      <t>ケイカク</t>
    </rPh>
    <rPh sb="6" eb="8">
      <t>キカン</t>
    </rPh>
    <rPh sb="8" eb="9">
      <t>ナイ</t>
    </rPh>
    <rPh sb="10" eb="12">
      <t>ジッシ</t>
    </rPh>
    <rPh sb="13" eb="15">
      <t>ヨテイ</t>
    </rPh>
    <rPh sb="19" eb="21">
      <t>サクゲン</t>
    </rPh>
    <rPh sb="21" eb="23">
      <t>タイサク</t>
    </rPh>
    <rPh sb="24" eb="26">
      <t>ショウサイ</t>
    </rPh>
    <phoneticPr fontId="4"/>
  </si>
  <si>
    <t>参考１　これまで実施した削減対策の実績（詳細）</t>
    <rPh sb="0" eb="2">
      <t>サンコウ</t>
    </rPh>
    <rPh sb="8" eb="10">
      <t>ジッシ</t>
    </rPh>
    <rPh sb="12" eb="14">
      <t>サクゲン</t>
    </rPh>
    <rPh sb="14" eb="16">
      <t>タイサク</t>
    </rPh>
    <rPh sb="17" eb="19">
      <t>ジッセキ</t>
    </rPh>
    <rPh sb="20" eb="22">
      <t>ショウサイ</t>
    </rPh>
    <phoneticPr fontId="4"/>
  </si>
  <si>
    <t>参考１　計画期間内に実施した削減対策（詳細）</t>
    <rPh sb="0" eb="2">
      <t>サンコウ</t>
    </rPh>
    <rPh sb="4" eb="6">
      <t>ケイカク</t>
    </rPh>
    <rPh sb="6" eb="8">
      <t>キカン</t>
    </rPh>
    <rPh sb="8" eb="9">
      <t>ナイ</t>
    </rPh>
    <rPh sb="10" eb="12">
      <t>ジッシ</t>
    </rPh>
    <rPh sb="14" eb="16">
      <t>サクゲン</t>
    </rPh>
    <rPh sb="16" eb="18">
      <t>タイサク</t>
    </rPh>
    <rPh sb="19" eb="21">
      <t>ショウサイ</t>
    </rPh>
    <phoneticPr fontId="4"/>
  </si>
  <si>
    <t>実施予定
年度</t>
    <rPh sb="0" eb="2">
      <t>ジッシ</t>
    </rPh>
    <rPh sb="2" eb="4">
      <t>ヨテイ</t>
    </rPh>
    <rPh sb="5" eb="7">
      <t>ネンド</t>
    </rPh>
    <phoneticPr fontId="4"/>
  </si>
  <si>
    <t>３の１　重点的に実施する取組の実施計画（基本対策）</t>
    <rPh sb="4" eb="7">
      <t>ジュウテンテキ</t>
    </rPh>
    <rPh sb="8" eb="10">
      <t>ジッシ</t>
    </rPh>
    <rPh sb="12" eb="14">
      <t>トリクミ</t>
    </rPh>
    <rPh sb="15" eb="17">
      <t>ジッシ</t>
    </rPh>
    <rPh sb="17" eb="19">
      <t>ケイカク</t>
    </rPh>
    <rPh sb="20" eb="22">
      <t>キホン</t>
    </rPh>
    <rPh sb="22" eb="24">
      <t>タイサク</t>
    </rPh>
    <phoneticPr fontId="4"/>
  </si>
  <si>
    <t>３の２　重点的に実施する取組の実施計画（選択対策）</t>
    <rPh sb="4" eb="7">
      <t>ジュウテンテキ</t>
    </rPh>
    <rPh sb="8" eb="10">
      <t>ジッシ</t>
    </rPh>
    <rPh sb="12" eb="14">
      <t>トリクミ</t>
    </rPh>
    <rPh sb="15" eb="17">
      <t>ジッシ</t>
    </rPh>
    <rPh sb="17" eb="19">
      <t>ケイカク</t>
    </rPh>
    <rPh sb="20" eb="22">
      <t>センタク</t>
    </rPh>
    <rPh sb="22" eb="24">
      <t>タイサク</t>
    </rPh>
    <phoneticPr fontId="4"/>
  </si>
  <si>
    <t>３の３　重点的に実施する取組の実施計画（その他の対策）</t>
    <rPh sb="4" eb="7">
      <t>ジュウテンテキ</t>
    </rPh>
    <rPh sb="8" eb="10">
      <t>ジッシ</t>
    </rPh>
    <rPh sb="12" eb="14">
      <t>トリクミ</t>
    </rPh>
    <rPh sb="15" eb="17">
      <t>ジッシ</t>
    </rPh>
    <rPh sb="17" eb="19">
      <t>ケイカク</t>
    </rPh>
    <rPh sb="22" eb="23">
      <t>タ</t>
    </rPh>
    <rPh sb="24" eb="26">
      <t>タイサク</t>
    </rPh>
    <phoneticPr fontId="4"/>
  </si>
  <si>
    <t>　仙台市地球温暖化対策等の推進に関する条例第15条の規定により、別紙のとおり事業者温室効果ガス削減計画書を提出します。</t>
    <rPh sb="1" eb="12">
      <t>センダイシチキュウオンダンカタイサクナド</t>
    </rPh>
    <rPh sb="13" eb="15">
      <t>スイシン</t>
    </rPh>
    <rPh sb="16" eb="17">
      <t>カン</t>
    </rPh>
    <rPh sb="19" eb="22">
      <t>ジョウレイダイ</t>
    </rPh>
    <rPh sb="24" eb="25">
      <t>ジョウ</t>
    </rPh>
    <rPh sb="32" eb="34">
      <t>ベッシ</t>
    </rPh>
    <rPh sb="38" eb="45">
      <t>ジギョウシャオンシツコウカ</t>
    </rPh>
    <rPh sb="47" eb="49">
      <t>サクゲン</t>
    </rPh>
    <rPh sb="49" eb="52">
      <t>ケイカクショ</t>
    </rPh>
    <phoneticPr fontId="4"/>
  </si>
  <si>
    <t>２の１　重点的に実施する取組の実施状況（基本対策）</t>
    <rPh sb="4" eb="7">
      <t>ジュウテンテキ</t>
    </rPh>
    <rPh sb="8" eb="10">
      <t>ジッシ</t>
    </rPh>
    <rPh sb="12" eb="14">
      <t>トリクミ</t>
    </rPh>
    <rPh sb="15" eb="17">
      <t>ジッシ</t>
    </rPh>
    <rPh sb="17" eb="19">
      <t>ジョウキョウ</t>
    </rPh>
    <rPh sb="20" eb="22">
      <t>キホン</t>
    </rPh>
    <rPh sb="22" eb="24">
      <t>タイサク</t>
    </rPh>
    <phoneticPr fontId="4"/>
  </si>
  <si>
    <t>２の２　重点的に実施する取組の実施状況（選択対策）</t>
    <rPh sb="4" eb="7">
      <t>ジュウテンテキ</t>
    </rPh>
    <rPh sb="8" eb="10">
      <t>ジッシ</t>
    </rPh>
    <rPh sb="12" eb="14">
      <t>トリクミ</t>
    </rPh>
    <rPh sb="15" eb="17">
      <t>ジッシ</t>
    </rPh>
    <rPh sb="17" eb="19">
      <t>ジョウキョウ</t>
    </rPh>
    <rPh sb="20" eb="22">
      <t>センタク</t>
    </rPh>
    <rPh sb="22" eb="24">
      <t>タイサク</t>
    </rPh>
    <phoneticPr fontId="4"/>
  </si>
  <si>
    <t>２の３　重点的に実施する取組の実施状況（その他の対策）</t>
    <rPh sb="4" eb="7">
      <t>ジュウテンテキ</t>
    </rPh>
    <rPh sb="8" eb="10">
      <t>ジッシ</t>
    </rPh>
    <rPh sb="12" eb="14">
      <t>トリクミ</t>
    </rPh>
    <rPh sb="15" eb="17">
      <t>ジッシ</t>
    </rPh>
    <rPh sb="17" eb="19">
      <t>ジョウキョウ</t>
    </rPh>
    <rPh sb="22" eb="23">
      <t>タ</t>
    </rPh>
    <rPh sb="24" eb="26">
      <t>タイサク</t>
    </rPh>
    <phoneticPr fontId="4"/>
  </si>
  <si>
    <t>液化石油ガス     (LPG)</t>
  </si>
  <si>
    <t>液化天然ガス     (LNG)</t>
  </si>
  <si>
    <t>kl</t>
  </si>
  <si>
    <t>t</t>
  </si>
  <si>
    <t>4月</t>
    <rPh sb="1" eb="2">
      <t>ガツ</t>
    </rPh>
    <phoneticPr fontId="1"/>
  </si>
  <si>
    <t>5月</t>
  </si>
  <si>
    <t>6月</t>
  </si>
  <si>
    <t>7月</t>
  </si>
  <si>
    <t>8月</t>
  </si>
  <si>
    <t>9月</t>
  </si>
  <si>
    <t>10月</t>
  </si>
  <si>
    <t>11月</t>
  </si>
  <si>
    <t>12月</t>
  </si>
  <si>
    <t>1月</t>
    <rPh sb="1" eb="2">
      <t>ガツ</t>
    </rPh>
    <phoneticPr fontId="1"/>
  </si>
  <si>
    <t>2月</t>
  </si>
  <si>
    <t>3月</t>
  </si>
  <si>
    <t>燃料</t>
    <rPh sb="0" eb="2">
      <t>ネンリョウ</t>
    </rPh>
    <phoneticPr fontId="1"/>
  </si>
  <si>
    <t>電気[kWh]</t>
    <rPh sb="0" eb="2">
      <t>デンキ</t>
    </rPh>
    <phoneticPr fontId="1"/>
  </si>
  <si>
    <t>（参考）エネルギー使用量計算シート</t>
    <rPh sb="1" eb="3">
      <t>サンコウ</t>
    </rPh>
    <rPh sb="9" eb="12">
      <t>シヨウリョウ</t>
    </rPh>
    <rPh sb="12" eb="14">
      <t>ケイサン</t>
    </rPh>
    <phoneticPr fontId="1"/>
  </si>
  <si>
    <t>[リットル]</t>
    <phoneticPr fontId="1"/>
  </si>
  <si>
    <t>ｋｌ</t>
    <phoneticPr fontId="1"/>
  </si>
  <si>
    <t>[kg]</t>
    <phoneticPr fontId="1"/>
  </si>
  <si>
    <t>ｔ</t>
    <phoneticPr fontId="1"/>
  </si>
  <si>
    <t>千㎥</t>
    <rPh sb="0" eb="1">
      <t>セン</t>
    </rPh>
    <phoneticPr fontId="1"/>
  </si>
  <si>
    <t>千kWh</t>
    <rPh sb="0" eb="1">
      <t>セン</t>
    </rPh>
    <phoneticPr fontId="1"/>
  </si>
  <si>
    <t>石油系炭化水素ガス</t>
    <phoneticPr fontId="4"/>
  </si>
  <si>
    <t>エネルギー管理推進体制が整備されている。エネルギー管理推進体制の中で、エネルギー管理が推進されている。</t>
  </si>
  <si>
    <t>主要なエネルギー消費機器について管理標準が整備されている。主要なエネルギー消費機器が管理標準に基づき運用され、必要な記録がある。管理標準が必要により更新されている。</t>
  </si>
  <si>
    <t>主要なエネルギー使用先のエネルギー使用量を、エネルギー種類別に計測している。計測結果が集計され、記録されている。</t>
  </si>
  <si>
    <t>省エネルギー、地球温暖化防止に関する研修、教育を定期的に実施し、実施記録を残している。</t>
  </si>
  <si>
    <t>空調機器、換気設備のフィルターを定期的に清掃・交換している。空調機器、換気設備のフィルターの清掃・交換記録がある。</t>
  </si>
  <si>
    <t>給湯器の運転時間、季節毎の設定温度がルール化されている。給湯器がルールに従って運転されている。</t>
  </si>
  <si>
    <t>PC、OA機器等の事務所機器が省エネモードに設定されており、長時間不使用の場合には電源を切ることがルール化されている。PC、OA機器等の事務所機器がルールに従って運転されている。</t>
  </si>
  <si>
    <t>庇、ブラインド、カーテン等を季節や日射量に合わせ調整することがルール化されている。庇、ブラインド、カーテン等がルールに従って調整されている。</t>
  </si>
  <si>
    <t>定期的に車両の点検整備を行い、その記録がある。必要により整備管理者が選任されている。</t>
  </si>
  <si>
    <t>車両を運転する可能性のある全ての担当者を対象としてエコドライブ教育を実施し、その記録がある。「エコドライブ実践状況チェックシート」を運用している。</t>
  </si>
  <si>
    <t>生産歩留まり改善のための検討や、業務の生産性改善のための検討を継続して実施している。</t>
  </si>
  <si>
    <t>事業所のエネルギー使用量を、設備別、エネルギー種類別に計量し、グラフ化しており、エネルギー使用量変化の理由を分析して、省エネ対策の検討や対策効果の確認に利用している。</t>
  </si>
  <si>
    <t>ボイラー補給水の水質をJIS水質基準（JISB8223:2006)等に準じて管理している。水質に合わせ、適切なブローを行っている。</t>
  </si>
  <si>
    <t>蒸気トラップを定期的に点検し、メンテナンスしている。</t>
  </si>
  <si>
    <t>可能な場合は再熱除湿運転を行わない空調運転が行われている。</t>
  </si>
  <si>
    <t>可能な場合には、外気を取入れて冷房を行っている。</t>
  </si>
  <si>
    <t>空調の運転において、冷温水の行き・戻り温度差が適切になるように冷温水ポンプの流量制御を行っている。</t>
  </si>
  <si>
    <t>購入電力の昼夜間負荷平準化運用管理を行っている。</t>
  </si>
  <si>
    <t>窓の断熱性能の向上（二重窓、複層ガラス、断熱フィルム等）対策を実施している。</t>
  </si>
  <si>
    <t>壁面緑化や屋上緑化を実施している。</t>
  </si>
  <si>
    <t>事業所内に太陽光発電、太陽熱利用システム、地中熱利用システム等の再生可能エネルギーが導入されている。</t>
  </si>
  <si>
    <t>環境性能の優れた車両を計画的に導入している。</t>
  </si>
  <si>
    <t>SBTやRE100等の国際的な気候変動イニシアティブなど脱炭素経営への取組</t>
  </si>
  <si>
    <t>環境教育・学習の実施（従業員以外を対象にしたもの）</t>
  </si>
  <si>
    <t>〒</t>
    <phoneticPr fontId="1"/>
  </si>
  <si>
    <t>-</t>
    <phoneticPr fontId="1"/>
  </si>
  <si>
    <t>液化石油ガス     (LPG)</t>
    <phoneticPr fontId="4"/>
  </si>
  <si>
    <t>液化天然ガス     (LNG)</t>
    <phoneticPr fontId="4"/>
  </si>
  <si>
    <t>d</t>
    <phoneticPr fontId="1"/>
  </si>
  <si>
    <t>ver.5</t>
    <phoneticPr fontId="1"/>
  </si>
  <si>
    <t>写真</t>
    <rPh sb="0" eb="2">
      <t>シャシン</t>
    </rPh>
    <phoneticPr fontId="1"/>
  </si>
  <si>
    <t>写真</t>
    <rPh sb="0" eb="2">
      <t>シャシン</t>
    </rPh>
    <phoneticPr fontId="4"/>
  </si>
  <si>
    <t>項目エクセル</t>
    <rPh sb="0" eb="2">
      <t>コウモク</t>
    </rPh>
    <phoneticPr fontId="4"/>
  </si>
  <si>
    <t>元シート</t>
    <rPh sb="0" eb="1">
      <t>モト</t>
    </rPh>
    <phoneticPr fontId="1"/>
  </si>
  <si>
    <t>元セル</t>
    <rPh sb="0" eb="1">
      <t>モト</t>
    </rPh>
    <phoneticPr fontId="1"/>
  </si>
  <si>
    <t>転記先シート名</t>
    <rPh sb="0" eb="2">
      <t>テンキ</t>
    </rPh>
    <rPh sb="2" eb="3">
      <t>サキ</t>
    </rPh>
    <rPh sb="6" eb="7">
      <t>メイ</t>
    </rPh>
    <phoneticPr fontId="4"/>
  </si>
  <si>
    <t>セル</t>
  </si>
  <si>
    <t>値区分</t>
    <rPh sb="0" eb="1">
      <t>アタイ</t>
    </rPh>
    <rPh sb="1" eb="3">
      <t>クブン</t>
    </rPh>
    <phoneticPr fontId="1"/>
  </si>
  <si>
    <t>はじめに</t>
  </si>
  <si>
    <t>E14</t>
  </si>
  <si>
    <t>E16</t>
  </si>
  <si>
    <t>E23</t>
  </si>
  <si>
    <t>E24</t>
  </si>
  <si>
    <t>E17</t>
  </si>
  <si>
    <t>E25</t>
  </si>
  <si>
    <t>F17</t>
  </si>
  <si>
    <t>E26</t>
  </si>
  <si>
    <t>G17</t>
  </si>
  <si>
    <t>E27</t>
  </si>
  <si>
    <t>H17</t>
  </si>
  <si>
    <t>事業所排出量内訳 (基準年度)</t>
  </si>
  <si>
    <t>E5</t>
  </si>
  <si>
    <t>E6</t>
  </si>
  <si>
    <t>揮発油</t>
  </si>
  <si>
    <t>E7</t>
  </si>
  <si>
    <t>E8</t>
  </si>
  <si>
    <t>E9</t>
  </si>
  <si>
    <t>E10</t>
  </si>
  <si>
    <t>E11</t>
  </si>
  <si>
    <t>E12</t>
  </si>
  <si>
    <t>E13</t>
  </si>
  <si>
    <t>E15</t>
  </si>
  <si>
    <t>石油系炭化水素ガス</t>
  </si>
  <si>
    <t>E18</t>
  </si>
  <si>
    <t>E19</t>
  </si>
  <si>
    <t>E20</t>
  </si>
  <si>
    <t>E21</t>
  </si>
  <si>
    <t>都市ガス</t>
  </si>
  <si>
    <t>F5</t>
  </si>
  <si>
    <t>F6</t>
  </si>
  <si>
    <t>F7</t>
  </si>
  <si>
    <t>F8</t>
  </si>
  <si>
    <t>F9</t>
  </si>
  <si>
    <t>F10</t>
  </si>
  <si>
    <t>F11</t>
  </si>
  <si>
    <t>F12</t>
  </si>
  <si>
    <t>F13</t>
  </si>
  <si>
    <t>F14</t>
  </si>
  <si>
    <t>F15</t>
  </si>
  <si>
    <t>F16</t>
  </si>
  <si>
    <t>F18</t>
  </si>
  <si>
    <t>F19</t>
  </si>
  <si>
    <t>F20</t>
  </si>
  <si>
    <t>F21</t>
  </si>
  <si>
    <t>F22</t>
  </si>
  <si>
    <t>E42</t>
  </si>
  <si>
    <t>産業用以外の蒸気</t>
  </si>
  <si>
    <t>E43</t>
  </si>
  <si>
    <t>温水</t>
  </si>
  <si>
    <t>E44</t>
  </si>
  <si>
    <t>E45</t>
  </si>
  <si>
    <t>F42</t>
  </si>
  <si>
    <t>F43</t>
  </si>
  <si>
    <t>F44</t>
  </si>
  <si>
    <t>F45</t>
  </si>
  <si>
    <t>通番</t>
    <rPh sb="0" eb="2">
      <t>ツウバン</t>
    </rPh>
    <phoneticPr fontId="8"/>
  </si>
  <si>
    <t>番号</t>
    <rPh sb="0" eb="2">
      <t>バンゴウ</t>
    </rPh>
    <phoneticPr fontId="2"/>
  </si>
  <si>
    <t>E3</t>
  </si>
  <si>
    <t>H3</t>
  </si>
  <si>
    <t>E4</t>
  </si>
  <si>
    <t>G5</t>
  </si>
  <si>
    <t>I5</t>
  </si>
  <si>
    <t>郵便番号1</t>
    <rPh sb="0" eb="4">
      <t>ユウビンバンゴウ</t>
    </rPh>
    <phoneticPr fontId="2"/>
  </si>
  <si>
    <t>郵便番号2</t>
    <rPh sb="0" eb="4">
      <t>ユウビンバンゴウ</t>
    </rPh>
    <phoneticPr fontId="2"/>
  </si>
  <si>
    <t>H15</t>
  </si>
  <si>
    <t>産業分類番号1</t>
  </si>
  <si>
    <t>産業分類番号2</t>
  </si>
  <si>
    <t>産業分類番号3</t>
  </si>
  <si>
    <t>産業分類番号4</t>
  </si>
  <si>
    <t>郵便番号3</t>
    <rPh sb="0" eb="4">
      <t>ユウビンバンゴウ</t>
    </rPh>
    <phoneticPr fontId="2"/>
  </si>
  <si>
    <t>郵便番号4</t>
    <rPh sb="0" eb="4">
      <t>ユウビンバンゴウ</t>
    </rPh>
    <phoneticPr fontId="2"/>
  </si>
  <si>
    <t>H22</t>
  </si>
  <si>
    <t>５の１（基本対策）状況1</t>
    <rPh sb="9" eb="11">
      <t>ジョウキョウ</t>
    </rPh>
    <phoneticPr fontId="2"/>
  </si>
  <si>
    <t>計画書② (取組）</t>
  </si>
  <si>
    <t>５の１（基本対策）状況2</t>
    <rPh sb="9" eb="11">
      <t>ジョウキョウ</t>
    </rPh>
    <phoneticPr fontId="2"/>
  </si>
  <si>
    <t>５の１（基本対策）状況3</t>
    <rPh sb="9" eb="11">
      <t>ジョウキョウ</t>
    </rPh>
    <phoneticPr fontId="2"/>
  </si>
  <si>
    <t>５の１（基本対策）状況4</t>
    <rPh sb="9" eb="11">
      <t>ジョウキョウ</t>
    </rPh>
    <phoneticPr fontId="2"/>
  </si>
  <si>
    <t>５の１（基本対策）状況5</t>
    <rPh sb="9" eb="11">
      <t>ジョウキョウ</t>
    </rPh>
    <phoneticPr fontId="2"/>
  </si>
  <si>
    <t>５の１（基本対策）状況6</t>
    <rPh sb="9" eb="11">
      <t>ジョウキョウ</t>
    </rPh>
    <phoneticPr fontId="2"/>
  </si>
  <si>
    <t>５の１（基本対策）状況7</t>
    <rPh sb="9" eb="11">
      <t>ジョウキョウ</t>
    </rPh>
    <phoneticPr fontId="2"/>
  </si>
  <si>
    <t>５の１（基本対策）状況8</t>
    <rPh sb="9" eb="11">
      <t>ジョウキョウ</t>
    </rPh>
    <phoneticPr fontId="2"/>
  </si>
  <si>
    <t>５の１（基本対策）状況9</t>
    <rPh sb="9" eb="11">
      <t>ジョウキョウ</t>
    </rPh>
    <phoneticPr fontId="2"/>
  </si>
  <si>
    <t>５の１（基本対策）状況10</t>
    <rPh sb="9" eb="11">
      <t>ジョウキョウ</t>
    </rPh>
    <phoneticPr fontId="2"/>
  </si>
  <si>
    <t>５の１（基本対策）状況11</t>
    <rPh sb="9" eb="11">
      <t>ジョウキョウ</t>
    </rPh>
    <phoneticPr fontId="2"/>
  </si>
  <si>
    <t>５の１（基本対策）状況12</t>
    <rPh sb="9" eb="11">
      <t>ジョウキョウ</t>
    </rPh>
    <phoneticPr fontId="2"/>
  </si>
  <si>
    <t>５の１（基本対策）状況13</t>
    <rPh sb="9" eb="11">
      <t>ジョウキョウ</t>
    </rPh>
    <phoneticPr fontId="2"/>
  </si>
  <si>
    <t>E30</t>
  </si>
  <si>
    <t>E31</t>
  </si>
  <si>
    <t>E32</t>
  </si>
  <si>
    <t>E33</t>
  </si>
  <si>
    <t>E34</t>
  </si>
  <si>
    <t>５の１（基本対策）予定1</t>
    <rPh sb="9" eb="11">
      <t>ヨテイ</t>
    </rPh>
    <phoneticPr fontId="2"/>
  </si>
  <si>
    <t>５の１（基本対策）予定2</t>
    <rPh sb="9" eb="11">
      <t>ヨテイ</t>
    </rPh>
    <phoneticPr fontId="2"/>
  </si>
  <si>
    <t>５の１（基本対策）予定3</t>
    <rPh sb="9" eb="11">
      <t>ヨテイ</t>
    </rPh>
    <phoneticPr fontId="2"/>
  </si>
  <si>
    <t>５の１（基本対策）予定4</t>
    <rPh sb="9" eb="11">
      <t>ヨテイ</t>
    </rPh>
    <phoneticPr fontId="2"/>
  </si>
  <si>
    <t>５の１（基本対策）予定5</t>
    <rPh sb="9" eb="11">
      <t>ヨテイ</t>
    </rPh>
    <phoneticPr fontId="2"/>
  </si>
  <si>
    <t>５の１（基本対策）予定6</t>
    <rPh sb="9" eb="11">
      <t>ヨテイ</t>
    </rPh>
    <phoneticPr fontId="2"/>
  </si>
  <si>
    <t>５の１（基本対策）予定7</t>
    <rPh sb="9" eb="11">
      <t>ヨテイ</t>
    </rPh>
    <phoneticPr fontId="2"/>
  </si>
  <si>
    <t>５の１（基本対策）予定8</t>
    <rPh sb="9" eb="11">
      <t>ヨテイ</t>
    </rPh>
    <phoneticPr fontId="2"/>
  </si>
  <si>
    <t>５の１（基本対策）予定9</t>
    <rPh sb="9" eb="11">
      <t>ヨテイ</t>
    </rPh>
    <phoneticPr fontId="2"/>
  </si>
  <si>
    <t>５の１（基本対策）予定10</t>
    <rPh sb="9" eb="11">
      <t>ヨテイ</t>
    </rPh>
    <phoneticPr fontId="2"/>
  </si>
  <si>
    <t>５の１（基本対策）予定11</t>
    <rPh sb="9" eb="11">
      <t>ヨテイ</t>
    </rPh>
    <phoneticPr fontId="2"/>
  </si>
  <si>
    <t>５の１（基本対策）予定12</t>
    <rPh sb="9" eb="11">
      <t>ヨテイ</t>
    </rPh>
    <phoneticPr fontId="2"/>
  </si>
  <si>
    <t>５の１（基本対策）予定13</t>
    <rPh sb="9" eb="11">
      <t>ヨテイ</t>
    </rPh>
    <phoneticPr fontId="2"/>
  </si>
  <si>
    <t>５の２（選択対策）項目1</t>
    <rPh sb="9" eb="11">
      <t>コウモク</t>
    </rPh>
    <phoneticPr fontId="2"/>
  </si>
  <si>
    <t>C39</t>
  </si>
  <si>
    <t>５の２（選択対策）項目2</t>
    <rPh sb="9" eb="11">
      <t>コウモク</t>
    </rPh>
    <phoneticPr fontId="2"/>
  </si>
  <si>
    <t>C40</t>
  </si>
  <si>
    <t>５の２（選択対策）項目3</t>
    <rPh sb="9" eb="11">
      <t>コウモク</t>
    </rPh>
    <phoneticPr fontId="2"/>
  </si>
  <si>
    <t>C41</t>
  </si>
  <si>
    <t>５の２（選択対策）項目4</t>
    <rPh sb="9" eb="11">
      <t>コウモク</t>
    </rPh>
    <phoneticPr fontId="2"/>
  </si>
  <si>
    <t>C42</t>
  </si>
  <si>
    <t>５の２（選択対策）項目5</t>
    <rPh sb="9" eb="11">
      <t>コウモク</t>
    </rPh>
    <phoneticPr fontId="2"/>
  </si>
  <si>
    <t>C43</t>
  </si>
  <si>
    <t>５の２（選択対策）項目6</t>
    <rPh sb="9" eb="11">
      <t>コウモク</t>
    </rPh>
    <phoneticPr fontId="2"/>
  </si>
  <si>
    <t>C44</t>
  </si>
  <si>
    <t>５の２（選択対策）項目7</t>
    <rPh sb="9" eb="11">
      <t>コウモク</t>
    </rPh>
    <phoneticPr fontId="2"/>
  </si>
  <si>
    <t>C45</t>
  </si>
  <si>
    <t>５の２（選択対策）項目8</t>
    <rPh sb="9" eb="11">
      <t>コウモク</t>
    </rPh>
    <phoneticPr fontId="2"/>
  </si>
  <si>
    <t>C46</t>
  </si>
  <si>
    <t>５の２（選択対策）項目9</t>
    <rPh sb="9" eb="11">
      <t>コウモク</t>
    </rPh>
    <phoneticPr fontId="2"/>
  </si>
  <si>
    <t>C47</t>
  </si>
  <si>
    <t>５の２（選択対策）項目10</t>
    <rPh sb="9" eb="11">
      <t>コウモク</t>
    </rPh>
    <phoneticPr fontId="2"/>
  </si>
  <si>
    <t>C48</t>
  </si>
  <si>
    <t>５の２（選択対策）項目11</t>
    <rPh sb="9" eb="11">
      <t>コウモク</t>
    </rPh>
    <phoneticPr fontId="2"/>
  </si>
  <si>
    <t>C49</t>
  </si>
  <si>
    <t>５の２（選択対策）項目12</t>
    <rPh sb="9" eb="11">
      <t>コウモク</t>
    </rPh>
    <phoneticPr fontId="2"/>
  </si>
  <si>
    <t>C50</t>
  </si>
  <si>
    <t>５の２（選択対策）項目13</t>
    <rPh sb="9" eb="11">
      <t>コウモク</t>
    </rPh>
    <phoneticPr fontId="2"/>
  </si>
  <si>
    <t>C51</t>
  </si>
  <si>
    <t>５の２（選択対策）項目14</t>
    <rPh sb="9" eb="11">
      <t>コウモク</t>
    </rPh>
    <phoneticPr fontId="2"/>
  </si>
  <si>
    <t>C52</t>
  </si>
  <si>
    <t>５の２（選択対策）項目15</t>
    <rPh sb="9" eb="11">
      <t>コウモク</t>
    </rPh>
    <phoneticPr fontId="2"/>
  </si>
  <si>
    <t>C53</t>
  </si>
  <si>
    <t>５の２（選択対策）項目16</t>
    <rPh sb="9" eb="11">
      <t>コウモク</t>
    </rPh>
    <phoneticPr fontId="2"/>
  </si>
  <si>
    <t>C54</t>
  </si>
  <si>
    <t>５の２（選択対策）項目17</t>
    <rPh sb="9" eb="11">
      <t>コウモク</t>
    </rPh>
    <phoneticPr fontId="2"/>
  </si>
  <si>
    <t>C55</t>
  </si>
  <si>
    <t>５の２（選択対策）項目18</t>
    <rPh sb="9" eb="11">
      <t>コウモク</t>
    </rPh>
    <phoneticPr fontId="2"/>
  </si>
  <si>
    <t>C56</t>
  </si>
  <si>
    <t>５の２（選択対策）項目19</t>
    <rPh sb="9" eb="11">
      <t>コウモク</t>
    </rPh>
    <phoneticPr fontId="2"/>
  </si>
  <si>
    <t>C57</t>
  </si>
  <si>
    <t>５の２（選択対策）項目20</t>
    <rPh sb="9" eb="11">
      <t>コウモク</t>
    </rPh>
    <phoneticPr fontId="2"/>
  </si>
  <si>
    <t>C58</t>
  </si>
  <si>
    <t>５の２（選択対策）状況1</t>
    <rPh sb="9" eb="11">
      <t>ジョウキョウ</t>
    </rPh>
    <phoneticPr fontId="2"/>
  </si>
  <si>
    <t>E39</t>
  </si>
  <si>
    <t>５の２（選択対策）状況2</t>
    <rPh sb="9" eb="11">
      <t>ジョウキョウ</t>
    </rPh>
    <phoneticPr fontId="2"/>
  </si>
  <si>
    <t>E40</t>
  </si>
  <si>
    <t>５の２（選択対策）状況3</t>
    <rPh sb="9" eb="11">
      <t>ジョウキョウ</t>
    </rPh>
    <phoneticPr fontId="2"/>
  </si>
  <si>
    <t>E41</t>
  </si>
  <si>
    <t>５の２（選択対策）状況4</t>
    <rPh sb="9" eb="11">
      <t>ジョウキョウ</t>
    </rPh>
    <phoneticPr fontId="2"/>
  </si>
  <si>
    <t>５の２（選択対策）状況5</t>
    <rPh sb="9" eb="11">
      <t>ジョウキョウ</t>
    </rPh>
    <phoneticPr fontId="2"/>
  </si>
  <si>
    <t>５の２（選択対策）状況6</t>
    <rPh sb="9" eb="11">
      <t>ジョウキョウ</t>
    </rPh>
    <phoneticPr fontId="2"/>
  </si>
  <si>
    <t>５の２（選択対策）状況7</t>
    <rPh sb="9" eb="11">
      <t>ジョウキョウ</t>
    </rPh>
    <phoneticPr fontId="2"/>
  </si>
  <si>
    <t>５の２（選択対策）状況8</t>
    <rPh sb="9" eb="11">
      <t>ジョウキョウ</t>
    </rPh>
    <phoneticPr fontId="2"/>
  </si>
  <si>
    <t>E46</t>
  </si>
  <si>
    <t>５の２（選択対策）状況9</t>
    <rPh sb="9" eb="11">
      <t>ジョウキョウ</t>
    </rPh>
    <phoneticPr fontId="2"/>
  </si>
  <si>
    <t>E47</t>
  </si>
  <si>
    <t>５の２（選択対策）状況10</t>
    <rPh sb="9" eb="11">
      <t>ジョウキョウ</t>
    </rPh>
    <phoneticPr fontId="2"/>
  </si>
  <si>
    <t>E48</t>
  </si>
  <si>
    <t>５の２（選択対策）状況11</t>
    <rPh sb="9" eb="11">
      <t>ジョウキョウ</t>
    </rPh>
    <phoneticPr fontId="2"/>
  </si>
  <si>
    <t>E49</t>
  </si>
  <si>
    <t>５の２（選択対策）状況12</t>
    <rPh sb="9" eb="11">
      <t>ジョウキョウ</t>
    </rPh>
    <phoneticPr fontId="2"/>
  </si>
  <si>
    <t>E50</t>
  </si>
  <si>
    <t>５の２（選択対策）状況13</t>
    <rPh sb="9" eb="11">
      <t>ジョウキョウ</t>
    </rPh>
    <phoneticPr fontId="2"/>
  </si>
  <si>
    <t>E51</t>
  </si>
  <si>
    <t>５の２（選択対策）状況14</t>
    <rPh sb="9" eb="11">
      <t>ジョウキョウ</t>
    </rPh>
    <phoneticPr fontId="2"/>
  </si>
  <si>
    <t>E52</t>
  </si>
  <si>
    <t>５の２（選択対策）状況15</t>
    <rPh sb="9" eb="11">
      <t>ジョウキョウ</t>
    </rPh>
    <phoneticPr fontId="2"/>
  </si>
  <si>
    <t>E53</t>
  </si>
  <si>
    <t>５の２（選択対策）状況16</t>
    <rPh sb="9" eb="11">
      <t>ジョウキョウ</t>
    </rPh>
    <phoneticPr fontId="2"/>
  </si>
  <si>
    <t>E54</t>
  </si>
  <si>
    <t>５の２（選択対策）状況17</t>
    <rPh sb="9" eb="11">
      <t>ジョウキョウ</t>
    </rPh>
    <phoneticPr fontId="2"/>
  </si>
  <si>
    <t>E55</t>
  </si>
  <si>
    <t>５の２（選択対策）状況18</t>
    <rPh sb="9" eb="11">
      <t>ジョウキョウ</t>
    </rPh>
    <phoneticPr fontId="2"/>
  </si>
  <si>
    <t>E56</t>
  </si>
  <si>
    <t>５の２（選択対策）状況19</t>
    <rPh sb="9" eb="11">
      <t>ジョウキョウ</t>
    </rPh>
    <phoneticPr fontId="2"/>
  </si>
  <si>
    <t>E57</t>
  </si>
  <si>
    <t>５の２（選択対策）状況20</t>
    <rPh sb="9" eb="11">
      <t>ジョウキョウ</t>
    </rPh>
    <phoneticPr fontId="2"/>
  </si>
  <si>
    <t>E58</t>
  </si>
  <si>
    <t>５の２（選択対策）予定1</t>
    <rPh sb="9" eb="11">
      <t>ヨテイ</t>
    </rPh>
    <phoneticPr fontId="2"/>
  </si>
  <si>
    <t>F39</t>
  </si>
  <si>
    <t>５の２（選択対策）予定2</t>
    <rPh sb="9" eb="11">
      <t>ヨテイ</t>
    </rPh>
    <phoneticPr fontId="2"/>
  </si>
  <si>
    <t>F40</t>
  </si>
  <si>
    <t>５の２（選択対策）予定3</t>
    <rPh sb="9" eb="11">
      <t>ヨテイ</t>
    </rPh>
    <phoneticPr fontId="2"/>
  </si>
  <si>
    <t>F41</t>
  </si>
  <si>
    <t>５の２（選択対策）予定4</t>
    <rPh sb="9" eb="11">
      <t>ヨテイ</t>
    </rPh>
    <phoneticPr fontId="2"/>
  </si>
  <si>
    <t>５の２（選択対策）予定5</t>
    <rPh sb="9" eb="11">
      <t>ヨテイ</t>
    </rPh>
    <phoneticPr fontId="2"/>
  </si>
  <si>
    <t>５の２（選択対策）予定6</t>
    <rPh sb="9" eb="11">
      <t>ヨテイ</t>
    </rPh>
    <phoneticPr fontId="2"/>
  </si>
  <si>
    <t>５の２（選択対策）予定7</t>
    <rPh sb="9" eb="11">
      <t>ヨテイ</t>
    </rPh>
    <phoneticPr fontId="2"/>
  </si>
  <si>
    <t>５の２（選択対策）予定8</t>
    <rPh sb="9" eb="11">
      <t>ヨテイ</t>
    </rPh>
    <phoneticPr fontId="2"/>
  </si>
  <si>
    <t>F46</t>
  </si>
  <si>
    <t>５の２（選択対策）予定9</t>
    <rPh sb="9" eb="11">
      <t>ヨテイ</t>
    </rPh>
    <phoneticPr fontId="2"/>
  </si>
  <si>
    <t>F47</t>
  </si>
  <si>
    <t>５の２（選択対策）予定10</t>
    <rPh sb="9" eb="11">
      <t>ヨテイ</t>
    </rPh>
    <phoneticPr fontId="2"/>
  </si>
  <si>
    <t>F48</t>
  </si>
  <si>
    <t>５の２（選択対策）予定11</t>
    <rPh sb="9" eb="11">
      <t>ヨテイ</t>
    </rPh>
    <phoneticPr fontId="2"/>
  </si>
  <si>
    <t>F49</t>
  </si>
  <si>
    <t>５の２（選択対策）予定12</t>
    <rPh sb="9" eb="11">
      <t>ヨテイ</t>
    </rPh>
    <phoneticPr fontId="2"/>
  </si>
  <si>
    <t>F50</t>
  </si>
  <si>
    <t>５の２（選択対策）予定13</t>
    <rPh sb="9" eb="11">
      <t>ヨテイ</t>
    </rPh>
    <phoneticPr fontId="2"/>
  </si>
  <si>
    <t>F51</t>
  </si>
  <si>
    <t>５の２（選択対策）予定14</t>
    <rPh sb="9" eb="11">
      <t>ヨテイ</t>
    </rPh>
    <phoneticPr fontId="2"/>
  </si>
  <si>
    <t>F52</t>
  </si>
  <si>
    <t>５の２（選択対策）予定15</t>
    <rPh sb="9" eb="11">
      <t>ヨテイ</t>
    </rPh>
    <phoneticPr fontId="2"/>
  </si>
  <si>
    <t>F53</t>
  </si>
  <si>
    <t>５の２（選択対策）予定16</t>
    <rPh sb="9" eb="11">
      <t>ヨテイ</t>
    </rPh>
    <phoneticPr fontId="2"/>
  </si>
  <si>
    <t>F54</t>
  </si>
  <si>
    <t>５の２（選択対策）予定17</t>
    <rPh sb="9" eb="11">
      <t>ヨテイ</t>
    </rPh>
    <phoneticPr fontId="2"/>
  </si>
  <si>
    <t>F55</t>
  </si>
  <si>
    <t>５の２（選択対策）予定18</t>
    <rPh sb="9" eb="11">
      <t>ヨテイ</t>
    </rPh>
    <phoneticPr fontId="2"/>
  </si>
  <si>
    <t>F56</t>
  </si>
  <si>
    <t>５の２（選択対策）予定19</t>
    <rPh sb="9" eb="11">
      <t>ヨテイ</t>
    </rPh>
    <phoneticPr fontId="2"/>
  </si>
  <si>
    <t>F57</t>
  </si>
  <si>
    <t>５の２（選択対策）予定20</t>
    <rPh sb="9" eb="11">
      <t>ヨテイ</t>
    </rPh>
    <phoneticPr fontId="2"/>
  </si>
  <si>
    <t>F58</t>
  </si>
  <si>
    <t>５の３（その他の対策）項目1</t>
    <rPh sb="11" eb="13">
      <t>コウモク</t>
    </rPh>
    <phoneticPr fontId="2"/>
  </si>
  <si>
    <t>C63</t>
  </si>
  <si>
    <t>５の３（その他の対策）項目2</t>
    <rPh sb="11" eb="13">
      <t>コウモク</t>
    </rPh>
    <phoneticPr fontId="2"/>
  </si>
  <si>
    <t>C64</t>
  </si>
  <si>
    <t>５の３（その他の対策）項目3</t>
    <rPh sb="11" eb="13">
      <t>コウモク</t>
    </rPh>
    <phoneticPr fontId="2"/>
  </si>
  <si>
    <t>C65</t>
  </si>
  <si>
    <t>５の３（その他の対策）項目4</t>
    <rPh sb="11" eb="13">
      <t>コウモク</t>
    </rPh>
    <phoneticPr fontId="2"/>
  </si>
  <si>
    <t>C66</t>
  </si>
  <si>
    <t>５の３（その他の対策）項目5</t>
    <rPh sb="11" eb="13">
      <t>コウモク</t>
    </rPh>
    <phoneticPr fontId="2"/>
  </si>
  <si>
    <t>C67</t>
  </si>
  <si>
    <t>５の３（その他の対策）項目6</t>
    <rPh sb="11" eb="13">
      <t>コウモク</t>
    </rPh>
    <phoneticPr fontId="2"/>
  </si>
  <si>
    <t>C68</t>
  </si>
  <si>
    <t>５の３（その他の対策）項目7</t>
    <rPh sb="11" eb="13">
      <t>コウモク</t>
    </rPh>
    <phoneticPr fontId="2"/>
  </si>
  <si>
    <t>C69</t>
  </si>
  <si>
    <t>５の３（その他の対策）項目8</t>
    <rPh sb="11" eb="13">
      <t>コウモク</t>
    </rPh>
    <phoneticPr fontId="2"/>
  </si>
  <si>
    <t>C70</t>
  </si>
  <si>
    <t>５の３（その他の対策）項目9</t>
    <rPh sb="11" eb="13">
      <t>コウモク</t>
    </rPh>
    <phoneticPr fontId="2"/>
  </si>
  <si>
    <t>C71</t>
  </si>
  <si>
    <t>５の３（その他の対策）項目10</t>
    <rPh sb="11" eb="13">
      <t>コウモク</t>
    </rPh>
    <phoneticPr fontId="2"/>
  </si>
  <si>
    <t>C72</t>
  </si>
  <si>
    <t>５の３（その他の対策）取組1</t>
    <rPh sb="11" eb="13">
      <t>トリクミ</t>
    </rPh>
    <phoneticPr fontId="2"/>
  </si>
  <si>
    <t>D63</t>
  </si>
  <si>
    <t>５の３（その他の対策）取組2</t>
    <rPh sb="11" eb="13">
      <t>トリクミ</t>
    </rPh>
    <phoneticPr fontId="2"/>
  </si>
  <si>
    <t>D64</t>
  </si>
  <si>
    <t>５の３（その他の対策）取組3</t>
    <rPh sb="11" eb="13">
      <t>トリクミ</t>
    </rPh>
    <phoneticPr fontId="2"/>
  </si>
  <si>
    <t>D65</t>
  </si>
  <si>
    <t>５の３（その他の対策）取組4</t>
    <rPh sb="11" eb="13">
      <t>トリクミ</t>
    </rPh>
    <phoneticPr fontId="2"/>
  </si>
  <si>
    <t>D66</t>
  </si>
  <si>
    <t>５の３（その他の対策）取組5</t>
    <rPh sb="11" eb="13">
      <t>トリクミ</t>
    </rPh>
    <phoneticPr fontId="2"/>
  </si>
  <si>
    <t>D67</t>
  </si>
  <si>
    <t>５の３（その他の対策）取組6</t>
    <rPh sb="11" eb="13">
      <t>トリクミ</t>
    </rPh>
    <phoneticPr fontId="2"/>
  </si>
  <si>
    <t>D68</t>
  </si>
  <si>
    <t>５の３（その他の対策）取組7</t>
    <rPh sb="11" eb="13">
      <t>トリクミ</t>
    </rPh>
    <phoneticPr fontId="2"/>
  </si>
  <si>
    <t>D69</t>
  </si>
  <si>
    <t>５の３（その他の対策）取組8</t>
    <rPh sb="11" eb="13">
      <t>トリクミ</t>
    </rPh>
    <phoneticPr fontId="2"/>
  </si>
  <si>
    <t>D70</t>
  </si>
  <si>
    <t>５の３（その他の対策）取組9</t>
    <rPh sb="11" eb="13">
      <t>トリクミ</t>
    </rPh>
    <phoneticPr fontId="2"/>
  </si>
  <si>
    <t>D71</t>
  </si>
  <si>
    <t>５の３（その他の対策）取組10</t>
    <rPh sb="11" eb="13">
      <t>トリクミ</t>
    </rPh>
    <phoneticPr fontId="2"/>
  </si>
  <si>
    <t>D72</t>
  </si>
  <si>
    <t>５の３（その他の対策）状況1</t>
    <rPh sb="11" eb="13">
      <t>ジョウキョウ</t>
    </rPh>
    <phoneticPr fontId="2"/>
  </si>
  <si>
    <t>E63</t>
  </si>
  <si>
    <t>５の３（その他の対策）状況2</t>
    <rPh sb="11" eb="13">
      <t>ジョウキョウ</t>
    </rPh>
    <phoneticPr fontId="2"/>
  </si>
  <si>
    <t>E64</t>
  </si>
  <si>
    <t>５の３（その他の対策）状況3</t>
    <rPh sb="11" eb="13">
      <t>ジョウキョウ</t>
    </rPh>
    <phoneticPr fontId="2"/>
  </si>
  <si>
    <t>E65</t>
  </si>
  <si>
    <t>５の３（その他の対策）状況4</t>
    <rPh sb="11" eb="13">
      <t>ジョウキョウ</t>
    </rPh>
    <phoneticPr fontId="2"/>
  </si>
  <si>
    <t>E66</t>
  </si>
  <si>
    <t>５の３（その他の対策）状況5</t>
    <rPh sb="11" eb="13">
      <t>ジョウキョウ</t>
    </rPh>
    <phoneticPr fontId="2"/>
  </si>
  <si>
    <t>E67</t>
  </si>
  <si>
    <t>５の３（その他の対策）状況6</t>
    <rPh sb="11" eb="13">
      <t>ジョウキョウ</t>
    </rPh>
    <phoneticPr fontId="2"/>
  </si>
  <si>
    <t>E68</t>
  </si>
  <si>
    <t>５の３（その他の対策）状況7</t>
    <rPh sb="11" eb="13">
      <t>ジョウキョウ</t>
    </rPh>
    <phoneticPr fontId="2"/>
  </si>
  <si>
    <t>E69</t>
  </si>
  <si>
    <t>５の３（その他の対策）状況8</t>
    <rPh sb="11" eb="13">
      <t>ジョウキョウ</t>
    </rPh>
    <phoneticPr fontId="2"/>
  </si>
  <si>
    <t>E70</t>
  </si>
  <si>
    <t>５の３（その他の対策）状況9</t>
    <rPh sb="11" eb="13">
      <t>ジョウキョウ</t>
    </rPh>
    <phoneticPr fontId="2"/>
  </si>
  <si>
    <t>E71</t>
  </si>
  <si>
    <t>５の３（その他の対策）状況10</t>
    <rPh sb="11" eb="13">
      <t>ジョウキョウ</t>
    </rPh>
    <phoneticPr fontId="2"/>
  </si>
  <si>
    <t>E72</t>
  </si>
  <si>
    <t>５の３（その他の対策）予定1</t>
    <rPh sb="11" eb="13">
      <t>ヨテイ</t>
    </rPh>
    <phoneticPr fontId="2"/>
  </si>
  <si>
    <t>F63</t>
  </si>
  <si>
    <t>５の３（その他の対策）予定2</t>
    <rPh sb="11" eb="13">
      <t>ヨテイ</t>
    </rPh>
    <phoneticPr fontId="2"/>
  </si>
  <si>
    <t>F64</t>
  </si>
  <si>
    <t>５の３（その他の対策）予定3</t>
    <rPh sb="11" eb="13">
      <t>ヨテイ</t>
    </rPh>
    <phoneticPr fontId="2"/>
  </si>
  <si>
    <t>F65</t>
  </si>
  <si>
    <t>５の３（その他の対策）予定4</t>
    <rPh sb="11" eb="13">
      <t>ヨテイ</t>
    </rPh>
    <phoneticPr fontId="2"/>
  </si>
  <si>
    <t>F66</t>
  </si>
  <si>
    <t>５の３（その他の対策）予定5</t>
    <rPh sb="11" eb="13">
      <t>ヨテイ</t>
    </rPh>
    <phoneticPr fontId="2"/>
  </si>
  <si>
    <t>F67</t>
  </si>
  <si>
    <t>５の３（その他の対策）予定6</t>
    <rPh sb="11" eb="13">
      <t>ヨテイ</t>
    </rPh>
    <phoneticPr fontId="2"/>
  </si>
  <si>
    <t>F68</t>
  </si>
  <si>
    <t>５の３（その他の対策）予定7</t>
    <rPh sb="11" eb="13">
      <t>ヨテイ</t>
    </rPh>
    <phoneticPr fontId="2"/>
  </si>
  <si>
    <t>F69</t>
  </si>
  <si>
    <t>５の３（その他の対策）予定8</t>
    <rPh sb="11" eb="13">
      <t>ヨテイ</t>
    </rPh>
    <phoneticPr fontId="2"/>
  </si>
  <si>
    <t>F70</t>
  </si>
  <si>
    <t>５の３（その他の対策）予定9</t>
    <rPh sb="11" eb="13">
      <t>ヨテイ</t>
    </rPh>
    <phoneticPr fontId="2"/>
  </si>
  <si>
    <t>F71</t>
  </si>
  <si>
    <t>５の３（その他の対策）予定10</t>
    <rPh sb="11" eb="13">
      <t>ヨテイ</t>
    </rPh>
    <phoneticPr fontId="2"/>
  </si>
  <si>
    <t>F72</t>
  </si>
  <si>
    <t>参考１（詳細）対策1</t>
    <rPh sb="0" eb="2">
      <t>サンコウ</t>
    </rPh>
    <rPh sb="4" eb="6">
      <t>ショウサイ</t>
    </rPh>
    <rPh sb="7" eb="9">
      <t>タイサク</t>
    </rPh>
    <phoneticPr fontId="2"/>
  </si>
  <si>
    <t>計画書③（任意記載）</t>
  </si>
  <si>
    <t>B4</t>
  </si>
  <si>
    <t>参考１（詳細）対策2</t>
    <rPh sb="0" eb="2">
      <t>サンコウ</t>
    </rPh>
    <rPh sb="4" eb="6">
      <t>ショウサイ</t>
    </rPh>
    <rPh sb="7" eb="9">
      <t>タイサク</t>
    </rPh>
    <phoneticPr fontId="2"/>
  </si>
  <si>
    <t>B5</t>
  </si>
  <si>
    <t>参考１（詳細）対策3</t>
    <rPh sb="0" eb="2">
      <t>サンコウ</t>
    </rPh>
    <rPh sb="4" eb="6">
      <t>ショウサイ</t>
    </rPh>
    <rPh sb="7" eb="9">
      <t>タイサク</t>
    </rPh>
    <phoneticPr fontId="2"/>
  </si>
  <si>
    <t>B6</t>
  </si>
  <si>
    <t>参考１（詳細）対策4</t>
    <rPh sb="0" eb="2">
      <t>サンコウ</t>
    </rPh>
    <rPh sb="4" eb="6">
      <t>ショウサイ</t>
    </rPh>
    <rPh sb="7" eb="9">
      <t>タイサク</t>
    </rPh>
    <phoneticPr fontId="2"/>
  </si>
  <si>
    <t>B7</t>
  </si>
  <si>
    <t>参考１（詳細）対策5</t>
    <rPh sb="0" eb="2">
      <t>サンコウ</t>
    </rPh>
    <rPh sb="4" eb="6">
      <t>ショウサイ</t>
    </rPh>
    <rPh sb="7" eb="9">
      <t>タイサク</t>
    </rPh>
    <phoneticPr fontId="2"/>
  </si>
  <si>
    <t>B8</t>
  </si>
  <si>
    <t>参考１（詳細）対策6</t>
    <rPh sb="0" eb="2">
      <t>サンコウ</t>
    </rPh>
    <rPh sb="4" eb="6">
      <t>ショウサイ</t>
    </rPh>
    <rPh sb="7" eb="9">
      <t>タイサク</t>
    </rPh>
    <phoneticPr fontId="2"/>
  </si>
  <si>
    <t>B9</t>
  </si>
  <si>
    <t>参考１（詳細）対策7</t>
    <rPh sb="0" eb="2">
      <t>サンコウ</t>
    </rPh>
    <rPh sb="4" eb="6">
      <t>ショウサイ</t>
    </rPh>
    <rPh sb="7" eb="9">
      <t>タイサク</t>
    </rPh>
    <phoneticPr fontId="2"/>
  </si>
  <si>
    <t>B10</t>
  </si>
  <si>
    <t>参考１（詳細）対策8</t>
    <rPh sb="0" eb="2">
      <t>サンコウ</t>
    </rPh>
    <rPh sb="4" eb="6">
      <t>ショウサイ</t>
    </rPh>
    <rPh sb="7" eb="9">
      <t>タイサク</t>
    </rPh>
    <phoneticPr fontId="2"/>
  </si>
  <si>
    <t>B11</t>
  </si>
  <si>
    <t>参考１（詳細）対策9</t>
    <rPh sb="0" eb="2">
      <t>サンコウ</t>
    </rPh>
    <rPh sb="4" eb="6">
      <t>ショウサイ</t>
    </rPh>
    <rPh sb="7" eb="9">
      <t>タイサク</t>
    </rPh>
    <phoneticPr fontId="2"/>
  </si>
  <si>
    <t>B12</t>
  </si>
  <si>
    <t>参考１（詳細）対策10</t>
    <rPh sb="0" eb="2">
      <t>サンコウ</t>
    </rPh>
    <rPh sb="4" eb="6">
      <t>ショウサイ</t>
    </rPh>
    <rPh sb="7" eb="9">
      <t>タイサク</t>
    </rPh>
    <phoneticPr fontId="2"/>
  </si>
  <si>
    <t>B13</t>
  </si>
  <si>
    <t>参考１（詳細）実施年度1</t>
    <rPh sb="0" eb="2">
      <t>サンコウ</t>
    </rPh>
    <rPh sb="4" eb="6">
      <t>ショウサイ</t>
    </rPh>
    <rPh sb="7" eb="9">
      <t>ジッシ</t>
    </rPh>
    <rPh sb="9" eb="11">
      <t>ネンド</t>
    </rPh>
    <phoneticPr fontId="2"/>
  </si>
  <si>
    <t>C4</t>
  </si>
  <si>
    <t>参考１（詳細）実施年度2</t>
    <rPh sb="0" eb="2">
      <t>サンコウ</t>
    </rPh>
    <rPh sb="4" eb="6">
      <t>ショウサイ</t>
    </rPh>
    <rPh sb="7" eb="9">
      <t>ジッシ</t>
    </rPh>
    <rPh sb="9" eb="11">
      <t>ネンド</t>
    </rPh>
    <phoneticPr fontId="2"/>
  </si>
  <si>
    <t>C5</t>
  </si>
  <si>
    <t>参考１（詳細）実施年度3</t>
    <rPh sb="0" eb="2">
      <t>サンコウ</t>
    </rPh>
    <rPh sb="4" eb="6">
      <t>ショウサイ</t>
    </rPh>
    <rPh sb="7" eb="9">
      <t>ジッシ</t>
    </rPh>
    <rPh sb="9" eb="11">
      <t>ネンド</t>
    </rPh>
    <phoneticPr fontId="2"/>
  </si>
  <si>
    <t>C6</t>
  </si>
  <si>
    <t>参考１（詳細）実施年度4</t>
    <rPh sb="0" eb="2">
      <t>サンコウ</t>
    </rPh>
    <rPh sb="4" eb="6">
      <t>ショウサイ</t>
    </rPh>
    <rPh sb="7" eb="9">
      <t>ジッシ</t>
    </rPh>
    <rPh sb="9" eb="11">
      <t>ネンド</t>
    </rPh>
    <phoneticPr fontId="2"/>
  </si>
  <si>
    <t>C7</t>
  </si>
  <si>
    <t>参考１（詳細）実施年度5</t>
    <rPh sb="0" eb="2">
      <t>サンコウ</t>
    </rPh>
    <rPh sb="4" eb="6">
      <t>ショウサイ</t>
    </rPh>
    <rPh sb="7" eb="9">
      <t>ジッシ</t>
    </rPh>
    <rPh sb="9" eb="11">
      <t>ネンド</t>
    </rPh>
    <phoneticPr fontId="2"/>
  </si>
  <si>
    <t>C8</t>
  </si>
  <si>
    <t>参考１（詳細）実施年度6</t>
    <rPh sb="0" eb="2">
      <t>サンコウ</t>
    </rPh>
    <rPh sb="4" eb="6">
      <t>ショウサイ</t>
    </rPh>
    <rPh sb="7" eb="9">
      <t>ジッシ</t>
    </rPh>
    <rPh sb="9" eb="11">
      <t>ネンド</t>
    </rPh>
    <phoneticPr fontId="2"/>
  </si>
  <si>
    <t>C9</t>
  </si>
  <si>
    <t>参考１（詳細）実施年度7</t>
    <rPh sb="0" eb="2">
      <t>サンコウ</t>
    </rPh>
    <rPh sb="4" eb="6">
      <t>ショウサイ</t>
    </rPh>
    <rPh sb="7" eb="9">
      <t>ジッシ</t>
    </rPh>
    <rPh sb="9" eb="11">
      <t>ネンド</t>
    </rPh>
    <phoneticPr fontId="2"/>
  </si>
  <si>
    <t>C10</t>
  </si>
  <si>
    <t>参考１（詳細）実施年度8</t>
    <rPh sb="0" eb="2">
      <t>サンコウ</t>
    </rPh>
    <rPh sb="4" eb="6">
      <t>ショウサイ</t>
    </rPh>
    <rPh sb="7" eb="9">
      <t>ジッシ</t>
    </rPh>
    <rPh sb="9" eb="11">
      <t>ネンド</t>
    </rPh>
    <phoneticPr fontId="2"/>
  </si>
  <si>
    <t>C11</t>
  </si>
  <si>
    <t>参考１（詳細）実施年度9</t>
    <rPh sb="0" eb="2">
      <t>サンコウ</t>
    </rPh>
    <rPh sb="4" eb="6">
      <t>ショウサイ</t>
    </rPh>
    <rPh sb="7" eb="9">
      <t>ジッシ</t>
    </rPh>
    <rPh sb="9" eb="11">
      <t>ネンド</t>
    </rPh>
    <phoneticPr fontId="2"/>
  </si>
  <si>
    <t>C12</t>
  </si>
  <si>
    <t>参考１（詳細）実施年度10</t>
    <rPh sb="0" eb="2">
      <t>サンコウ</t>
    </rPh>
    <rPh sb="4" eb="6">
      <t>ショウサイ</t>
    </rPh>
    <rPh sb="7" eb="9">
      <t>ジッシ</t>
    </rPh>
    <rPh sb="9" eb="11">
      <t>ネンド</t>
    </rPh>
    <phoneticPr fontId="2"/>
  </si>
  <si>
    <t>C13</t>
  </si>
  <si>
    <t>参考１（詳細）推計削減量1</t>
    <rPh sb="0" eb="2">
      <t>サンコウ</t>
    </rPh>
    <rPh sb="4" eb="6">
      <t>ショウサイ</t>
    </rPh>
    <rPh sb="7" eb="9">
      <t>スイケイ</t>
    </rPh>
    <rPh sb="9" eb="11">
      <t>サクゲン</t>
    </rPh>
    <rPh sb="11" eb="12">
      <t>リョウ</t>
    </rPh>
    <phoneticPr fontId="2"/>
  </si>
  <si>
    <t>D4</t>
  </si>
  <si>
    <t>参考１（詳細）推計削減量2</t>
    <rPh sb="0" eb="2">
      <t>サンコウ</t>
    </rPh>
    <rPh sb="4" eb="6">
      <t>ショウサイ</t>
    </rPh>
    <rPh sb="7" eb="9">
      <t>スイケイ</t>
    </rPh>
    <rPh sb="9" eb="11">
      <t>サクゲン</t>
    </rPh>
    <rPh sb="11" eb="12">
      <t>リョウ</t>
    </rPh>
    <phoneticPr fontId="2"/>
  </si>
  <si>
    <t>D5</t>
  </si>
  <si>
    <t>参考１（詳細）推計削減量3</t>
    <rPh sb="0" eb="2">
      <t>サンコウ</t>
    </rPh>
    <rPh sb="4" eb="6">
      <t>ショウサイ</t>
    </rPh>
    <rPh sb="7" eb="9">
      <t>スイケイ</t>
    </rPh>
    <rPh sb="9" eb="11">
      <t>サクゲン</t>
    </rPh>
    <rPh sb="11" eb="12">
      <t>リョウ</t>
    </rPh>
    <phoneticPr fontId="2"/>
  </si>
  <si>
    <t>D6</t>
  </si>
  <si>
    <t>参考１（詳細）推計削減量4</t>
    <rPh sb="0" eb="2">
      <t>サンコウ</t>
    </rPh>
    <rPh sb="4" eb="6">
      <t>ショウサイ</t>
    </rPh>
    <rPh sb="7" eb="9">
      <t>スイケイ</t>
    </rPh>
    <rPh sb="9" eb="11">
      <t>サクゲン</t>
    </rPh>
    <rPh sb="11" eb="12">
      <t>リョウ</t>
    </rPh>
    <phoneticPr fontId="2"/>
  </si>
  <si>
    <t>D7</t>
  </si>
  <si>
    <t>参考１（詳細）推計削減量5</t>
    <rPh sb="0" eb="2">
      <t>サンコウ</t>
    </rPh>
    <rPh sb="4" eb="6">
      <t>ショウサイ</t>
    </rPh>
    <rPh sb="7" eb="9">
      <t>スイケイ</t>
    </rPh>
    <rPh sb="9" eb="11">
      <t>サクゲン</t>
    </rPh>
    <rPh sb="11" eb="12">
      <t>リョウ</t>
    </rPh>
    <phoneticPr fontId="2"/>
  </si>
  <si>
    <t>D8</t>
  </si>
  <si>
    <t>参考１（詳細）推計削減量6</t>
    <rPh sb="0" eb="2">
      <t>サンコウ</t>
    </rPh>
    <rPh sb="4" eb="6">
      <t>ショウサイ</t>
    </rPh>
    <rPh sb="7" eb="9">
      <t>スイケイ</t>
    </rPh>
    <rPh sb="9" eb="11">
      <t>サクゲン</t>
    </rPh>
    <rPh sb="11" eb="12">
      <t>リョウ</t>
    </rPh>
    <phoneticPr fontId="2"/>
  </si>
  <si>
    <t>D9</t>
  </si>
  <si>
    <t>参考１（詳細）推計削減量7</t>
    <rPh sb="0" eb="2">
      <t>サンコウ</t>
    </rPh>
    <rPh sb="4" eb="6">
      <t>ショウサイ</t>
    </rPh>
    <rPh sb="7" eb="9">
      <t>スイケイ</t>
    </rPh>
    <rPh sb="9" eb="11">
      <t>サクゲン</t>
    </rPh>
    <rPh sb="11" eb="12">
      <t>リョウ</t>
    </rPh>
    <phoneticPr fontId="2"/>
  </si>
  <si>
    <t>D10</t>
  </si>
  <si>
    <t>参考１（詳細）推計削減量8</t>
    <rPh sb="0" eb="2">
      <t>サンコウ</t>
    </rPh>
    <rPh sb="4" eb="6">
      <t>ショウサイ</t>
    </rPh>
    <rPh sb="7" eb="9">
      <t>スイケイ</t>
    </rPh>
    <rPh sb="9" eb="11">
      <t>サクゲン</t>
    </rPh>
    <rPh sb="11" eb="12">
      <t>リョウ</t>
    </rPh>
    <phoneticPr fontId="2"/>
  </si>
  <si>
    <t>D11</t>
  </si>
  <si>
    <t>参考１（詳細）推計削減量9</t>
    <rPh sb="0" eb="2">
      <t>サンコウ</t>
    </rPh>
    <rPh sb="4" eb="6">
      <t>ショウサイ</t>
    </rPh>
    <rPh sb="7" eb="9">
      <t>スイケイ</t>
    </rPh>
    <rPh sb="9" eb="11">
      <t>サクゲン</t>
    </rPh>
    <rPh sb="11" eb="12">
      <t>リョウ</t>
    </rPh>
    <phoneticPr fontId="2"/>
  </si>
  <si>
    <t>D12</t>
  </si>
  <si>
    <t>参考１（詳細）推計削減量10</t>
    <rPh sb="0" eb="2">
      <t>サンコウ</t>
    </rPh>
    <rPh sb="4" eb="6">
      <t>ショウサイ</t>
    </rPh>
    <rPh sb="7" eb="9">
      <t>スイケイ</t>
    </rPh>
    <rPh sb="9" eb="11">
      <t>サクゲン</t>
    </rPh>
    <rPh sb="11" eb="12">
      <t>リョウ</t>
    </rPh>
    <phoneticPr fontId="2"/>
  </si>
  <si>
    <t>D13</t>
  </si>
  <si>
    <t>参考２（詳細）対策1</t>
    <rPh sb="0" eb="2">
      <t>サンコウ</t>
    </rPh>
    <rPh sb="4" eb="6">
      <t>ショウサイ</t>
    </rPh>
    <rPh sb="7" eb="9">
      <t>タイサク</t>
    </rPh>
    <phoneticPr fontId="2"/>
  </si>
  <si>
    <t>B17</t>
  </si>
  <si>
    <t>参考２（詳細）対策2</t>
    <rPh sb="0" eb="2">
      <t>サンコウ</t>
    </rPh>
    <rPh sb="4" eb="6">
      <t>ショウサイ</t>
    </rPh>
    <rPh sb="7" eb="9">
      <t>タイサク</t>
    </rPh>
    <phoneticPr fontId="2"/>
  </si>
  <si>
    <t>B18</t>
  </si>
  <si>
    <t>参考２（詳細）対策3</t>
    <rPh sb="0" eb="2">
      <t>サンコウ</t>
    </rPh>
    <rPh sb="4" eb="6">
      <t>ショウサイ</t>
    </rPh>
    <rPh sb="7" eb="9">
      <t>タイサク</t>
    </rPh>
    <phoneticPr fontId="2"/>
  </si>
  <si>
    <t>B19</t>
  </si>
  <si>
    <t>参考２（詳細）対策4</t>
    <rPh sb="0" eb="2">
      <t>サンコウ</t>
    </rPh>
    <rPh sb="4" eb="6">
      <t>ショウサイ</t>
    </rPh>
    <rPh sb="7" eb="9">
      <t>タイサク</t>
    </rPh>
    <phoneticPr fontId="2"/>
  </si>
  <si>
    <t>B20</t>
  </si>
  <si>
    <t>参考２（詳細）対策5</t>
    <rPh sb="0" eb="2">
      <t>サンコウ</t>
    </rPh>
    <rPh sb="4" eb="6">
      <t>ショウサイ</t>
    </rPh>
    <rPh sb="7" eb="9">
      <t>タイサク</t>
    </rPh>
    <phoneticPr fontId="2"/>
  </si>
  <si>
    <t>B21</t>
  </si>
  <si>
    <t>参考２（詳細）対策6</t>
    <rPh sb="0" eb="2">
      <t>サンコウ</t>
    </rPh>
    <rPh sb="4" eb="6">
      <t>ショウサイ</t>
    </rPh>
    <rPh sb="7" eb="9">
      <t>タイサク</t>
    </rPh>
    <phoneticPr fontId="2"/>
  </si>
  <si>
    <t>B22</t>
  </si>
  <si>
    <t>参考２（詳細）対策7</t>
    <rPh sb="0" eb="2">
      <t>サンコウ</t>
    </rPh>
    <rPh sb="4" eb="6">
      <t>ショウサイ</t>
    </rPh>
    <rPh sb="7" eb="9">
      <t>タイサク</t>
    </rPh>
    <phoneticPr fontId="2"/>
  </si>
  <si>
    <t>B23</t>
  </si>
  <si>
    <t>参考２（詳細）対策8</t>
    <rPh sb="0" eb="2">
      <t>サンコウ</t>
    </rPh>
    <rPh sb="4" eb="6">
      <t>ショウサイ</t>
    </rPh>
    <rPh sb="7" eb="9">
      <t>タイサク</t>
    </rPh>
    <phoneticPr fontId="2"/>
  </si>
  <si>
    <t>B24</t>
  </si>
  <si>
    <t>参考２（詳細）対策9</t>
    <rPh sb="0" eb="2">
      <t>サンコウ</t>
    </rPh>
    <rPh sb="4" eb="6">
      <t>ショウサイ</t>
    </rPh>
    <rPh sb="7" eb="9">
      <t>タイサク</t>
    </rPh>
    <phoneticPr fontId="2"/>
  </si>
  <si>
    <t>B25</t>
  </si>
  <si>
    <t>参考２（詳細）対策10</t>
    <rPh sb="0" eb="2">
      <t>サンコウ</t>
    </rPh>
    <rPh sb="4" eb="6">
      <t>ショウサイ</t>
    </rPh>
    <rPh sb="7" eb="9">
      <t>タイサク</t>
    </rPh>
    <phoneticPr fontId="2"/>
  </si>
  <si>
    <t>B26</t>
  </si>
  <si>
    <t>参考２（詳細）実施年度1</t>
    <rPh sb="0" eb="2">
      <t>サンコウ</t>
    </rPh>
    <rPh sb="4" eb="6">
      <t>ショウサイ</t>
    </rPh>
    <rPh sb="7" eb="9">
      <t>ジッシ</t>
    </rPh>
    <rPh sb="9" eb="11">
      <t>ネンド</t>
    </rPh>
    <phoneticPr fontId="2"/>
  </si>
  <si>
    <t>C17</t>
  </si>
  <si>
    <t>参考２（詳細）実施年度2</t>
    <rPh sb="0" eb="2">
      <t>サンコウ</t>
    </rPh>
    <rPh sb="4" eb="6">
      <t>ショウサイ</t>
    </rPh>
    <rPh sb="7" eb="9">
      <t>ジッシ</t>
    </rPh>
    <rPh sb="9" eb="11">
      <t>ネンド</t>
    </rPh>
    <phoneticPr fontId="2"/>
  </si>
  <si>
    <t>C18</t>
  </si>
  <si>
    <t>参考２（詳細）実施年度3</t>
    <rPh sb="0" eb="2">
      <t>サンコウ</t>
    </rPh>
    <rPh sb="4" eb="6">
      <t>ショウサイ</t>
    </rPh>
    <rPh sb="7" eb="9">
      <t>ジッシ</t>
    </rPh>
    <rPh sb="9" eb="11">
      <t>ネンド</t>
    </rPh>
    <phoneticPr fontId="2"/>
  </si>
  <si>
    <t>C19</t>
  </si>
  <si>
    <t>参考２（詳細）実施年度4</t>
    <rPh sb="0" eb="2">
      <t>サンコウ</t>
    </rPh>
    <rPh sb="4" eb="6">
      <t>ショウサイ</t>
    </rPh>
    <rPh sb="7" eb="9">
      <t>ジッシ</t>
    </rPh>
    <rPh sb="9" eb="11">
      <t>ネンド</t>
    </rPh>
    <phoneticPr fontId="2"/>
  </si>
  <si>
    <t>C20</t>
  </si>
  <si>
    <t>参考２（詳細）実施年度5</t>
    <rPh sb="0" eb="2">
      <t>サンコウ</t>
    </rPh>
    <rPh sb="4" eb="6">
      <t>ショウサイ</t>
    </rPh>
    <rPh sb="7" eb="9">
      <t>ジッシ</t>
    </rPh>
    <rPh sb="9" eb="11">
      <t>ネンド</t>
    </rPh>
    <phoneticPr fontId="2"/>
  </si>
  <si>
    <t>C21</t>
  </si>
  <si>
    <t>参考２（詳細）実施年度6</t>
    <rPh sb="0" eb="2">
      <t>サンコウ</t>
    </rPh>
    <rPh sb="4" eb="6">
      <t>ショウサイ</t>
    </rPh>
    <rPh sb="7" eb="9">
      <t>ジッシ</t>
    </rPh>
    <rPh sb="9" eb="11">
      <t>ネンド</t>
    </rPh>
    <phoneticPr fontId="2"/>
  </si>
  <si>
    <t>C22</t>
  </si>
  <si>
    <t>参考２（詳細）実施年度7</t>
    <rPh sb="0" eb="2">
      <t>サンコウ</t>
    </rPh>
    <rPh sb="4" eb="6">
      <t>ショウサイ</t>
    </rPh>
    <rPh sb="7" eb="9">
      <t>ジッシ</t>
    </rPh>
    <rPh sb="9" eb="11">
      <t>ネンド</t>
    </rPh>
    <phoneticPr fontId="2"/>
  </si>
  <si>
    <t>C23</t>
  </si>
  <si>
    <t>参考２（詳細）実施年度8</t>
    <rPh sb="0" eb="2">
      <t>サンコウ</t>
    </rPh>
    <rPh sb="4" eb="6">
      <t>ショウサイ</t>
    </rPh>
    <rPh sb="7" eb="9">
      <t>ジッシ</t>
    </rPh>
    <rPh sb="9" eb="11">
      <t>ネンド</t>
    </rPh>
    <phoneticPr fontId="2"/>
  </si>
  <si>
    <t>C24</t>
  </si>
  <si>
    <t>参考２（詳細）実施年度9</t>
    <rPh sb="0" eb="2">
      <t>サンコウ</t>
    </rPh>
    <rPh sb="4" eb="6">
      <t>ショウサイ</t>
    </rPh>
    <rPh sb="7" eb="9">
      <t>ジッシ</t>
    </rPh>
    <rPh sb="9" eb="11">
      <t>ネンド</t>
    </rPh>
    <phoneticPr fontId="2"/>
  </si>
  <si>
    <t>C25</t>
  </si>
  <si>
    <t>参考２（詳細）実施年度10</t>
    <rPh sb="0" eb="2">
      <t>サンコウ</t>
    </rPh>
    <rPh sb="4" eb="6">
      <t>ショウサイ</t>
    </rPh>
    <rPh sb="7" eb="9">
      <t>ジッシ</t>
    </rPh>
    <rPh sb="9" eb="11">
      <t>ネンド</t>
    </rPh>
    <phoneticPr fontId="2"/>
  </si>
  <si>
    <t>C26</t>
  </si>
  <si>
    <t>参考２（詳細）推計削減量1</t>
    <rPh sb="0" eb="2">
      <t>サンコウ</t>
    </rPh>
    <rPh sb="4" eb="6">
      <t>ショウサイ</t>
    </rPh>
    <rPh sb="7" eb="9">
      <t>スイケイ</t>
    </rPh>
    <rPh sb="9" eb="11">
      <t>サクゲン</t>
    </rPh>
    <rPh sb="11" eb="12">
      <t>リョウ</t>
    </rPh>
    <phoneticPr fontId="2"/>
  </si>
  <si>
    <t>D17</t>
  </si>
  <si>
    <t>参考２（詳細）推計削減量2</t>
    <rPh sb="0" eb="2">
      <t>サンコウ</t>
    </rPh>
    <rPh sb="4" eb="6">
      <t>ショウサイ</t>
    </rPh>
    <rPh sb="7" eb="9">
      <t>スイケイ</t>
    </rPh>
    <rPh sb="9" eb="11">
      <t>サクゲン</t>
    </rPh>
    <rPh sb="11" eb="12">
      <t>リョウ</t>
    </rPh>
    <phoneticPr fontId="2"/>
  </si>
  <si>
    <t>D18</t>
  </si>
  <si>
    <t>参考２（詳細）推計削減量3</t>
    <rPh sb="0" eb="2">
      <t>サンコウ</t>
    </rPh>
    <rPh sb="4" eb="6">
      <t>ショウサイ</t>
    </rPh>
    <rPh sb="7" eb="9">
      <t>スイケイ</t>
    </rPh>
    <rPh sb="9" eb="11">
      <t>サクゲン</t>
    </rPh>
    <rPh sb="11" eb="12">
      <t>リョウ</t>
    </rPh>
    <phoneticPr fontId="2"/>
  </si>
  <si>
    <t>D19</t>
  </si>
  <si>
    <t>参考２（詳細）推計削減量4</t>
    <rPh sb="0" eb="2">
      <t>サンコウ</t>
    </rPh>
    <rPh sb="4" eb="6">
      <t>ショウサイ</t>
    </rPh>
    <rPh sb="7" eb="9">
      <t>スイケイ</t>
    </rPh>
    <rPh sb="9" eb="11">
      <t>サクゲン</t>
    </rPh>
    <rPh sb="11" eb="12">
      <t>リョウ</t>
    </rPh>
    <phoneticPr fontId="2"/>
  </si>
  <si>
    <t>D20</t>
  </si>
  <si>
    <t>参考２（詳細）推計削減量5</t>
    <rPh sb="0" eb="2">
      <t>サンコウ</t>
    </rPh>
    <rPh sb="4" eb="6">
      <t>ショウサイ</t>
    </rPh>
    <rPh sb="7" eb="9">
      <t>スイケイ</t>
    </rPh>
    <rPh sb="9" eb="11">
      <t>サクゲン</t>
    </rPh>
    <rPh sb="11" eb="12">
      <t>リョウ</t>
    </rPh>
    <phoneticPr fontId="2"/>
  </si>
  <si>
    <t>D21</t>
  </si>
  <si>
    <t>参考２（詳細）推計削減量6</t>
    <rPh sb="0" eb="2">
      <t>サンコウ</t>
    </rPh>
    <rPh sb="4" eb="6">
      <t>ショウサイ</t>
    </rPh>
    <rPh sb="7" eb="9">
      <t>スイケイ</t>
    </rPh>
    <rPh sb="9" eb="11">
      <t>サクゲン</t>
    </rPh>
    <rPh sb="11" eb="12">
      <t>リョウ</t>
    </rPh>
    <phoneticPr fontId="2"/>
  </si>
  <si>
    <t>D22</t>
  </si>
  <si>
    <t>参考２（詳細）推計削減量7</t>
    <rPh sb="0" eb="2">
      <t>サンコウ</t>
    </rPh>
    <rPh sb="4" eb="6">
      <t>ショウサイ</t>
    </rPh>
    <rPh sb="7" eb="9">
      <t>スイケイ</t>
    </rPh>
    <rPh sb="9" eb="11">
      <t>サクゲン</t>
    </rPh>
    <rPh sb="11" eb="12">
      <t>リョウ</t>
    </rPh>
    <phoneticPr fontId="2"/>
  </si>
  <si>
    <t>D23</t>
  </si>
  <si>
    <t>参考２（詳細）推計削減量8</t>
    <rPh sb="0" eb="2">
      <t>サンコウ</t>
    </rPh>
    <rPh sb="4" eb="6">
      <t>ショウサイ</t>
    </rPh>
    <rPh sb="7" eb="9">
      <t>スイケイ</t>
    </rPh>
    <rPh sb="9" eb="11">
      <t>サクゲン</t>
    </rPh>
    <rPh sb="11" eb="12">
      <t>リョウ</t>
    </rPh>
    <phoneticPr fontId="2"/>
  </si>
  <si>
    <t>D24</t>
  </si>
  <si>
    <t>参考２（詳細）推計削減量9</t>
    <rPh sb="0" eb="2">
      <t>サンコウ</t>
    </rPh>
    <rPh sb="4" eb="6">
      <t>ショウサイ</t>
    </rPh>
    <rPh sb="7" eb="9">
      <t>スイケイ</t>
    </rPh>
    <rPh sb="9" eb="11">
      <t>サクゲン</t>
    </rPh>
    <rPh sb="11" eb="12">
      <t>リョウ</t>
    </rPh>
    <phoneticPr fontId="2"/>
  </si>
  <si>
    <t>D25</t>
  </si>
  <si>
    <t>参考２（詳細）推計削減量10</t>
    <rPh sb="0" eb="2">
      <t>サンコウ</t>
    </rPh>
    <rPh sb="4" eb="6">
      <t>ショウサイ</t>
    </rPh>
    <rPh sb="7" eb="9">
      <t>スイケイ</t>
    </rPh>
    <rPh sb="9" eb="11">
      <t>サクゲン</t>
    </rPh>
    <rPh sb="11" eb="12">
      <t>リョウ</t>
    </rPh>
    <phoneticPr fontId="2"/>
  </si>
  <si>
    <t>D26</t>
  </si>
  <si>
    <t>クレジット等の種類１</t>
    <rPh sb="5" eb="6">
      <t>ナド</t>
    </rPh>
    <rPh sb="7" eb="9">
      <t>シュルイ</t>
    </rPh>
    <phoneticPr fontId="3"/>
  </si>
  <si>
    <t>クレジット等の種類２</t>
    <rPh sb="5" eb="6">
      <t>ナド</t>
    </rPh>
    <rPh sb="7" eb="9">
      <t>シュルイ</t>
    </rPh>
    <phoneticPr fontId="3"/>
  </si>
  <si>
    <t>クレジット等の種類３</t>
    <rPh sb="5" eb="6">
      <t>ナド</t>
    </rPh>
    <rPh sb="7" eb="9">
      <t>シュルイ</t>
    </rPh>
    <phoneticPr fontId="3"/>
  </si>
  <si>
    <t>クレジット等の種類４</t>
    <rPh sb="5" eb="6">
      <t>ナド</t>
    </rPh>
    <rPh sb="7" eb="9">
      <t>シュルイ</t>
    </rPh>
    <phoneticPr fontId="3"/>
  </si>
  <si>
    <t>クレジット等の種類５</t>
    <rPh sb="5" eb="6">
      <t>ナド</t>
    </rPh>
    <rPh sb="7" eb="9">
      <t>シュルイ</t>
    </rPh>
    <phoneticPr fontId="3"/>
  </si>
  <si>
    <t>クレジット等の種類６</t>
    <rPh sb="5" eb="6">
      <t>ナド</t>
    </rPh>
    <rPh sb="7" eb="9">
      <t>シュルイ</t>
    </rPh>
    <phoneticPr fontId="3"/>
  </si>
  <si>
    <t>クレジット等の種類７</t>
    <rPh sb="5" eb="6">
      <t>ナド</t>
    </rPh>
    <rPh sb="7" eb="9">
      <t>シュルイ</t>
    </rPh>
    <phoneticPr fontId="3"/>
  </si>
  <si>
    <t>原単位の名称</t>
    <rPh sb="4" eb="6">
      <t>メイショウ</t>
    </rPh>
    <phoneticPr fontId="5"/>
  </si>
  <si>
    <t>原単位の単位</t>
  </si>
  <si>
    <t>原単位の数値</t>
  </si>
  <si>
    <t>計画書①（事業所概要・目標）</t>
    <phoneticPr fontId="1"/>
  </si>
  <si>
    <t>２．目標排出量</t>
    <rPh sb="2" eb="4">
      <t>モクヒョウ</t>
    </rPh>
    <rPh sb="4" eb="7">
      <t>ハイシュツリョウ</t>
    </rPh>
    <phoneticPr fontId="2"/>
  </si>
  <si>
    <t>２．目標原単位</t>
    <rPh sb="2" eb="4">
      <t>モクヒョウ</t>
    </rPh>
    <rPh sb="4" eb="7">
      <t>ゲンタンイ</t>
    </rPh>
    <phoneticPr fontId="2"/>
  </si>
  <si>
    <t>２．目標設置の考え方</t>
    <rPh sb="2" eb="4">
      <t>モクヒョウ</t>
    </rPh>
    <rPh sb="4" eb="6">
      <t>セッチ</t>
    </rPh>
    <rPh sb="7" eb="8">
      <t>カンガ</t>
    </rPh>
    <rPh sb="9" eb="10">
      <t>カタ</t>
    </rPh>
    <phoneticPr fontId="2"/>
  </si>
  <si>
    <t>F5</t>
    <phoneticPr fontId="1"/>
  </si>
  <si>
    <t>外部供給量_揮発油（ガソリン）</t>
  </si>
  <si>
    <t>外部供給量_灯油</t>
  </si>
  <si>
    <t>外部供給量_軽油</t>
  </si>
  <si>
    <t>外部供給量_Ａ重油</t>
  </si>
  <si>
    <t>外部供給量_Ｂ・Ｃ重油</t>
  </si>
  <si>
    <t>外部供給量_液化石油ガス     (LPG)</t>
  </si>
  <si>
    <t>外部供給量_都市ガス</t>
  </si>
  <si>
    <t>外部供給量_その他燃料2</t>
  </si>
  <si>
    <t>外部供給量_その他燃料3</t>
  </si>
  <si>
    <t>外部供給量_その他燃料4</t>
  </si>
  <si>
    <t>外部供給量_その他燃料5</t>
  </si>
  <si>
    <t>外部供給量_その他燃料1</t>
    <phoneticPr fontId="1"/>
  </si>
  <si>
    <t>燃料の種類_その他燃料1</t>
    <rPh sb="0" eb="2">
      <t>ネンリョウ</t>
    </rPh>
    <rPh sb="3" eb="5">
      <t>シュルイ</t>
    </rPh>
    <rPh sb="8" eb="9">
      <t>タ</t>
    </rPh>
    <phoneticPr fontId="1"/>
  </si>
  <si>
    <t>燃料の種類_その他燃料2</t>
    <rPh sb="0" eb="2">
      <t>ネンリョウ</t>
    </rPh>
    <rPh sb="3" eb="5">
      <t>シュルイ</t>
    </rPh>
    <rPh sb="8" eb="9">
      <t>タ</t>
    </rPh>
    <phoneticPr fontId="1"/>
  </si>
  <si>
    <t>燃料の種類_その他燃料3</t>
    <rPh sb="0" eb="2">
      <t>ネンリョウ</t>
    </rPh>
    <rPh sb="3" eb="5">
      <t>シュルイ</t>
    </rPh>
    <rPh sb="8" eb="9">
      <t>タ</t>
    </rPh>
    <phoneticPr fontId="1"/>
  </si>
  <si>
    <t>燃料の種類_その他燃料4</t>
    <rPh sb="0" eb="2">
      <t>ネンリョウ</t>
    </rPh>
    <rPh sb="3" eb="5">
      <t>シュルイ</t>
    </rPh>
    <rPh sb="8" eb="9">
      <t>タ</t>
    </rPh>
    <phoneticPr fontId="1"/>
  </si>
  <si>
    <t>燃料の種類_その他燃料5</t>
    <rPh sb="0" eb="2">
      <t>ネンリョウ</t>
    </rPh>
    <rPh sb="3" eb="5">
      <t>シュルイ</t>
    </rPh>
    <rPh sb="8" eb="9">
      <t>タ</t>
    </rPh>
    <phoneticPr fontId="1"/>
  </si>
  <si>
    <t>使用量_その他燃料1</t>
    <rPh sb="6" eb="7">
      <t>タ</t>
    </rPh>
    <phoneticPr fontId="1"/>
  </si>
  <si>
    <t>使用量_その他燃料2</t>
    <rPh sb="6" eb="7">
      <t>タ</t>
    </rPh>
    <phoneticPr fontId="1"/>
  </si>
  <si>
    <t>使用量_その他燃料3</t>
    <rPh sb="6" eb="7">
      <t>タ</t>
    </rPh>
    <phoneticPr fontId="1"/>
  </si>
  <si>
    <t>使用量_その他燃料4</t>
    <rPh sb="6" eb="7">
      <t>タ</t>
    </rPh>
    <phoneticPr fontId="1"/>
  </si>
  <si>
    <t>使用量_その他燃料5</t>
    <rPh sb="6" eb="7">
      <t>タ</t>
    </rPh>
    <phoneticPr fontId="1"/>
  </si>
  <si>
    <t>D12</t>
    <phoneticPr fontId="1"/>
  </si>
  <si>
    <t>D14</t>
  </si>
  <si>
    <t>D15</t>
  </si>
  <si>
    <t>D16</t>
  </si>
  <si>
    <t>排出量_非エネルギー起源二酸化炭素（CO2）</t>
  </si>
  <si>
    <t>排出量_メタン（CH4）</t>
  </si>
  <si>
    <t>排出量_一酸化二窒素（N2O）</t>
  </si>
  <si>
    <t>排出量_ハイドロフルオロカーボン（HFC）</t>
  </si>
  <si>
    <t>排出量_パーフルオロカーボン（PFC）</t>
  </si>
  <si>
    <t>排出量_六フッ化硫黄（SF6）</t>
  </si>
  <si>
    <t>排出量_三フッ化窒素（NF3）</t>
  </si>
  <si>
    <t>E29</t>
    <phoneticPr fontId="1"/>
  </si>
  <si>
    <t>E35</t>
  </si>
  <si>
    <t>C40</t>
    <phoneticPr fontId="1"/>
  </si>
  <si>
    <t>E40</t>
    <phoneticPr fontId="1"/>
  </si>
  <si>
    <t>D51</t>
    <phoneticPr fontId="1"/>
  </si>
  <si>
    <t>D52</t>
  </si>
  <si>
    <t>D53</t>
  </si>
  <si>
    <t>M31</t>
    <phoneticPr fontId="1"/>
  </si>
  <si>
    <t>N31</t>
    <phoneticPr fontId="1"/>
  </si>
  <si>
    <t>O31</t>
    <phoneticPr fontId="1"/>
  </si>
  <si>
    <t>L34</t>
    <phoneticPr fontId="1"/>
  </si>
  <si>
    <t>M35</t>
  </si>
  <si>
    <t>N35</t>
  </si>
  <si>
    <t>計算シート（基準年度）</t>
    <phoneticPr fontId="1"/>
  </si>
  <si>
    <t>C3</t>
  </si>
  <si>
    <t>D3</t>
  </si>
  <si>
    <t>F3</t>
  </si>
  <si>
    <t>F4</t>
  </si>
  <si>
    <t>G3</t>
  </si>
  <si>
    <t>G4</t>
  </si>
  <si>
    <t>G6</t>
  </si>
  <si>
    <t>G7</t>
  </si>
  <si>
    <t>G8</t>
  </si>
  <si>
    <t>G9</t>
  </si>
  <si>
    <t>H4</t>
  </si>
  <si>
    <t>H5</t>
  </si>
  <si>
    <t>H6</t>
  </si>
  <si>
    <t>H7</t>
  </si>
  <si>
    <t>H8</t>
  </si>
  <si>
    <t>H9</t>
  </si>
  <si>
    <t>I3</t>
  </si>
  <si>
    <t>I4</t>
  </si>
  <si>
    <t>I6</t>
  </si>
  <si>
    <t>I7</t>
  </si>
  <si>
    <t>I8</t>
  </si>
  <si>
    <t>I9</t>
  </si>
  <si>
    <t>J3</t>
  </si>
  <si>
    <t>J4</t>
  </si>
  <si>
    <t>J5</t>
  </si>
  <si>
    <t>J6</t>
  </si>
  <si>
    <t>J7</t>
  </si>
  <si>
    <t>J8</t>
  </si>
  <si>
    <t>J9</t>
  </si>
  <si>
    <t>K3</t>
  </si>
  <si>
    <t>K4</t>
  </si>
  <si>
    <t>K5</t>
  </si>
  <si>
    <t>K6</t>
  </si>
  <si>
    <t>K7</t>
  </si>
  <si>
    <t>K8</t>
  </si>
  <si>
    <t>K9</t>
  </si>
  <si>
    <t>L3</t>
  </si>
  <si>
    <t>L4</t>
  </si>
  <si>
    <t>L5</t>
  </si>
  <si>
    <t>L6</t>
  </si>
  <si>
    <t>L7</t>
  </si>
  <si>
    <t>L8</t>
  </si>
  <si>
    <t>L9</t>
  </si>
  <si>
    <t>M3</t>
  </si>
  <si>
    <t>M4</t>
  </si>
  <si>
    <t>M5</t>
  </si>
  <si>
    <t>M6</t>
  </si>
  <si>
    <t>M7</t>
  </si>
  <si>
    <t>M8</t>
  </si>
  <si>
    <t>M9</t>
  </si>
  <si>
    <t>N3</t>
  </si>
  <si>
    <t>N4</t>
  </si>
  <si>
    <t>N5</t>
  </si>
  <si>
    <t>N6</t>
  </si>
  <si>
    <t>N7</t>
  </si>
  <si>
    <t>N8</t>
  </si>
  <si>
    <t>N9</t>
  </si>
  <si>
    <t>C14</t>
  </si>
  <si>
    <t>C15</t>
  </si>
  <si>
    <t>C16</t>
  </si>
  <si>
    <t>G12</t>
  </si>
  <si>
    <t>G13</t>
  </si>
  <si>
    <t>G14</t>
  </si>
  <si>
    <t>G15</t>
  </si>
  <si>
    <t>G16</t>
  </si>
  <si>
    <t>H12</t>
  </si>
  <si>
    <t>H13</t>
  </si>
  <si>
    <t>H14</t>
  </si>
  <si>
    <t>H16</t>
  </si>
  <si>
    <t>I12</t>
  </si>
  <si>
    <t>I13</t>
  </si>
  <si>
    <t>I14</t>
  </si>
  <si>
    <t>I15</t>
  </si>
  <si>
    <t>I16</t>
  </si>
  <si>
    <t>I17</t>
  </si>
  <si>
    <t>J12</t>
  </si>
  <si>
    <t>J13</t>
  </si>
  <si>
    <t>J14</t>
  </si>
  <si>
    <t>J15</t>
  </si>
  <si>
    <t>J16</t>
  </si>
  <si>
    <t>J17</t>
  </si>
  <si>
    <t>K12</t>
  </si>
  <si>
    <t>K13</t>
  </si>
  <si>
    <t>K14</t>
  </si>
  <si>
    <t>K15</t>
  </si>
  <si>
    <t>K16</t>
  </si>
  <si>
    <t>K17</t>
  </si>
  <si>
    <t>L12</t>
  </si>
  <si>
    <t>L13</t>
  </si>
  <si>
    <t>L14</t>
  </si>
  <si>
    <t>L15</t>
  </si>
  <si>
    <t>L16</t>
  </si>
  <si>
    <t>L17</t>
  </si>
  <si>
    <t>M12</t>
  </si>
  <si>
    <t>M13</t>
  </si>
  <si>
    <t>M14</t>
  </si>
  <si>
    <t>M15</t>
  </si>
  <si>
    <t>M16</t>
  </si>
  <si>
    <t>M17</t>
  </si>
  <si>
    <t>N12</t>
  </si>
  <si>
    <t>N13</t>
  </si>
  <si>
    <t>N14</t>
  </si>
  <si>
    <t>N15</t>
  </si>
  <si>
    <t>N16</t>
  </si>
  <si>
    <t>N17</t>
  </si>
  <si>
    <t>全選択項目</t>
    <rPh sb="0" eb="3">
      <t>ゼンセンタク</t>
    </rPh>
    <rPh sb="3" eb="5">
      <t>コウモク</t>
    </rPh>
    <phoneticPr fontId="1"/>
  </si>
  <si>
    <t>選択対策</t>
    <rPh sb="0" eb="2">
      <t>センタク</t>
    </rPh>
    <rPh sb="2" eb="4">
      <t>タイサク</t>
    </rPh>
    <phoneticPr fontId="2"/>
  </si>
  <si>
    <t>リスト候補</t>
    <rPh sb="3" eb="5">
      <t>コウホ</t>
    </rPh>
    <phoneticPr fontId="1"/>
  </si>
  <si>
    <t>第3年度選択項目</t>
    <rPh sb="0" eb="1">
      <t>ダイ</t>
    </rPh>
    <rPh sb="2" eb="4">
      <t>ネンド</t>
    </rPh>
    <rPh sb="4" eb="8">
      <t>センタクコウモク</t>
    </rPh>
    <phoneticPr fontId="1"/>
  </si>
  <si>
    <t>第2年度選択項目</t>
    <rPh sb="0" eb="1">
      <t>ダイ</t>
    </rPh>
    <rPh sb="2" eb="4">
      <t>ネンド</t>
    </rPh>
    <rPh sb="4" eb="8">
      <t>センタクコウモク</t>
    </rPh>
    <phoneticPr fontId="1"/>
  </si>
  <si>
    <t>第1年度選択項目</t>
    <rPh sb="0" eb="1">
      <t>ダイ</t>
    </rPh>
    <rPh sb="2" eb="4">
      <t>ネンド</t>
    </rPh>
    <rPh sb="4" eb="8">
      <t>センタクコウモク</t>
    </rPh>
    <phoneticPr fontId="1"/>
  </si>
  <si>
    <t>全その他項目</t>
    <rPh sb="0" eb="1">
      <t>ゼン</t>
    </rPh>
    <rPh sb="3" eb="4">
      <t>タ</t>
    </rPh>
    <rPh sb="4" eb="6">
      <t>コウモク</t>
    </rPh>
    <phoneticPr fontId="1"/>
  </si>
  <si>
    <t>その他対策</t>
    <rPh sb="2" eb="3">
      <t>タ</t>
    </rPh>
    <rPh sb="3" eb="5">
      <t>タイサク</t>
    </rPh>
    <phoneticPr fontId="2"/>
  </si>
  <si>
    <t>第3年度その他項目</t>
    <rPh sb="0" eb="1">
      <t>ダイ</t>
    </rPh>
    <rPh sb="2" eb="4">
      <t>ネンド</t>
    </rPh>
    <rPh sb="6" eb="7">
      <t>タ</t>
    </rPh>
    <rPh sb="7" eb="9">
      <t>コウモク</t>
    </rPh>
    <phoneticPr fontId="1"/>
  </si>
  <si>
    <t>第2年度その他項目</t>
    <rPh sb="0" eb="1">
      <t>ダイ</t>
    </rPh>
    <rPh sb="2" eb="4">
      <t>ネンド</t>
    </rPh>
    <rPh sb="6" eb="7">
      <t>タ</t>
    </rPh>
    <rPh sb="7" eb="9">
      <t>コウモク</t>
    </rPh>
    <phoneticPr fontId="1"/>
  </si>
  <si>
    <t>第1年度その他項目</t>
    <rPh sb="0" eb="1">
      <t>ダイ</t>
    </rPh>
    <rPh sb="2" eb="4">
      <t>ネンド</t>
    </rPh>
    <rPh sb="6" eb="7">
      <t>タ</t>
    </rPh>
    <rPh sb="7" eb="9">
      <t>コウモク</t>
    </rPh>
    <phoneticPr fontId="1"/>
  </si>
  <si>
    <t>第１年度追加（選択対策）</t>
    <rPh sb="0" eb="1">
      <t>ダイ</t>
    </rPh>
    <rPh sb="2" eb="4">
      <t>ネンド</t>
    </rPh>
    <rPh sb="4" eb="6">
      <t>ツイカ</t>
    </rPh>
    <rPh sb="7" eb="9">
      <t>センタク</t>
    </rPh>
    <rPh sb="9" eb="11">
      <t>タイサク</t>
    </rPh>
    <phoneticPr fontId="1"/>
  </si>
  <si>
    <t>第１年度追加（その他の対策）</t>
    <rPh sb="0" eb="1">
      <t>ダイ</t>
    </rPh>
    <rPh sb="2" eb="4">
      <t>ネンド</t>
    </rPh>
    <rPh sb="4" eb="6">
      <t>ツイカ</t>
    </rPh>
    <rPh sb="9" eb="10">
      <t>タ</t>
    </rPh>
    <rPh sb="11" eb="13">
      <t>タイサク</t>
    </rPh>
    <phoneticPr fontId="1"/>
  </si>
  <si>
    <t>第3年度その他取組内容</t>
    <rPh sb="0" eb="1">
      <t>ダイ</t>
    </rPh>
    <rPh sb="2" eb="4">
      <t>ネンド</t>
    </rPh>
    <rPh sb="6" eb="7">
      <t>タ</t>
    </rPh>
    <rPh sb="7" eb="9">
      <t>トリクミ</t>
    </rPh>
    <rPh sb="9" eb="11">
      <t>ナイヨウ</t>
    </rPh>
    <phoneticPr fontId="1"/>
  </si>
  <si>
    <t>第2年度その他取組内容</t>
    <rPh sb="0" eb="1">
      <t>ダイ</t>
    </rPh>
    <rPh sb="2" eb="4">
      <t>ネンド</t>
    </rPh>
    <rPh sb="6" eb="7">
      <t>タ</t>
    </rPh>
    <rPh sb="7" eb="9">
      <t>トリクミ</t>
    </rPh>
    <rPh sb="9" eb="11">
      <t>ナイヨウ</t>
    </rPh>
    <phoneticPr fontId="1"/>
  </si>
  <si>
    <t>第1年度その他取組内容</t>
    <rPh sb="0" eb="1">
      <t>ダイ</t>
    </rPh>
    <rPh sb="2" eb="4">
      <t>ネンド</t>
    </rPh>
    <rPh sb="6" eb="7">
      <t>タ</t>
    </rPh>
    <rPh sb="7" eb="9">
      <t>トリクミ</t>
    </rPh>
    <rPh sb="9" eb="11">
      <t>ナイヨウ</t>
    </rPh>
    <phoneticPr fontId="1"/>
  </si>
  <si>
    <t>実施状況第2年度</t>
  </si>
  <si>
    <t>実施状況第1年度</t>
  </si>
  <si>
    <t>実施状況第基準年度</t>
    <rPh sb="5" eb="7">
      <t>キジュン</t>
    </rPh>
    <phoneticPr fontId="1"/>
  </si>
  <si>
    <t>実施状況第3年度</t>
    <phoneticPr fontId="1"/>
  </si>
  <si>
    <t>電気会社_アルファベット</t>
  </si>
  <si>
    <t>電気会社_あ行</t>
  </si>
  <si>
    <t>電気会社_か行</t>
  </si>
  <si>
    <t>電気会社_さ行</t>
  </si>
  <si>
    <t>電気会社_た行</t>
  </si>
  <si>
    <t>電気会社_な行</t>
  </si>
  <si>
    <t>電気会社_は行</t>
  </si>
  <si>
    <t>電気会社_ま行</t>
  </si>
  <si>
    <t>電気会社_や行</t>
  </si>
  <si>
    <t>電気会社_ら行</t>
  </si>
  <si>
    <t>電気会社_わ行</t>
  </si>
  <si>
    <t>G18</t>
  </si>
  <si>
    <t>G19</t>
  </si>
  <si>
    <t>G20</t>
  </si>
  <si>
    <t>G21</t>
  </si>
  <si>
    <t>H18</t>
  </si>
  <si>
    <t>H19</t>
  </si>
  <si>
    <t>H20</t>
  </si>
  <si>
    <t>H21</t>
  </si>
  <si>
    <t>I18</t>
  </si>
  <si>
    <t>I19</t>
  </si>
  <si>
    <t>I20</t>
  </si>
  <si>
    <t>I21</t>
  </si>
  <si>
    <t>J18</t>
  </si>
  <si>
    <t>J19</t>
  </si>
  <si>
    <t>J20</t>
  </si>
  <si>
    <t>J21</t>
  </si>
  <si>
    <t>K18</t>
  </si>
  <si>
    <t>K19</t>
  </si>
  <si>
    <t>K20</t>
  </si>
  <si>
    <t>K21</t>
  </si>
  <si>
    <t>L18</t>
  </si>
  <si>
    <t>L19</t>
  </si>
  <si>
    <t>L20</t>
  </si>
  <si>
    <t>L21</t>
  </si>
  <si>
    <t>M18</t>
  </si>
  <si>
    <t>M19</t>
  </si>
  <si>
    <t>M20</t>
  </si>
  <si>
    <t>M21</t>
  </si>
  <si>
    <t>N18</t>
  </si>
  <si>
    <t>N19</t>
  </si>
  <si>
    <t>N20</t>
  </si>
  <si>
    <t>N21</t>
  </si>
  <si>
    <t>第２年度追加（その他の対策）</t>
    <rPh sb="0" eb="1">
      <t>ダイ</t>
    </rPh>
    <rPh sb="2" eb="4">
      <t>ネンド</t>
    </rPh>
    <rPh sb="4" eb="6">
      <t>ツイカ</t>
    </rPh>
    <rPh sb="9" eb="10">
      <t>タ</t>
    </rPh>
    <rPh sb="11" eb="13">
      <t>タイサク</t>
    </rPh>
    <phoneticPr fontId="1"/>
  </si>
  <si>
    <t>第２年度追加（選択対策）</t>
    <rPh sb="0" eb="1">
      <t>ダイ</t>
    </rPh>
    <rPh sb="2" eb="4">
      <t>ネンド</t>
    </rPh>
    <rPh sb="4" eb="6">
      <t>ツイカ</t>
    </rPh>
    <rPh sb="7" eb="9">
      <t>センタク</t>
    </rPh>
    <rPh sb="9" eb="11">
      <t>タイサク</t>
    </rPh>
    <phoneticPr fontId="1"/>
  </si>
  <si>
    <t>第３年度追加（選択対策）</t>
    <rPh sb="0" eb="1">
      <t>ダイ</t>
    </rPh>
    <rPh sb="2" eb="4">
      <t>ネンド</t>
    </rPh>
    <rPh sb="4" eb="6">
      <t>ツイカ</t>
    </rPh>
    <rPh sb="7" eb="9">
      <t>センタク</t>
    </rPh>
    <rPh sb="9" eb="11">
      <t>タイサク</t>
    </rPh>
    <phoneticPr fontId="1"/>
  </si>
  <si>
    <t>第３年度追加（その他の対策）</t>
    <rPh sb="0" eb="1">
      <t>ダイ</t>
    </rPh>
    <rPh sb="2" eb="4">
      <t>ネンド</t>
    </rPh>
    <rPh sb="4" eb="6">
      <t>ツイカ</t>
    </rPh>
    <rPh sb="9" eb="10">
      <t>タ</t>
    </rPh>
    <rPh sb="11" eb="13">
      <t>タイサク</t>
    </rPh>
    <phoneticPr fontId="1"/>
  </si>
  <si>
    <t>具体的な取組内容</t>
    <rPh sb="2" eb="3">
      <t>テキ</t>
    </rPh>
    <rPh sb="4" eb="6">
      <t>トリクミ</t>
    </rPh>
    <phoneticPr fontId="1"/>
  </si>
  <si>
    <t>具体的な取組内容</t>
    <rPh sb="0" eb="2">
      <t>グタイ</t>
    </rPh>
    <rPh sb="2" eb="3">
      <t>テキ</t>
    </rPh>
    <rPh sb="4" eb="6">
      <t>トリクミ</t>
    </rPh>
    <rPh sb="6" eb="8">
      <t>ナイヨウ</t>
    </rPh>
    <phoneticPr fontId="1"/>
  </si>
  <si>
    <t>具体的な取組内容（自由記述）</t>
    <rPh sb="0" eb="2">
      <t>グタイ</t>
    </rPh>
    <rPh sb="2" eb="3">
      <t>テキ</t>
    </rPh>
    <rPh sb="4" eb="6">
      <t>トリクミ</t>
    </rPh>
    <rPh sb="6" eb="8">
      <t>ナイヨウ</t>
    </rPh>
    <rPh sb="9" eb="11">
      <t>ジユウ</t>
    </rPh>
    <rPh sb="11" eb="13">
      <t>キジュツ</t>
    </rPh>
    <phoneticPr fontId="1"/>
  </si>
  <si>
    <t>液化石油ガス　(LPG)</t>
    <phoneticPr fontId="1"/>
  </si>
  <si>
    <t>液化石油ガス　(LPG)</t>
    <phoneticPr fontId="1"/>
  </si>
  <si>
    <t>液化石油ガス　(LPG)</t>
    <phoneticPr fontId="1"/>
  </si>
  <si>
    <t>事業者温室効果ガス削減計画書（第二計画期間）</t>
    <phoneticPr fontId="1"/>
  </si>
  <si>
    <t>温室効果ガス
の排出の状況</t>
    <rPh sb="8" eb="10">
      <t>ハイシュツ</t>
    </rPh>
    <rPh sb="11" eb="13">
      <t>ジョウキョウ</t>
    </rPh>
    <phoneticPr fontId="4"/>
  </si>
  <si>
    <t>温室効果ガス
排出抑制に係る
目標</t>
    <rPh sb="7" eb="11">
      <t>ハイシュツヨクセイ</t>
    </rPh>
    <rPh sb="12" eb="13">
      <t>カカ</t>
    </rPh>
    <rPh sb="15" eb="17">
      <t>モクヒョウ</t>
    </rPh>
    <phoneticPr fontId="4"/>
  </si>
  <si>
    <t>(目標年度)</t>
    <rPh sb="1" eb="3">
      <t>モクヒョウ</t>
    </rPh>
    <rPh sb="3" eb="5">
      <t>ネンド</t>
    </rPh>
    <phoneticPr fontId="4"/>
  </si>
  <si>
    <t>非化石エネルギー
の使用目標割合
（任意入力）</t>
    <rPh sb="10" eb="12">
      <t>シヨウ</t>
    </rPh>
    <rPh sb="12" eb="14">
      <t>モクヒョウ</t>
    </rPh>
    <rPh sb="14" eb="16">
      <t>ワリアイ</t>
    </rPh>
    <rPh sb="18" eb="20">
      <t>ニンイ</t>
    </rPh>
    <rPh sb="20" eb="22">
      <t>ニュウリョク</t>
    </rPh>
    <phoneticPr fontId="4"/>
  </si>
  <si>
    <t>非化石電気</t>
    <rPh sb="0" eb="3">
      <t>ヒカセキ</t>
    </rPh>
    <rPh sb="3" eb="5">
      <t>デンキ</t>
    </rPh>
    <phoneticPr fontId="4"/>
  </si>
  <si>
    <t>その他
非化石エネルギー等</t>
    <rPh sb="2" eb="3">
      <t>タ</t>
    </rPh>
    <rPh sb="4" eb="7">
      <t>ヒカセキ</t>
    </rPh>
    <rPh sb="12" eb="13">
      <t>トウ</t>
    </rPh>
    <phoneticPr fontId="4"/>
  </si>
  <si>
    <t>事業者温室効果ガス削減報告書（第二計画期間）</t>
    <rPh sb="0" eb="3">
      <t>ジギョウシャ</t>
    </rPh>
    <rPh sb="3" eb="5">
      <t>オンシツ</t>
    </rPh>
    <rPh sb="5" eb="7">
      <t>コウカ</t>
    </rPh>
    <rPh sb="9" eb="11">
      <t>サクゲン</t>
    </rPh>
    <rPh sb="11" eb="13">
      <t>ホウコク</t>
    </rPh>
    <rPh sb="13" eb="14">
      <t>ショ</t>
    </rPh>
    <phoneticPr fontId="1"/>
  </si>
  <si>
    <t>非化石エネルギーの使用割合</t>
    <rPh sb="9" eb="11">
      <t>シヨウ</t>
    </rPh>
    <rPh sb="11" eb="13">
      <t>ワリアイ</t>
    </rPh>
    <phoneticPr fontId="4"/>
  </si>
  <si>
    <t>事業者温室効果ガス削減報告書概要（第二計画期間）</t>
    <rPh sb="0" eb="3">
      <t>ジギョウシャ</t>
    </rPh>
    <rPh sb="3" eb="5">
      <t>オンシツ</t>
    </rPh>
    <rPh sb="5" eb="7">
      <t>コウカ</t>
    </rPh>
    <rPh sb="9" eb="11">
      <t>サクゲン</t>
    </rPh>
    <rPh sb="11" eb="13">
      <t>ホウコク</t>
    </rPh>
    <rPh sb="13" eb="14">
      <t>ショ</t>
    </rPh>
    <rPh sb="14" eb="16">
      <t>ガイヨウ</t>
    </rPh>
    <phoneticPr fontId="1"/>
  </si>
  <si>
    <r>
      <t>[m</t>
    </r>
    <r>
      <rPr>
        <vertAlign val="superscript"/>
        <sz val="10"/>
        <color indexed="8"/>
        <rFont val="メイリオ"/>
        <family val="3"/>
        <charset val="128"/>
      </rPr>
      <t>3</t>
    </r>
    <r>
      <rPr>
        <sz val="10"/>
        <color indexed="8"/>
        <rFont val="メイリオ"/>
        <family val="3"/>
        <charset val="128"/>
      </rPr>
      <t>]</t>
    </r>
    <phoneticPr fontId="4"/>
  </si>
  <si>
    <r>
      <t>クレジット等の削減量</t>
    </r>
    <r>
      <rPr>
        <sz val="10"/>
        <rFont val="メイリオ"/>
        <family val="3"/>
        <charset val="128"/>
      </rPr>
      <t>(t-CO</t>
    </r>
    <r>
      <rPr>
        <vertAlign val="subscript"/>
        <sz val="10"/>
        <rFont val="メイリオ"/>
        <family val="3"/>
        <charset val="128"/>
      </rPr>
      <t>2</t>
    </r>
    <r>
      <rPr>
        <sz val="10"/>
        <rFont val="メイリオ"/>
        <family val="3"/>
        <charset val="128"/>
      </rPr>
      <t>)１</t>
    </r>
    <rPh sb="7" eb="9">
      <t>サクゲン</t>
    </rPh>
    <rPh sb="9" eb="10">
      <t>リョウ</t>
    </rPh>
    <phoneticPr fontId="5"/>
  </si>
  <si>
    <r>
      <t>クレジット等の削減量</t>
    </r>
    <r>
      <rPr>
        <sz val="10"/>
        <rFont val="メイリオ"/>
        <family val="3"/>
        <charset val="128"/>
      </rPr>
      <t>(t-CO</t>
    </r>
    <r>
      <rPr>
        <vertAlign val="subscript"/>
        <sz val="10"/>
        <rFont val="メイリオ"/>
        <family val="3"/>
        <charset val="128"/>
      </rPr>
      <t>2</t>
    </r>
    <r>
      <rPr>
        <sz val="10"/>
        <rFont val="メイリオ"/>
        <family val="3"/>
        <charset val="128"/>
      </rPr>
      <t>)２</t>
    </r>
    <r>
      <rPr>
        <sz val="11"/>
        <color theme="1"/>
        <rFont val="ＭＳ Ｐゴシック"/>
        <family val="2"/>
        <charset val="128"/>
      </rPr>
      <t/>
    </r>
    <rPh sb="7" eb="9">
      <t>サクゲン</t>
    </rPh>
    <rPh sb="9" eb="10">
      <t>リョウ</t>
    </rPh>
    <phoneticPr fontId="5"/>
  </si>
  <si>
    <r>
      <t>クレジット等の削減量</t>
    </r>
    <r>
      <rPr>
        <sz val="10"/>
        <rFont val="メイリオ"/>
        <family val="3"/>
        <charset val="128"/>
      </rPr>
      <t>(t-CO</t>
    </r>
    <r>
      <rPr>
        <vertAlign val="subscript"/>
        <sz val="10"/>
        <rFont val="メイリオ"/>
        <family val="3"/>
        <charset val="128"/>
      </rPr>
      <t>2</t>
    </r>
    <r>
      <rPr>
        <sz val="10"/>
        <rFont val="メイリオ"/>
        <family val="3"/>
        <charset val="128"/>
      </rPr>
      <t>)３</t>
    </r>
    <r>
      <rPr>
        <sz val="11"/>
        <color theme="1"/>
        <rFont val="ＭＳ Ｐゴシック"/>
        <family val="2"/>
        <charset val="128"/>
      </rPr>
      <t/>
    </r>
    <rPh sb="7" eb="9">
      <t>サクゲン</t>
    </rPh>
    <rPh sb="9" eb="10">
      <t>リョウ</t>
    </rPh>
    <phoneticPr fontId="5"/>
  </si>
  <si>
    <r>
      <t>クレジット等の削減量</t>
    </r>
    <r>
      <rPr>
        <sz val="10"/>
        <rFont val="メイリオ"/>
        <family val="3"/>
        <charset val="128"/>
      </rPr>
      <t>(t-CO</t>
    </r>
    <r>
      <rPr>
        <vertAlign val="subscript"/>
        <sz val="10"/>
        <rFont val="メイリオ"/>
        <family val="3"/>
        <charset val="128"/>
      </rPr>
      <t>2</t>
    </r>
    <r>
      <rPr>
        <sz val="10"/>
        <rFont val="メイリオ"/>
        <family val="3"/>
        <charset val="128"/>
      </rPr>
      <t>)４</t>
    </r>
    <r>
      <rPr>
        <sz val="11"/>
        <color theme="1"/>
        <rFont val="ＭＳ Ｐゴシック"/>
        <family val="2"/>
        <charset val="128"/>
      </rPr>
      <t/>
    </r>
    <rPh sb="7" eb="9">
      <t>サクゲン</t>
    </rPh>
    <rPh sb="9" eb="10">
      <t>リョウ</t>
    </rPh>
    <phoneticPr fontId="5"/>
  </si>
  <si>
    <r>
      <t>クレジット等の削減量</t>
    </r>
    <r>
      <rPr>
        <sz val="10"/>
        <rFont val="メイリオ"/>
        <family val="3"/>
        <charset val="128"/>
      </rPr>
      <t>(t-CO</t>
    </r>
    <r>
      <rPr>
        <vertAlign val="subscript"/>
        <sz val="10"/>
        <rFont val="メイリオ"/>
        <family val="3"/>
        <charset val="128"/>
      </rPr>
      <t>2</t>
    </r>
    <r>
      <rPr>
        <sz val="10"/>
        <rFont val="メイリオ"/>
        <family val="3"/>
        <charset val="128"/>
      </rPr>
      <t>)５</t>
    </r>
    <r>
      <rPr>
        <sz val="11"/>
        <color theme="1"/>
        <rFont val="ＭＳ Ｐゴシック"/>
        <family val="2"/>
        <charset val="128"/>
      </rPr>
      <t/>
    </r>
    <rPh sb="7" eb="9">
      <t>サクゲン</t>
    </rPh>
    <rPh sb="9" eb="10">
      <t>リョウ</t>
    </rPh>
    <phoneticPr fontId="5"/>
  </si>
  <si>
    <r>
      <t>クレジット等の削減量</t>
    </r>
    <r>
      <rPr>
        <sz val="10"/>
        <rFont val="メイリオ"/>
        <family val="3"/>
        <charset val="128"/>
      </rPr>
      <t>(t-CO</t>
    </r>
    <r>
      <rPr>
        <vertAlign val="subscript"/>
        <sz val="10"/>
        <rFont val="メイリオ"/>
        <family val="3"/>
        <charset val="128"/>
      </rPr>
      <t>2</t>
    </r>
    <r>
      <rPr>
        <sz val="10"/>
        <rFont val="メイリオ"/>
        <family val="3"/>
        <charset val="128"/>
      </rPr>
      <t>)６</t>
    </r>
    <r>
      <rPr>
        <sz val="11"/>
        <color theme="1"/>
        <rFont val="ＭＳ Ｐゴシック"/>
        <family val="2"/>
        <charset val="128"/>
      </rPr>
      <t/>
    </r>
    <rPh sb="7" eb="9">
      <t>サクゲン</t>
    </rPh>
    <rPh sb="9" eb="10">
      <t>リョウ</t>
    </rPh>
    <phoneticPr fontId="5"/>
  </si>
  <si>
    <r>
      <t>クレジット等の削減量</t>
    </r>
    <r>
      <rPr>
        <sz val="10"/>
        <rFont val="メイリオ"/>
        <family val="3"/>
        <charset val="128"/>
      </rPr>
      <t>(t-CO</t>
    </r>
    <r>
      <rPr>
        <vertAlign val="subscript"/>
        <sz val="10"/>
        <rFont val="メイリオ"/>
        <family val="3"/>
        <charset val="128"/>
      </rPr>
      <t>2</t>
    </r>
    <r>
      <rPr>
        <sz val="10"/>
        <rFont val="メイリオ"/>
        <family val="3"/>
        <charset val="128"/>
      </rPr>
      <t>)７</t>
    </r>
    <r>
      <rPr>
        <sz val="11"/>
        <color theme="1"/>
        <rFont val="ＭＳ Ｐゴシック"/>
        <family val="2"/>
        <charset val="128"/>
      </rPr>
      <t/>
    </r>
    <rPh sb="7" eb="9">
      <t>サクゲン</t>
    </rPh>
    <rPh sb="9" eb="10">
      <t>リョウ</t>
    </rPh>
    <phoneticPr fontId="5"/>
  </si>
  <si>
    <t>外部機関による省エネ診断を受診している。提案された対策の一部又は全部を実施している。</t>
  </si>
  <si>
    <t>主要なエネルギー消費機器について管理台帳が整備されている。管理台帳が随時更新されている。</t>
  </si>
  <si>
    <t>事業所のエネルギー使用量を計量し、グラフ化している。エネルギー使用量変化の理由を省エネ対策毎に分析し、対策効果の確認や更なる課題の発掘に活用している。</t>
  </si>
  <si>
    <t>燃焼設備の空気比が定期的に把握され、基準空気比の範囲内で管理されている。空気比管理の記録が残されている。</t>
  </si>
  <si>
    <t>ボイラーの熱効率が定期的に計算され記録されている。ボイラーの熱効率を高く維持する運用・管理がされている。</t>
  </si>
  <si>
    <t>同一の蒸気配管系統に接続する複数のボイラーを台数制御運転するにあたり、高効率ボイラーに負荷を集約して運転している。ボイラー群のシステム効率を評価している。</t>
  </si>
  <si>
    <t>事業所内で使用する蒸気の必要な圧力、供給量を把握している。ボイラーを必要な圧力、供給量が確保できるよう運用・管理している。</t>
  </si>
  <si>
    <t>事業所内の蒸気配管系統図を整備している。不要な蒸気を送らないように蒸気バルブを閉止している。</t>
  </si>
  <si>
    <t>蒸気配管、蒸気配管の弁やフランジ部分が保温されている。保温状態を定期的に確認している。</t>
  </si>
  <si>
    <t>工業炉の外壁温度を定期的に測定している。工業炉の外壁温度を目標値以下に保てるよう断熱材を補修・管理している。</t>
  </si>
  <si>
    <t>事業所内に設置した工業炉やボイラーの排ガスから廃熱を回収して利用している。工業炉やボイラーの排ガスから廃熱を回収する等により、排ガス温度を下げている。</t>
  </si>
  <si>
    <t>設備の運転時間が管理標準（管理マニュアル）で定められている。設備の運転時間が管理標準（管理マニュアル）に基づき管理されている。</t>
  </si>
  <si>
    <t>燃焼機器の負荷が蒸発量や空調負荷に応じて調整されている。燃焼機器の空気比が負荷変更の範囲内で適切に調整されている。熱源機器のメンテナンス記録及び運転管理記録がある。</t>
  </si>
  <si>
    <t>熱源設備、熱搬送設備の起動・停止時間が季節毎に設定されている。設定に基づき、熱源設備、熱搬送設備の起動・停止時間が適切に管理されている。</t>
  </si>
  <si>
    <t>熱源設備の冷水出口温度が季節ごとに設定されている。設定に基づき、熱源設備の冷水出口温度が管理されている。</t>
  </si>
  <si>
    <t>冷却水温度を計測している。冷却水温度を適正な範囲に調整している。</t>
  </si>
  <si>
    <t>冷却水の水質を定期的に調査している。冷却水の水質を適正な範囲に調整している。</t>
  </si>
  <si>
    <t>圧縮空気配管系統図が整備されている。配管系統の圧力損失（圧縮空気供給側と需要側の圧力差）が最小となるように管理されている。</t>
  </si>
  <si>
    <t>主な稼働エリア毎に圧縮空気供給元弁が設置されている。非稼働エリアへの圧縮空気供給元弁が閉止されている。</t>
  </si>
  <si>
    <t>空冷式コンプレッサーの排気が、吸気温度に影響しない対策をしている。コンプレッサーの吸気温度が外気温度より高くならない対策をしている。</t>
  </si>
  <si>
    <t>圧縮空気配管系統を構成する機器、配管の保全管理マニュアルが整備されている。管理マニュアルに基づき、漏れ・詰まり等の点検が実施されている。</t>
  </si>
  <si>
    <t>ポンプ、ファン、ブロワの必要圧力、必要供給量が把握されている。必要圧力、必要供給量に合わせ制御（インバータ制御、台数制御等）している。</t>
  </si>
  <si>
    <t>給水系統を構成する機器、配管の保全管理マニュアルが整備されている。管理マニュアルに基づき、漏れ・詰まりの点検・補修が実施されている。</t>
  </si>
  <si>
    <t>給気系統を構成する機器、配管等の保全管理マニュアルが整備されている。管理マニュアルに基づき、漏れ・詰まりの点検・補修が実施されている。</t>
  </si>
  <si>
    <t>コジェネレーション設備の発電効率、排熱回収効率の目標値を定めている。コジェネレーション設備の発電効率、排熱回収効率を計測・記録し、管理している。</t>
  </si>
  <si>
    <t>事業者内にある全ての変圧器の負荷率が把握されている。省エネ対策の結果、負荷が減った変圧器を統合し負荷の小さな変圧器を停止している。</t>
  </si>
  <si>
    <t>事業所が消費する受電電力を連続的に監視している。受電電力が、目標値を超えないよう電力消費機器の運転管理をしている。</t>
  </si>
  <si>
    <t>事業所内に再生可能エネルギーの利用割合を高めるため、蓄電池等の蓄電システムを導入されている。</t>
  </si>
  <si>
    <t>商品や原料の搬出入を行う者（外部輸送事業者を含む）に対して、使用する車両をエコカーに更新するよう要請している。輸送時の省エネを考慮して発送・荷受けの日時を指示している。</t>
  </si>
  <si>
    <t>エコドライブ推進担当者を設置している。車両を運転する全社員に対するエコドライブ教育を定期的に実施している。</t>
  </si>
  <si>
    <t>ＤＲ（デマンドレスポンス）の実施</t>
  </si>
  <si>
    <r>
      <t>２　温室効果ガス</t>
    </r>
    <r>
      <rPr>
        <sz val="10"/>
        <rFont val="メイリオ"/>
        <family val="3"/>
        <charset val="128"/>
      </rPr>
      <t>の排出の状況及び排出抑制に係る目標</t>
    </r>
    <rPh sb="2" eb="4">
      <t>オンシツ</t>
    </rPh>
    <rPh sb="4" eb="6">
      <t>コウカ</t>
    </rPh>
    <rPh sb="9" eb="11">
      <t>ハイシュツ</t>
    </rPh>
    <rPh sb="12" eb="14">
      <t>ジョウキョウ</t>
    </rPh>
    <rPh sb="14" eb="15">
      <t>オヨ</t>
    </rPh>
    <phoneticPr fontId="3"/>
  </si>
  <si>
    <r>
      <t>t-CO</t>
    </r>
    <r>
      <rPr>
        <vertAlign val="subscript"/>
        <sz val="10"/>
        <rFont val="メイリオ"/>
        <family val="3"/>
        <charset val="128"/>
      </rPr>
      <t>2</t>
    </r>
    <phoneticPr fontId="4"/>
  </si>
  <si>
    <r>
      <t>t-CO</t>
    </r>
    <r>
      <rPr>
        <vertAlign val="subscript"/>
        <sz val="10"/>
        <rFont val="メイリオ"/>
        <family val="3"/>
        <charset val="128"/>
      </rPr>
      <t>2</t>
    </r>
    <r>
      <rPr>
        <sz val="10"/>
        <rFont val="メイリオ"/>
        <family val="3"/>
        <charset val="128"/>
      </rPr>
      <t>/</t>
    </r>
    <phoneticPr fontId="4"/>
  </si>
  <si>
    <r>
      <t>推計削減量
（t-CO</t>
    </r>
    <r>
      <rPr>
        <vertAlign val="subscript"/>
        <sz val="10"/>
        <rFont val="メイリオ"/>
        <family val="3"/>
        <charset val="128"/>
      </rPr>
      <t>2</t>
    </r>
    <r>
      <rPr>
        <sz val="10"/>
        <rFont val="メイリオ"/>
        <family val="3"/>
        <charset val="128"/>
      </rPr>
      <t>/年）</t>
    </r>
    <rPh sb="0" eb="2">
      <t>スイケイ</t>
    </rPh>
    <rPh sb="13" eb="14">
      <t>ネン</t>
    </rPh>
    <phoneticPr fontId="4"/>
  </si>
  <si>
    <r>
      <t>②エネルギー起源CO</t>
    </r>
    <r>
      <rPr>
        <vertAlign val="subscript"/>
        <sz val="10"/>
        <rFont val="メイリオ"/>
        <family val="3"/>
        <charset val="128"/>
      </rPr>
      <t>2</t>
    </r>
    <r>
      <rPr>
        <sz val="10"/>
        <rFont val="メイリオ"/>
        <family val="3"/>
        <charset val="128"/>
      </rPr>
      <t>を除くいずれかの物質の温室効果ガス排出量が3,000トン以上の事業所（条例第2条第5号ロに該当する特定事業者）</t>
    </r>
    <phoneticPr fontId="1"/>
  </si>
  <si>
    <r>
      <t>t-CO</t>
    </r>
    <r>
      <rPr>
        <vertAlign val="subscript"/>
        <sz val="10"/>
        <color theme="1"/>
        <rFont val="メイリオ"/>
        <family val="3"/>
        <charset val="128"/>
      </rPr>
      <t>2</t>
    </r>
    <phoneticPr fontId="1"/>
  </si>
  <si>
    <r>
      <t>２　温室効果ガス</t>
    </r>
    <r>
      <rPr>
        <sz val="10"/>
        <rFont val="メイリオ"/>
        <family val="3"/>
        <charset val="128"/>
      </rPr>
      <t>の排出の状況等</t>
    </r>
    <rPh sb="2" eb="4">
      <t>オンシツ</t>
    </rPh>
    <rPh sb="4" eb="6">
      <t>コウカ</t>
    </rPh>
    <rPh sb="9" eb="11">
      <t>ハイシュツ</t>
    </rPh>
    <rPh sb="12" eb="14">
      <t>ジョウキョウ</t>
    </rPh>
    <rPh sb="14" eb="15">
      <t>ナド</t>
    </rPh>
    <phoneticPr fontId="3"/>
  </si>
  <si>
    <t>エネルギー名称区分</t>
    <rPh sb="5" eb="7">
      <t>メイショウ</t>
    </rPh>
    <rPh sb="7" eb="9">
      <t>クブン</t>
    </rPh>
    <phoneticPr fontId="1"/>
  </si>
  <si>
    <t>エネルギー区分</t>
    <rPh sb="5" eb="7">
      <t>クブン</t>
    </rPh>
    <phoneticPr fontId="1"/>
  </si>
  <si>
    <t>エネルギーの種類</t>
    <rPh sb="6" eb="8">
      <t>シュルイ</t>
    </rPh>
    <phoneticPr fontId="4"/>
  </si>
  <si>
    <t>単位発熱量</t>
    <rPh sb="2" eb="4">
      <t>ハツネツ</t>
    </rPh>
    <rPh sb="4" eb="5">
      <t>リョウ</t>
    </rPh>
    <phoneticPr fontId="1"/>
  </si>
  <si>
    <t>炭素排出係数</t>
    <rPh sb="0" eb="2">
      <t>タンソ</t>
    </rPh>
    <rPh sb="2" eb="4">
      <t>ハイシュツ</t>
    </rPh>
    <rPh sb="4" eb="6">
      <t>ケイスウ</t>
    </rPh>
    <phoneticPr fontId="1"/>
  </si>
  <si>
    <t>燃料及び熱の種類</t>
    <phoneticPr fontId="4"/>
  </si>
  <si>
    <t>化
石
燃
料</t>
    <phoneticPr fontId="1"/>
  </si>
  <si>
    <t>化石燃料</t>
    <rPh sb="0" eb="2">
      <t>カセキ</t>
    </rPh>
    <rPh sb="2" eb="4">
      <t>ネンリョウ</t>
    </rPh>
    <phoneticPr fontId="1"/>
  </si>
  <si>
    <t>揮発油</t>
    <phoneticPr fontId="1"/>
  </si>
  <si>
    <t>ジェット燃料油</t>
    <phoneticPr fontId="1"/>
  </si>
  <si>
    <t>ジェット燃料油</t>
  </si>
  <si>
    <t>石油ガス</t>
  </si>
  <si>
    <r>
      <t>千Nm</t>
    </r>
    <r>
      <rPr>
        <vertAlign val="superscript"/>
        <sz val="10"/>
        <color indexed="8"/>
        <rFont val="メイリオ"/>
        <family val="3"/>
        <charset val="128"/>
      </rPr>
      <t>3</t>
    </r>
    <rPh sb="0" eb="1">
      <t>セン</t>
    </rPh>
    <phoneticPr fontId="4"/>
  </si>
  <si>
    <t>可燃性
天然ガス</t>
    <phoneticPr fontId="1"/>
  </si>
  <si>
    <t>可燃性
天然ガス</t>
  </si>
  <si>
    <t>原料炭</t>
    <phoneticPr fontId="46"/>
  </si>
  <si>
    <t>石炭</t>
  </si>
  <si>
    <t>原料炭</t>
    <rPh sb="0" eb="2">
      <t>ゲンリョウ</t>
    </rPh>
    <rPh sb="2" eb="3">
      <t>スミ</t>
    </rPh>
    <phoneticPr fontId="1"/>
  </si>
  <si>
    <t>輸入原料炭</t>
    <rPh sb="0" eb="2">
      <t>ユニュウ</t>
    </rPh>
    <phoneticPr fontId="46"/>
  </si>
  <si>
    <t>コークス用原料炭</t>
    <rPh sb="4" eb="5">
      <t>ヨウ</t>
    </rPh>
    <rPh sb="5" eb="7">
      <t>ゲンリョウ</t>
    </rPh>
    <rPh sb="7" eb="8">
      <t>スミ</t>
    </rPh>
    <phoneticPr fontId="1"/>
  </si>
  <si>
    <t>ー</t>
    <phoneticPr fontId="48"/>
  </si>
  <si>
    <t>吹込用原料炭</t>
    <rPh sb="0" eb="2">
      <t>フキコ</t>
    </rPh>
    <rPh sb="2" eb="3">
      <t>ヨウ</t>
    </rPh>
    <rPh sb="3" eb="5">
      <t>ゲンリョウ</t>
    </rPh>
    <rPh sb="5" eb="6">
      <t>スミ</t>
    </rPh>
    <phoneticPr fontId="1"/>
  </si>
  <si>
    <t>一般炭</t>
    <phoneticPr fontId="1"/>
  </si>
  <si>
    <t>一般炭</t>
    <rPh sb="0" eb="2">
      <t>イッパン</t>
    </rPh>
    <rPh sb="2" eb="3">
      <t>スミ</t>
    </rPh>
    <phoneticPr fontId="1"/>
  </si>
  <si>
    <t>輸入一般炭</t>
  </si>
  <si>
    <t>国産一般炭</t>
    <phoneticPr fontId="1"/>
  </si>
  <si>
    <t>国産一般炭</t>
  </si>
  <si>
    <t>無煙炭</t>
    <rPh sb="0" eb="3">
      <t>ムエンタン</t>
    </rPh>
    <phoneticPr fontId="1"/>
  </si>
  <si>
    <t>輸入無煙炭</t>
    <rPh sb="0" eb="2">
      <t>ユニュウ</t>
    </rPh>
    <rPh sb="2" eb="5">
      <t>ムエンタン</t>
    </rPh>
    <phoneticPr fontId="1"/>
  </si>
  <si>
    <t>発電用高炉ガス</t>
    <rPh sb="0" eb="3">
      <t>ハツデンヨウ</t>
    </rPh>
    <phoneticPr fontId="46"/>
  </si>
  <si>
    <r>
      <t>千m</t>
    </r>
    <r>
      <rPr>
        <vertAlign val="superscript"/>
        <sz val="10"/>
        <color indexed="8"/>
        <rFont val="メイリオ"/>
        <family val="3"/>
        <charset val="128"/>
      </rPr>
      <t>3</t>
    </r>
    <rPh sb="0" eb="1">
      <t>セン</t>
    </rPh>
    <phoneticPr fontId="4"/>
  </si>
  <si>
    <t>テナント空調等推計値</t>
  </si>
  <si>
    <t>テナント空調等推計値</t>
    <phoneticPr fontId="4"/>
  </si>
  <si>
    <t>GJ</t>
    <phoneticPr fontId="4"/>
  </si>
  <si>
    <t>非
化
石
燃
料</t>
    <rPh sb="0" eb="1">
      <t>ヒ</t>
    </rPh>
    <rPh sb="2" eb="3">
      <t>カ</t>
    </rPh>
    <phoneticPr fontId="48"/>
  </si>
  <si>
    <t>黒液</t>
    <rPh sb="0" eb="1">
      <t>クロ</t>
    </rPh>
    <rPh sb="1" eb="2">
      <t>エキ</t>
    </rPh>
    <phoneticPr fontId="6"/>
  </si>
  <si>
    <t>非化石燃料</t>
    <rPh sb="0" eb="3">
      <t>ヒカセキ</t>
    </rPh>
    <rPh sb="3" eb="5">
      <t>ネンリョウ</t>
    </rPh>
    <phoneticPr fontId="1"/>
  </si>
  <si>
    <t>GJ/t</t>
  </si>
  <si>
    <t>木材</t>
    <rPh sb="0" eb="2">
      <t>モクザイ</t>
    </rPh>
    <phoneticPr fontId="6"/>
  </si>
  <si>
    <t>木質廃材</t>
    <rPh sb="0" eb="2">
      <t>モクシツ</t>
    </rPh>
    <rPh sb="2" eb="4">
      <t>ハイザイ</t>
    </rPh>
    <phoneticPr fontId="6"/>
  </si>
  <si>
    <t>バイオエタノール</t>
  </si>
  <si>
    <t>GJ/kl</t>
  </si>
  <si>
    <t>バイオディーゼル</t>
  </si>
  <si>
    <t>バイオガス</t>
  </si>
  <si>
    <t>千㎥</t>
  </si>
  <si>
    <t>GJ/千㎥</t>
  </si>
  <si>
    <t>その他バイオマス</t>
    <rPh sb="2" eb="3">
      <t>タ</t>
    </rPh>
    <phoneticPr fontId="6"/>
  </si>
  <si>
    <t>RDF</t>
  </si>
  <si>
    <t>RPF</t>
  </si>
  <si>
    <t>廃タイヤ</t>
    <rPh sb="0" eb="1">
      <t>ハイ</t>
    </rPh>
    <phoneticPr fontId="6"/>
  </si>
  <si>
    <t>廃プラスチック_一般廃棄物</t>
    <phoneticPr fontId="1"/>
  </si>
  <si>
    <t>廃プラスチック</t>
    <rPh sb="0" eb="1">
      <t>ハイ</t>
    </rPh>
    <phoneticPr fontId="6"/>
  </si>
  <si>
    <t>一般廃棄物</t>
    <phoneticPr fontId="1"/>
  </si>
  <si>
    <t>廃プラスチック_産業廃棄物</t>
    <phoneticPr fontId="1"/>
  </si>
  <si>
    <t>産業廃棄物</t>
    <phoneticPr fontId="1"/>
  </si>
  <si>
    <t>廃油</t>
    <rPh sb="0" eb="2">
      <t>ハイユ</t>
    </rPh>
    <phoneticPr fontId="6"/>
  </si>
  <si>
    <t>廃棄物ガス</t>
    <rPh sb="0" eb="3">
      <t>ハイキブツ</t>
    </rPh>
    <phoneticPr fontId="6"/>
  </si>
  <si>
    <t>混合廃材</t>
    <rPh sb="0" eb="2">
      <t>コンゴウ</t>
    </rPh>
    <rPh sb="2" eb="4">
      <t>ハイザイ</t>
    </rPh>
    <phoneticPr fontId="6"/>
  </si>
  <si>
    <t>水素</t>
    <rPh sb="0" eb="2">
      <t>スイソ</t>
    </rPh>
    <phoneticPr fontId="6"/>
  </si>
  <si>
    <t>アンモニア</t>
  </si>
  <si>
    <t>熱</t>
    <rPh sb="0" eb="1">
      <t>ネツ</t>
    </rPh>
    <phoneticPr fontId="1"/>
  </si>
  <si>
    <t>産業用蒸気_化石</t>
    <rPh sb="0" eb="3">
      <t>サンギョウヨウ</t>
    </rPh>
    <rPh sb="3" eb="5">
      <t>ジョウキ</t>
    </rPh>
    <phoneticPr fontId="11"/>
  </si>
  <si>
    <t>産業用以外の蒸気_化石</t>
    <rPh sb="0" eb="2">
      <t>サンギョウ</t>
    </rPh>
    <rPh sb="2" eb="3">
      <t>ヨウ</t>
    </rPh>
    <rPh sb="3" eb="5">
      <t>イガイ</t>
    </rPh>
    <rPh sb="6" eb="8">
      <t>ジョウキ</t>
    </rPh>
    <phoneticPr fontId="11"/>
  </si>
  <si>
    <t>温水_化石</t>
    <rPh sb="0" eb="2">
      <t>オンスイ</t>
    </rPh>
    <phoneticPr fontId="11"/>
  </si>
  <si>
    <t>冷水_化石</t>
    <rPh sb="0" eb="2">
      <t>レイスイ</t>
    </rPh>
    <phoneticPr fontId="11"/>
  </si>
  <si>
    <t>産業用蒸気_非化石</t>
    <rPh sb="0" eb="3">
      <t>サンギョウヨウ</t>
    </rPh>
    <rPh sb="3" eb="5">
      <t>ジョウキ</t>
    </rPh>
    <rPh sb="6" eb="7">
      <t>ヒ</t>
    </rPh>
    <rPh sb="7" eb="9">
      <t>カセキ</t>
    </rPh>
    <phoneticPr fontId="11"/>
  </si>
  <si>
    <t>産業用以外の蒸気_非化石</t>
    <rPh sb="0" eb="2">
      <t>サンギョウ</t>
    </rPh>
    <rPh sb="2" eb="3">
      <t>ヨウ</t>
    </rPh>
    <rPh sb="3" eb="5">
      <t>イガイ</t>
    </rPh>
    <rPh sb="6" eb="8">
      <t>ジョウキ</t>
    </rPh>
    <phoneticPr fontId="11"/>
  </si>
  <si>
    <t>温水_非化石</t>
    <rPh sb="0" eb="2">
      <t>オンスイ</t>
    </rPh>
    <phoneticPr fontId="11"/>
  </si>
  <si>
    <t>冷水_非化石</t>
    <rPh sb="0" eb="2">
      <t>レイスイ</t>
    </rPh>
    <phoneticPr fontId="11"/>
  </si>
  <si>
    <t>GＪ/GＪ</t>
    <phoneticPr fontId="1"/>
  </si>
  <si>
    <t>地熱</t>
    <rPh sb="0" eb="2">
      <t>チネツ</t>
    </rPh>
    <phoneticPr fontId="1"/>
  </si>
  <si>
    <t>地熱</t>
    <rPh sb="0" eb="2">
      <t>チネツ</t>
    </rPh>
    <phoneticPr fontId="6"/>
  </si>
  <si>
    <t>温泉熱</t>
    <rPh sb="0" eb="3">
      <t>オンセンネツ</t>
    </rPh>
    <phoneticPr fontId="6"/>
  </si>
  <si>
    <t>太陽熱</t>
    <rPh sb="0" eb="3">
      <t>タイヨウネツ</t>
    </rPh>
    <phoneticPr fontId="6"/>
  </si>
  <si>
    <t>雪氷熱</t>
    <rPh sb="0" eb="1">
      <t>セツ</t>
    </rPh>
    <rPh sb="1" eb="2">
      <t>コオリ</t>
    </rPh>
    <rPh sb="2" eb="3">
      <t>ネツ</t>
    </rPh>
    <phoneticPr fontId="6"/>
  </si>
  <si>
    <t>電
気</t>
    <rPh sb="0" eb="1">
      <t>デン</t>
    </rPh>
    <rPh sb="2" eb="3">
      <t>キ</t>
    </rPh>
    <phoneticPr fontId="1"/>
  </si>
  <si>
    <t>電気事業者_昼間買電</t>
  </si>
  <si>
    <t>電気</t>
    <rPh sb="0" eb="2">
      <t>デンキ</t>
    </rPh>
    <phoneticPr fontId="1"/>
  </si>
  <si>
    <t>千kWh</t>
    <rPh sb="0" eb="1">
      <t>セン</t>
    </rPh>
    <phoneticPr fontId="4"/>
  </si>
  <si>
    <t>GＪ/千kWh</t>
    <rPh sb="3" eb="4">
      <t>セン</t>
    </rPh>
    <phoneticPr fontId="48"/>
  </si>
  <si>
    <t>電気事業者_夜間買電</t>
  </si>
  <si>
    <t>自家発電</t>
  </si>
  <si>
    <t>自己託送以外_電気事業者からの買電_化石分</t>
  </si>
  <si>
    <t>自己託送
以外</t>
    <rPh sb="0" eb="2">
      <t>ジコ</t>
    </rPh>
    <rPh sb="2" eb="4">
      <t>タクソウ</t>
    </rPh>
    <rPh sb="5" eb="7">
      <t>イガイ</t>
    </rPh>
    <phoneticPr fontId="1"/>
  </si>
  <si>
    <t>電気事業者
からの買電</t>
    <phoneticPr fontId="48"/>
  </si>
  <si>
    <t>化石分</t>
    <rPh sb="0" eb="3">
      <t>カセキブン</t>
    </rPh>
    <phoneticPr fontId="48"/>
  </si>
  <si>
    <t>自己託送以外_電気事業者からの買電_非化石分</t>
  </si>
  <si>
    <t>非化石分</t>
    <rPh sb="0" eb="3">
      <t>ヒカセキ</t>
    </rPh>
    <rPh sb="3" eb="4">
      <t>ブン</t>
    </rPh>
    <phoneticPr fontId="48"/>
  </si>
  <si>
    <t>自己託送以外_オフサイト型PPA_非化石重み付けなし</t>
  </si>
  <si>
    <t>オフサイト型
PPA</t>
    <rPh sb="5" eb="6">
      <t>ガタ</t>
    </rPh>
    <phoneticPr fontId="1"/>
  </si>
  <si>
    <t>非化石
重み付けなし</t>
    <rPh sb="0" eb="3">
      <t>ヒカセキ</t>
    </rPh>
    <rPh sb="4" eb="5">
      <t>オモ</t>
    </rPh>
    <rPh sb="6" eb="7">
      <t>ツ</t>
    </rPh>
    <phoneticPr fontId="48"/>
  </si>
  <si>
    <t>自己託送以外_オフサイト型PPA_非化石重み付けなし</t>
    <phoneticPr fontId="1"/>
  </si>
  <si>
    <t>自己託送以外_オフサイト型PPA_非化石重み付けあり</t>
  </si>
  <si>
    <t>非化石
重み付けあり</t>
    <rPh sb="0" eb="3">
      <t>ヒカセキ</t>
    </rPh>
    <rPh sb="4" eb="5">
      <t>オモ</t>
    </rPh>
    <rPh sb="6" eb="7">
      <t>ツ</t>
    </rPh>
    <phoneticPr fontId="48"/>
  </si>
  <si>
    <t>自己託送_非燃料由来の非化石電気</t>
  </si>
  <si>
    <t>自己託送</t>
    <phoneticPr fontId="1"/>
  </si>
  <si>
    <t>非燃料由来の非化石電気</t>
    <rPh sb="0" eb="1">
      <t>ヒ</t>
    </rPh>
    <rPh sb="1" eb="3">
      <t>ネンリョウ</t>
    </rPh>
    <rPh sb="3" eb="5">
      <t>ユライ</t>
    </rPh>
    <rPh sb="6" eb="9">
      <t>ヒカセキ</t>
    </rPh>
    <rPh sb="9" eb="11">
      <t>デンキ</t>
    </rPh>
    <phoneticPr fontId="6"/>
  </si>
  <si>
    <t>自己託送_上記以外_化石分</t>
  </si>
  <si>
    <t>上記以外</t>
    <rPh sb="0" eb="2">
      <t>ジョウキ</t>
    </rPh>
    <rPh sb="2" eb="4">
      <t>イガイ</t>
    </rPh>
    <phoneticPr fontId="1"/>
  </si>
  <si>
    <t>自己託送_上記以外_非化石分</t>
  </si>
  <si>
    <t>自営線_非燃料由来の非化石電気</t>
  </si>
  <si>
    <t>自営線</t>
    <rPh sb="0" eb="3">
      <t>ジエイセン</t>
    </rPh>
    <phoneticPr fontId="1"/>
  </si>
  <si>
    <t>自営線_上記以外_化石分</t>
  </si>
  <si>
    <t>自営線_上記以外_非化石分</t>
  </si>
  <si>
    <t>自家発電_太陽光</t>
  </si>
  <si>
    <t>自家発電</t>
    <rPh sb="0" eb="2">
      <t>ジカ</t>
    </rPh>
    <rPh sb="2" eb="4">
      <t>ハツデン</t>
    </rPh>
    <phoneticPr fontId="1"/>
  </si>
  <si>
    <t>太陽光</t>
    <rPh sb="0" eb="3">
      <t>タイヨウコウ</t>
    </rPh>
    <phoneticPr fontId="1"/>
  </si>
  <si>
    <t>自家発電_風力</t>
  </si>
  <si>
    <t>風力</t>
    <rPh sb="0" eb="2">
      <t>フウリョク</t>
    </rPh>
    <phoneticPr fontId="1"/>
  </si>
  <si>
    <t>自家発電_地熱</t>
  </si>
  <si>
    <t>自家発電_水力</t>
  </si>
  <si>
    <t>水力</t>
    <rPh sb="0" eb="2">
      <t>スイリョク</t>
    </rPh>
    <phoneticPr fontId="1"/>
  </si>
  <si>
    <t>自家発電_その他_非燃料由来の非化石</t>
  </si>
  <si>
    <t>その他</t>
    <rPh sb="2" eb="3">
      <t>タ</t>
    </rPh>
    <phoneticPr fontId="6"/>
  </si>
  <si>
    <t>非燃料由来
の非化石</t>
    <phoneticPr fontId="1"/>
  </si>
  <si>
    <t>自家発電_その他_上記以外</t>
  </si>
  <si>
    <t>上記以外</t>
    <rPh sb="0" eb="2">
      <t>ジョウキ</t>
    </rPh>
    <rPh sb="2" eb="4">
      <t>イガイ</t>
    </rPh>
    <phoneticPr fontId="48"/>
  </si>
  <si>
    <t>一般その他化石2022</t>
    <phoneticPr fontId="1"/>
  </si>
  <si>
    <t>一般その他非化石2022</t>
    <rPh sb="5" eb="6">
      <t>ヒ</t>
    </rPh>
    <phoneticPr fontId="1"/>
  </si>
  <si>
    <t>一般その他化石2023</t>
  </si>
  <si>
    <t>一般その他非化石2023</t>
    <rPh sb="5" eb="6">
      <t>ヒ</t>
    </rPh>
    <phoneticPr fontId="1"/>
  </si>
  <si>
    <r>
      <t>１．エネルギー起源二酸化炭素（CO</t>
    </r>
    <r>
      <rPr>
        <b/>
        <vertAlign val="subscript"/>
        <sz val="14"/>
        <rFont val="メイリオ"/>
        <family val="3"/>
        <charset val="128"/>
      </rPr>
      <t>2</t>
    </r>
    <r>
      <rPr>
        <b/>
        <sz val="14"/>
        <rFont val="メイリオ"/>
        <family val="3"/>
        <charset val="128"/>
      </rPr>
      <t>）排出量</t>
    </r>
    <rPh sb="7" eb="9">
      <t>キゲン</t>
    </rPh>
    <rPh sb="9" eb="12">
      <t>ニサンカ</t>
    </rPh>
    <rPh sb="12" eb="14">
      <t>タンソ</t>
    </rPh>
    <rPh sb="19" eb="21">
      <t>ハイシュツ</t>
    </rPh>
    <rPh sb="21" eb="22">
      <t>リョウ</t>
    </rPh>
    <phoneticPr fontId="4"/>
  </si>
  <si>
    <t>エネルギー名称区分2022</t>
    <rPh sb="5" eb="7">
      <t>メイショウ</t>
    </rPh>
    <rPh sb="7" eb="9">
      <t>クブン</t>
    </rPh>
    <phoneticPr fontId="1"/>
  </si>
  <si>
    <t>エネルギー名称区分2023</t>
    <rPh sb="5" eb="7">
      <t>メイショウ</t>
    </rPh>
    <rPh sb="7" eb="9">
      <t>クブン</t>
    </rPh>
    <phoneticPr fontId="1"/>
  </si>
  <si>
    <t>燃料の種類</t>
    <phoneticPr fontId="1"/>
  </si>
  <si>
    <t>熱量
(GJ)</t>
    <rPh sb="0" eb="1">
      <t>ネツ</t>
    </rPh>
    <rPh sb="1" eb="2">
      <t>リョウ</t>
    </rPh>
    <phoneticPr fontId="4"/>
  </si>
  <si>
    <r>
      <t>排出量
(t-CO</t>
    </r>
    <r>
      <rPr>
        <vertAlign val="subscript"/>
        <sz val="10"/>
        <color indexed="9"/>
        <rFont val="メイリオ"/>
        <family val="3"/>
        <charset val="128"/>
      </rPr>
      <t>2</t>
    </r>
    <r>
      <rPr>
        <sz val="10"/>
        <color indexed="9"/>
        <rFont val="メイリオ"/>
        <family val="3"/>
        <charset val="128"/>
      </rPr>
      <t>)</t>
    </r>
    <rPh sb="0" eb="1">
      <t>ハイ</t>
    </rPh>
    <rPh sb="1" eb="2">
      <t>デ</t>
    </rPh>
    <rPh sb="2" eb="3">
      <t>リョウ</t>
    </rPh>
    <phoneticPr fontId="4"/>
  </si>
  <si>
    <r>
      <t>t-CO</t>
    </r>
    <r>
      <rPr>
        <b/>
        <vertAlign val="subscript"/>
        <sz val="10"/>
        <color theme="1"/>
        <rFont val="メイリオ"/>
        <family val="3"/>
        <charset val="128"/>
      </rPr>
      <t>2</t>
    </r>
    <phoneticPr fontId="1"/>
  </si>
  <si>
    <r>
      <rPr>
        <sz val="10"/>
        <color indexed="8"/>
        <rFont val="メイリオ"/>
        <family val="3"/>
        <charset val="128"/>
      </rPr>
      <t>千Nm</t>
    </r>
    <r>
      <rPr>
        <vertAlign val="superscript"/>
        <sz val="10"/>
        <color indexed="8"/>
        <rFont val="メイリオ"/>
        <family val="3"/>
        <charset val="128"/>
      </rPr>
      <t>3</t>
    </r>
    <rPh sb="0" eb="1">
      <t>セン</t>
    </rPh>
    <phoneticPr fontId="4"/>
  </si>
  <si>
    <r>
      <t>２．エネルギー起源二酸化炭素（CO</t>
    </r>
    <r>
      <rPr>
        <b/>
        <vertAlign val="subscript"/>
        <sz val="14"/>
        <rFont val="メイリオ"/>
        <family val="3"/>
        <charset val="128"/>
      </rPr>
      <t>2</t>
    </r>
    <r>
      <rPr>
        <b/>
        <sz val="14"/>
        <rFont val="メイリオ"/>
        <family val="3"/>
        <charset val="128"/>
      </rPr>
      <t>）以外の温室効果ガス排出量</t>
    </r>
    <rPh sb="7" eb="9">
      <t>キゲン</t>
    </rPh>
    <rPh sb="9" eb="12">
      <t>ニサンカ</t>
    </rPh>
    <rPh sb="12" eb="14">
      <t>タンソ</t>
    </rPh>
    <rPh sb="19" eb="21">
      <t>イガイ</t>
    </rPh>
    <rPh sb="22" eb="24">
      <t>オンシツ</t>
    </rPh>
    <rPh sb="24" eb="26">
      <t>コウカ</t>
    </rPh>
    <rPh sb="28" eb="30">
      <t>ハイシュツ</t>
    </rPh>
    <rPh sb="30" eb="31">
      <t>リョウ</t>
    </rPh>
    <phoneticPr fontId="4"/>
  </si>
  <si>
    <t>化</t>
    <rPh sb="0" eb="1">
      <t>カ</t>
    </rPh>
    <phoneticPr fontId="4"/>
  </si>
  <si>
    <t>石</t>
    <rPh sb="0" eb="1">
      <t>イシ</t>
    </rPh>
    <phoneticPr fontId="4"/>
  </si>
  <si>
    <t>燃</t>
    <rPh sb="0" eb="1">
      <t>ネン</t>
    </rPh>
    <phoneticPr fontId="4"/>
  </si>
  <si>
    <t>料</t>
    <rPh sb="0" eb="1">
      <t>リョウ</t>
    </rPh>
    <phoneticPr fontId="4"/>
  </si>
  <si>
    <t>そ</t>
    <phoneticPr fontId="1"/>
  </si>
  <si>
    <t>の</t>
    <phoneticPr fontId="1"/>
  </si>
  <si>
    <t>他</t>
    <rPh sb="0" eb="1">
      <t>タ</t>
    </rPh>
    <phoneticPr fontId="1"/>
  </si>
  <si>
    <t>その他の名称</t>
    <phoneticPr fontId="1"/>
  </si>
  <si>
    <t>排出係数</t>
    <phoneticPr fontId="4"/>
  </si>
  <si>
    <r>
      <rPr>
        <sz val="10"/>
        <color indexed="8"/>
        <rFont val="メイリオ"/>
        <family val="3"/>
        <charset val="128"/>
      </rPr>
      <t>千m</t>
    </r>
    <r>
      <rPr>
        <vertAlign val="superscript"/>
        <sz val="10"/>
        <color indexed="8"/>
        <rFont val="メイリオ"/>
        <family val="3"/>
        <charset val="128"/>
      </rPr>
      <t>3</t>
    </r>
    <rPh sb="0" eb="1">
      <t>セン</t>
    </rPh>
    <phoneticPr fontId="4"/>
  </si>
  <si>
    <t>電気の種類</t>
    <phoneticPr fontId="1"/>
  </si>
  <si>
    <t>電気事業者からの買電
電気事業者名</t>
    <rPh sb="0" eb="2">
      <t>デンキ</t>
    </rPh>
    <rPh sb="2" eb="5">
      <t>ジギョウシャ</t>
    </rPh>
    <rPh sb="8" eb="10">
      <t>バイデン</t>
    </rPh>
    <rPh sb="11" eb="13">
      <t>デンキ</t>
    </rPh>
    <rPh sb="13" eb="16">
      <t>ジギョウシャ</t>
    </rPh>
    <rPh sb="16" eb="17">
      <t>メイ</t>
    </rPh>
    <phoneticPr fontId="4"/>
  </si>
  <si>
    <t>昼間買電量
(千kWh)</t>
  </si>
  <si>
    <t>夜間買電量
(千kWh)</t>
  </si>
  <si>
    <r>
      <t>排出係数
(tCO</t>
    </r>
    <r>
      <rPr>
        <vertAlign val="subscript"/>
        <sz val="10"/>
        <color theme="1"/>
        <rFont val="メイリオ"/>
        <family val="3"/>
        <charset val="128"/>
      </rPr>
      <t>2</t>
    </r>
    <r>
      <rPr>
        <sz val="10"/>
        <color theme="1"/>
        <rFont val="メイリオ"/>
        <family val="3"/>
        <charset val="128"/>
      </rPr>
      <t>/千kWh)</t>
    </r>
    <phoneticPr fontId="4"/>
  </si>
  <si>
    <r>
      <t>昼間排出量
(t-CO</t>
    </r>
    <r>
      <rPr>
        <vertAlign val="subscript"/>
        <sz val="10"/>
        <color theme="1"/>
        <rFont val="メイリオ"/>
        <family val="3"/>
        <charset val="128"/>
      </rPr>
      <t>2</t>
    </r>
    <r>
      <rPr>
        <sz val="10"/>
        <color theme="1"/>
        <rFont val="メイリオ"/>
        <family val="3"/>
        <charset val="128"/>
      </rPr>
      <t>)</t>
    </r>
    <phoneticPr fontId="4"/>
  </si>
  <si>
    <r>
      <t>夜間排出量
(t-CO</t>
    </r>
    <r>
      <rPr>
        <vertAlign val="subscript"/>
        <sz val="10"/>
        <color theme="1"/>
        <rFont val="メイリオ"/>
        <family val="3"/>
        <charset val="128"/>
      </rPr>
      <t>2</t>
    </r>
    <r>
      <rPr>
        <sz val="10"/>
        <color theme="1"/>
        <rFont val="メイリオ"/>
        <family val="3"/>
        <charset val="128"/>
      </rPr>
      <t>)</t>
    </r>
    <phoneticPr fontId="4"/>
  </si>
  <si>
    <t>電気事業者からの買電</t>
    <rPh sb="8" eb="10">
      <t>バイデン</t>
    </rPh>
    <phoneticPr fontId="11"/>
  </si>
  <si>
    <t>電</t>
    <rPh sb="0" eb="1">
      <t>デン</t>
    </rPh>
    <phoneticPr fontId="4"/>
  </si>
  <si>
    <t>自己託送以外_電気事業者からの買電_非化石分</t>
    <phoneticPr fontId="1"/>
  </si>
  <si>
    <t>うち非化石</t>
    <rPh sb="2" eb="5">
      <t>ヒカセキ</t>
    </rPh>
    <phoneticPr fontId="11"/>
  </si>
  <si>
    <t>その他買電</t>
  </si>
  <si>
    <t>上記以外の買電</t>
    <rPh sb="0" eb="2">
      <t>ジョウキ</t>
    </rPh>
    <rPh sb="2" eb="4">
      <t>イガイ</t>
    </rPh>
    <rPh sb="5" eb="7">
      <t>バイデン</t>
    </rPh>
    <phoneticPr fontId="11"/>
  </si>
  <si>
    <t>---------------</t>
    <phoneticPr fontId="1"/>
  </si>
  <si>
    <t>気</t>
    <rPh sb="0" eb="1">
      <t>キ</t>
    </rPh>
    <phoneticPr fontId="4"/>
  </si>
  <si>
    <t>自家発電
買電</t>
    <rPh sb="0" eb="2">
      <t>ジカ</t>
    </rPh>
    <rPh sb="2" eb="4">
      <t>ハツデン</t>
    </rPh>
    <rPh sb="5" eb="7">
      <t>バイデン</t>
    </rPh>
    <phoneticPr fontId="11"/>
  </si>
  <si>
    <t>自家消費した非化石電気</t>
    <rPh sb="0" eb="2">
      <t>ジカ</t>
    </rPh>
    <rPh sb="2" eb="4">
      <t>ショウヒ</t>
    </rPh>
    <rPh sb="6" eb="9">
      <t>ヒカセキ</t>
    </rPh>
    <rPh sb="9" eb="11">
      <t>デンキ</t>
    </rPh>
    <phoneticPr fontId="1"/>
  </si>
  <si>
    <t>うち非化石    小　計</t>
    <phoneticPr fontId="1"/>
  </si>
  <si>
    <t>上記以外の買電</t>
    <rPh sb="0" eb="2">
      <t>ジョウキ</t>
    </rPh>
    <rPh sb="2" eb="4">
      <t>イガイ</t>
    </rPh>
    <rPh sb="5" eb="7">
      <t>バイデン</t>
    </rPh>
    <phoneticPr fontId="4"/>
  </si>
  <si>
    <t>熱量
(GJ)</t>
    <rPh sb="0" eb="2">
      <t>ネツリョウ</t>
    </rPh>
    <phoneticPr fontId="1"/>
  </si>
  <si>
    <t>オフサイト型PPA</t>
    <rPh sb="5" eb="6">
      <t>ガタ</t>
    </rPh>
    <phoneticPr fontId="1"/>
  </si>
  <si>
    <t>自己託送（非燃料由来の非化石電気）</t>
    <rPh sb="0" eb="2">
      <t>ジコ</t>
    </rPh>
    <rPh sb="2" eb="4">
      <t>タクソウ</t>
    </rPh>
    <rPh sb="5" eb="6">
      <t>ヒ</t>
    </rPh>
    <rPh sb="6" eb="8">
      <t>ネンリョウ</t>
    </rPh>
    <rPh sb="8" eb="10">
      <t>ユライ</t>
    </rPh>
    <rPh sb="11" eb="14">
      <t>ヒカセキ</t>
    </rPh>
    <rPh sb="14" eb="16">
      <t>デンキ</t>
    </rPh>
    <phoneticPr fontId="6"/>
  </si>
  <si>
    <t>上記以外の自己託送</t>
    <phoneticPr fontId="1"/>
  </si>
  <si>
    <t>温室効果ガスの種類</t>
    <phoneticPr fontId="1"/>
  </si>
  <si>
    <r>
      <t>非エネルギー起源二酸化炭素（CO</t>
    </r>
    <r>
      <rPr>
        <vertAlign val="subscript"/>
        <sz val="10"/>
        <rFont val="メイリオ"/>
        <family val="3"/>
        <charset val="128"/>
      </rPr>
      <t>2</t>
    </r>
    <r>
      <rPr>
        <sz val="10"/>
        <rFont val="メイリオ"/>
        <family val="3"/>
        <charset val="128"/>
      </rPr>
      <t>）</t>
    </r>
    <rPh sb="0" eb="1">
      <t>ヒ</t>
    </rPh>
    <rPh sb="6" eb="8">
      <t>キゲン</t>
    </rPh>
    <rPh sb="8" eb="11">
      <t>ニサンカ</t>
    </rPh>
    <rPh sb="11" eb="13">
      <t>タンソ</t>
    </rPh>
    <phoneticPr fontId="1"/>
  </si>
  <si>
    <r>
      <t>メタン（CH</t>
    </r>
    <r>
      <rPr>
        <vertAlign val="subscript"/>
        <sz val="10"/>
        <rFont val="メイリオ"/>
        <family val="3"/>
        <charset val="128"/>
      </rPr>
      <t>4</t>
    </r>
    <r>
      <rPr>
        <sz val="10"/>
        <rFont val="メイリオ"/>
        <family val="3"/>
        <charset val="128"/>
      </rPr>
      <t>）</t>
    </r>
    <phoneticPr fontId="4"/>
  </si>
  <si>
    <r>
      <t>一酸化二窒素（N</t>
    </r>
    <r>
      <rPr>
        <vertAlign val="subscript"/>
        <sz val="10"/>
        <rFont val="メイリオ"/>
        <family val="3"/>
        <charset val="128"/>
      </rPr>
      <t>2</t>
    </r>
    <r>
      <rPr>
        <sz val="10"/>
        <rFont val="メイリオ"/>
        <family val="3"/>
        <charset val="128"/>
      </rPr>
      <t>O）</t>
    </r>
    <rPh sb="0" eb="3">
      <t>イッサンカ</t>
    </rPh>
    <rPh sb="3" eb="4">
      <t>ニ</t>
    </rPh>
    <rPh sb="4" eb="6">
      <t>チッソ</t>
    </rPh>
    <phoneticPr fontId="4"/>
  </si>
  <si>
    <r>
      <t>六フッ化硫黄（SF</t>
    </r>
    <r>
      <rPr>
        <vertAlign val="subscript"/>
        <sz val="10"/>
        <rFont val="メイリオ"/>
        <family val="3"/>
        <charset val="128"/>
      </rPr>
      <t>6</t>
    </r>
    <r>
      <rPr>
        <sz val="10"/>
        <rFont val="メイリオ"/>
        <family val="3"/>
        <charset val="128"/>
      </rPr>
      <t>）</t>
    </r>
    <rPh sb="0" eb="1">
      <t>ロク</t>
    </rPh>
    <rPh sb="3" eb="4">
      <t>カ</t>
    </rPh>
    <rPh sb="4" eb="6">
      <t>イオウ</t>
    </rPh>
    <phoneticPr fontId="4"/>
  </si>
  <si>
    <r>
      <t>三フッ化窒素（NF</t>
    </r>
    <r>
      <rPr>
        <vertAlign val="subscript"/>
        <sz val="10"/>
        <rFont val="メイリオ"/>
        <family val="3"/>
        <charset val="128"/>
      </rPr>
      <t>3</t>
    </r>
    <r>
      <rPr>
        <sz val="10"/>
        <rFont val="メイリオ"/>
        <family val="3"/>
        <charset val="128"/>
      </rPr>
      <t>）</t>
    </r>
    <rPh sb="0" eb="1">
      <t>サン</t>
    </rPh>
    <rPh sb="3" eb="4">
      <t>カ</t>
    </rPh>
    <rPh sb="4" eb="6">
      <t>チッソ</t>
    </rPh>
    <phoneticPr fontId="4"/>
  </si>
  <si>
    <t>自家発電</t>
    <phoneticPr fontId="1"/>
  </si>
  <si>
    <t>自家消費した非化石電気</t>
    <rPh sb="0" eb="4">
      <t>ジカショウヒ</t>
    </rPh>
    <rPh sb="6" eb="11">
      <t>ヒカセキデンキ</t>
    </rPh>
    <phoneticPr fontId="4"/>
  </si>
  <si>
    <t>使用量
(千kWh)</t>
    <rPh sb="0" eb="2">
      <t>シヨウ</t>
    </rPh>
    <phoneticPr fontId="4"/>
  </si>
  <si>
    <t>産業用蒸気_非化石</t>
    <rPh sb="0" eb="3">
      <t>サンギョウヨウ</t>
    </rPh>
    <rPh sb="3" eb="5">
      <t>ジョウキ</t>
    </rPh>
    <phoneticPr fontId="11"/>
  </si>
  <si>
    <t>クレジット等の種類</t>
    <phoneticPr fontId="1"/>
  </si>
  <si>
    <t>その他（非燃料由来の非化石）</t>
    <rPh sb="2" eb="3">
      <t>タ</t>
    </rPh>
    <rPh sb="4" eb="7">
      <t>ヒネンリョウ</t>
    </rPh>
    <rPh sb="7" eb="9">
      <t>ユライ</t>
    </rPh>
    <rPh sb="10" eb="13">
      <t>ヒカセキ</t>
    </rPh>
    <phoneticPr fontId="1"/>
  </si>
  <si>
    <t>・</t>
    <phoneticPr fontId="1"/>
  </si>
  <si>
    <t>うち非化石(%)
（任意入力）</t>
    <rPh sb="10" eb="14">
      <t>ニンイニュウリョク</t>
    </rPh>
    <phoneticPr fontId="4"/>
  </si>
  <si>
    <t>2022年度　燃料種別の単位発熱量及び炭素排出係数</t>
    <rPh sb="19" eb="21">
      <t>タンソ</t>
    </rPh>
    <phoneticPr fontId="4"/>
  </si>
  <si>
    <t>2023年度　燃料種別の単位発熱量及び炭素排出係数</t>
    <rPh sb="19" eb="21">
      <t>タンソ</t>
    </rPh>
    <phoneticPr fontId="4"/>
  </si>
  <si>
    <t>tC/GJ</t>
    <phoneticPr fontId="1"/>
  </si>
  <si>
    <t>tCO2/GJ</t>
    <phoneticPr fontId="1"/>
  </si>
  <si>
    <t>熱の種類</t>
    <rPh sb="0" eb="1">
      <t>ネツ</t>
    </rPh>
    <rPh sb="2" eb="4">
      <t>シュルイ</t>
    </rPh>
    <phoneticPr fontId="4"/>
  </si>
  <si>
    <t>冷水</t>
    <phoneticPr fontId="1"/>
  </si>
  <si>
    <t>産業用以外の蒸気</t>
    <phoneticPr fontId="11"/>
  </si>
  <si>
    <t>非化石燃料・
非化石熱</t>
    <rPh sb="0" eb="3">
      <t>ヒカセキ</t>
    </rPh>
    <rPh sb="3" eb="5">
      <t>ネンリョウ</t>
    </rPh>
    <rPh sb="7" eb="10">
      <t>ヒカセキ</t>
    </rPh>
    <rPh sb="10" eb="11">
      <t>ネツ</t>
    </rPh>
    <phoneticPr fontId="1"/>
  </si>
  <si>
    <t>千kWh</t>
    <phoneticPr fontId="4"/>
  </si>
  <si>
    <t>燃料等の種類</t>
    <rPh sb="0" eb="2">
      <t>ネンリョウ</t>
    </rPh>
    <rPh sb="2" eb="3">
      <t>トウ</t>
    </rPh>
    <rPh sb="4" eb="6">
      <t>シュルイ</t>
    </rPh>
    <phoneticPr fontId="1"/>
  </si>
  <si>
    <t>熱量内訳</t>
    <rPh sb="0" eb="2">
      <t>ネツリョウ</t>
    </rPh>
    <rPh sb="2" eb="4">
      <t>ウチワケ</t>
    </rPh>
    <phoneticPr fontId="1"/>
  </si>
  <si>
    <t>うち非化石熱量</t>
    <rPh sb="2" eb="5">
      <t>ヒカセキ</t>
    </rPh>
    <rPh sb="5" eb="7">
      <t>ネツリョウ</t>
    </rPh>
    <phoneticPr fontId="1"/>
  </si>
  <si>
    <t>非化石割合</t>
    <rPh sb="0" eb="3">
      <t>ヒカセキ</t>
    </rPh>
    <rPh sb="3" eb="5">
      <t>ワリアイ</t>
    </rPh>
    <phoneticPr fontId="1"/>
  </si>
  <si>
    <t>熱量合計（電気以外）</t>
    <rPh sb="5" eb="7">
      <t>デンキ</t>
    </rPh>
    <rPh sb="7" eb="9">
      <t>イガイ</t>
    </rPh>
    <phoneticPr fontId="4"/>
  </si>
  <si>
    <t>電気使用量</t>
    <rPh sb="0" eb="2">
      <t>デンキ</t>
    </rPh>
    <rPh sb="2" eb="5">
      <t>シヨウリョウ</t>
    </rPh>
    <phoneticPr fontId="1"/>
  </si>
  <si>
    <t>うち非化石電気使用量</t>
    <phoneticPr fontId="1"/>
  </si>
  <si>
    <r>
      <t>kWh</t>
    </r>
    <r>
      <rPr>
        <sz val="11"/>
        <color theme="1"/>
        <rFont val="メイリオ"/>
        <family val="3"/>
        <charset val="128"/>
      </rPr>
      <t xml:space="preserve"> </t>
    </r>
    <phoneticPr fontId="1"/>
  </si>
  <si>
    <t xml:space="preserve">kWh </t>
    <phoneticPr fontId="1"/>
  </si>
  <si>
    <t>非化石燃料・非化石熱</t>
    <rPh sb="0" eb="3">
      <t>ヒカセキ</t>
    </rPh>
    <rPh sb="3" eb="5">
      <t>ネンリョウ</t>
    </rPh>
    <rPh sb="6" eb="10">
      <t>ヒカセキネツ</t>
    </rPh>
    <phoneticPr fontId="1"/>
  </si>
  <si>
    <t>化石燃料・熱</t>
    <rPh sb="0" eb="2">
      <t>カセキ</t>
    </rPh>
    <rPh sb="2" eb="4">
      <t>ネンリョウ</t>
    </rPh>
    <rPh sb="5" eb="6">
      <t>ネツ</t>
    </rPh>
    <phoneticPr fontId="1"/>
  </si>
  <si>
    <r>
      <t>排出係数
(tCO</t>
    </r>
    <r>
      <rPr>
        <vertAlign val="subscript"/>
        <sz val="10"/>
        <rFont val="メイリオ"/>
        <family val="3"/>
        <charset val="128"/>
      </rPr>
      <t>2</t>
    </r>
    <r>
      <rPr>
        <sz val="10"/>
        <rFont val="メイリオ"/>
        <family val="3"/>
        <charset val="128"/>
      </rPr>
      <t>/千kWh)</t>
    </r>
    <phoneticPr fontId="4"/>
  </si>
  <si>
    <r>
      <t>昼間排出量
(t-CO</t>
    </r>
    <r>
      <rPr>
        <vertAlign val="subscript"/>
        <sz val="10"/>
        <rFont val="メイリオ"/>
        <family val="3"/>
        <charset val="128"/>
      </rPr>
      <t>2</t>
    </r>
    <r>
      <rPr>
        <sz val="10"/>
        <rFont val="メイリオ"/>
        <family val="3"/>
        <charset val="128"/>
      </rPr>
      <t>)</t>
    </r>
    <phoneticPr fontId="4"/>
  </si>
  <si>
    <r>
      <t>夜間排出量
(t-CO</t>
    </r>
    <r>
      <rPr>
        <vertAlign val="subscript"/>
        <sz val="10"/>
        <rFont val="メイリオ"/>
        <family val="3"/>
        <charset val="128"/>
      </rPr>
      <t>2</t>
    </r>
    <r>
      <rPr>
        <sz val="10"/>
        <rFont val="メイリオ"/>
        <family val="3"/>
        <charset val="128"/>
      </rPr>
      <t>)</t>
    </r>
    <phoneticPr fontId="4"/>
  </si>
  <si>
    <r>
      <t>排出量
(t-CO</t>
    </r>
    <r>
      <rPr>
        <vertAlign val="subscript"/>
        <sz val="10"/>
        <rFont val="メイリオ"/>
        <family val="3"/>
        <charset val="128"/>
      </rPr>
      <t>2</t>
    </r>
    <r>
      <rPr>
        <sz val="10"/>
        <rFont val="メイリオ"/>
        <family val="3"/>
        <charset val="128"/>
      </rPr>
      <t>)</t>
    </r>
    <phoneticPr fontId="4"/>
  </si>
  <si>
    <r>
      <t>排出量
(t-CO</t>
    </r>
    <r>
      <rPr>
        <vertAlign val="subscript"/>
        <sz val="10"/>
        <rFont val="メイリオ"/>
        <family val="3"/>
        <charset val="128"/>
      </rPr>
      <t>2</t>
    </r>
    <r>
      <rPr>
        <sz val="10"/>
        <rFont val="メイリオ"/>
        <family val="3"/>
        <charset val="128"/>
      </rPr>
      <t>)</t>
    </r>
    <rPh sb="0" eb="2">
      <t>ハイシュツ</t>
    </rPh>
    <phoneticPr fontId="4"/>
  </si>
  <si>
    <r>
      <t>t-CO</t>
    </r>
    <r>
      <rPr>
        <b/>
        <vertAlign val="subscript"/>
        <sz val="10"/>
        <rFont val="メイリオ"/>
        <family val="3"/>
        <charset val="128"/>
      </rPr>
      <t>2</t>
    </r>
    <phoneticPr fontId="1"/>
  </si>
  <si>
    <r>
      <t>kWh</t>
    </r>
    <r>
      <rPr>
        <sz val="11"/>
        <rFont val="メイリオ"/>
        <family val="3"/>
        <charset val="128"/>
      </rPr>
      <t xml:space="preserve"> </t>
    </r>
    <phoneticPr fontId="1"/>
  </si>
  <si>
    <r>
      <t>千m</t>
    </r>
    <r>
      <rPr>
        <vertAlign val="superscript"/>
        <sz val="10"/>
        <rFont val="メイリオ"/>
        <family val="3"/>
        <charset val="128"/>
      </rPr>
      <t>3</t>
    </r>
    <rPh sb="0" eb="1">
      <t>セン</t>
    </rPh>
    <phoneticPr fontId="4"/>
  </si>
  <si>
    <t>非化石電気</t>
    <phoneticPr fontId="1"/>
  </si>
  <si>
    <t>その他非化石
エネルギー等</t>
    <rPh sb="2" eb="3">
      <t>タ</t>
    </rPh>
    <rPh sb="3" eb="6">
      <t>ヒカセキ</t>
    </rPh>
    <rPh sb="12" eb="13">
      <t>トウ</t>
    </rPh>
    <phoneticPr fontId="1"/>
  </si>
  <si>
    <t>事業者温室効果ガス削減計画書概要（第二計画期間）</t>
    <rPh sb="0" eb="3">
      <t>ジギョウシャ</t>
    </rPh>
    <rPh sb="3" eb="5">
      <t>オンシツ</t>
    </rPh>
    <rPh sb="5" eb="7">
      <t>コウカ</t>
    </rPh>
    <rPh sb="9" eb="11">
      <t>サクゲン</t>
    </rPh>
    <rPh sb="11" eb="13">
      <t>ケイカク</t>
    </rPh>
    <rPh sb="13" eb="14">
      <t>ショ</t>
    </rPh>
    <rPh sb="14" eb="16">
      <t>ガイヨウ</t>
    </rPh>
    <rPh sb="17" eb="19">
      <t>ダイニ</t>
    </rPh>
    <phoneticPr fontId="1"/>
  </si>
  <si>
    <t>提出年月日1</t>
    <rPh sb="0" eb="2">
      <t>テイシュツ</t>
    </rPh>
    <rPh sb="2" eb="5">
      <t>ネンガッピ</t>
    </rPh>
    <phoneticPr fontId="23"/>
  </si>
  <si>
    <t>提出年月日2</t>
    <rPh sb="0" eb="2">
      <t>テイシュツ</t>
    </rPh>
    <rPh sb="2" eb="5">
      <t>ネンガッピ</t>
    </rPh>
    <phoneticPr fontId="23"/>
  </si>
  <si>
    <t>提出年月日3</t>
    <rPh sb="0" eb="2">
      <t>テイシュツ</t>
    </rPh>
    <rPh sb="2" eb="5">
      <t>ネンガッピ</t>
    </rPh>
    <phoneticPr fontId="23"/>
  </si>
  <si>
    <t>H25</t>
    <phoneticPr fontId="1"/>
  </si>
  <si>
    <t>M25</t>
    <phoneticPr fontId="1"/>
  </si>
  <si>
    <t>２．非化石電気</t>
    <rPh sb="2" eb="3">
      <t>ヒ</t>
    </rPh>
    <rPh sb="3" eb="5">
      <t>カセキ</t>
    </rPh>
    <rPh sb="5" eb="7">
      <t>デンキ</t>
    </rPh>
    <phoneticPr fontId="2"/>
  </si>
  <si>
    <t>２．その他の非化石エネルギー</t>
    <rPh sb="4" eb="5">
      <t>タ</t>
    </rPh>
    <rPh sb="6" eb="7">
      <t>ヒ</t>
    </rPh>
    <rPh sb="7" eb="9">
      <t>カセキ</t>
    </rPh>
    <phoneticPr fontId="2"/>
  </si>
  <si>
    <t>C28</t>
    <phoneticPr fontId="1"/>
  </si>
  <si>
    <t>J10</t>
  </si>
  <si>
    <t>J11</t>
  </si>
  <si>
    <t>I13</t>
    <phoneticPr fontId="1"/>
  </si>
  <si>
    <t>I14</t>
    <phoneticPr fontId="1"/>
  </si>
  <si>
    <t>G47</t>
    <phoneticPr fontId="1"/>
  </si>
  <si>
    <t>G48</t>
    <phoneticPr fontId="1"/>
  </si>
  <si>
    <t>G49</t>
  </si>
  <si>
    <t>G50</t>
  </si>
  <si>
    <t>G51</t>
  </si>
  <si>
    <t>G52</t>
  </si>
  <si>
    <t>G53</t>
  </si>
  <si>
    <t>C59</t>
    <phoneticPr fontId="1"/>
  </si>
  <si>
    <t>C60</t>
    <phoneticPr fontId="1"/>
  </si>
  <si>
    <t>C61</t>
  </si>
  <si>
    <t>C62</t>
  </si>
  <si>
    <t>G59</t>
    <phoneticPr fontId="1"/>
  </si>
  <si>
    <t>G60</t>
    <phoneticPr fontId="1"/>
  </si>
  <si>
    <t>G61</t>
  </si>
  <si>
    <t>G62</t>
  </si>
  <si>
    <t>G63</t>
  </si>
  <si>
    <t>G64</t>
  </si>
  <si>
    <t>G65</t>
  </si>
  <si>
    <t>G71</t>
    <phoneticPr fontId="1"/>
  </si>
  <si>
    <t>G72</t>
    <phoneticPr fontId="1"/>
  </si>
  <si>
    <t>G73</t>
  </si>
  <si>
    <t>自家発電_売電量</t>
    <rPh sb="0" eb="4">
      <t>ジカハツデン</t>
    </rPh>
    <rPh sb="5" eb="7">
      <t>バイデン</t>
    </rPh>
    <rPh sb="7" eb="8">
      <t>リョウ</t>
    </rPh>
    <phoneticPr fontId="1"/>
  </si>
  <si>
    <t>自家発電_排出係数</t>
    <rPh sb="0" eb="4">
      <t>ジカハツデン</t>
    </rPh>
    <rPh sb="5" eb="7">
      <t>ハイシュツ</t>
    </rPh>
    <rPh sb="7" eb="9">
      <t>ケイスウ</t>
    </rPh>
    <phoneticPr fontId="1"/>
  </si>
  <si>
    <t>自家発電_換算係数</t>
    <rPh sb="0" eb="4">
      <t>ジカハツデン</t>
    </rPh>
    <rPh sb="5" eb="9">
      <t>カンサンケイスウ</t>
    </rPh>
    <phoneticPr fontId="1"/>
  </si>
  <si>
    <t>V63</t>
    <phoneticPr fontId="1"/>
  </si>
  <si>
    <t>W63</t>
    <phoneticPr fontId="1"/>
  </si>
  <si>
    <t>X63</t>
    <phoneticPr fontId="1"/>
  </si>
  <si>
    <t>L18</t>
    <phoneticPr fontId="1"/>
  </si>
  <si>
    <t>L19</t>
    <phoneticPr fontId="1"/>
  </si>
  <si>
    <t>L22</t>
  </si>
  <si>
    <t>O18</t>
    <phoneticPr fontId="1"/>
  </si>
  <si>
    <t>O19</t>
    <phoneticPr fontId="1"/>
  </si>
  <si>
    <t>O20</t>
  </si>
  <si>
    <t>O21</t>
  </si>
  <si>
    <t>O22</t>
  </si>
  <si>
    <t>電気事業者名1</t>
    <rPh sb="0" eb="6">
      <t>デンキジギョウシャメイ</t>
    </rPh>
    <phoneticPr fontId="1"/>
  </si>
  <si>
    <t>電気事業者名2</t>
    <rPh sb="0" eb="6">
      <t>デンキジギョウシャメイ</t>
    </rPh>
    <phoneticPr fontId="1"/>
  </si>
  <si>
    <t>電気事業者名3</t>
    <rPh sb="0" eb="6">
      <t>デンキジギョウシャメイ</t>
    </rPh>
    <phoneticPr fontId="1"/>
  </si>
  <si>
    <t>電気事業者名4</t>
    <rPh sb="0" eb="6">
      <t>デンキジギョウシャメイ</t>
    </rPh>
    <phoneticPr fontId="1"/>
  </si>
  <si>
    <t>電気事業者名5</t>
    <rPh sb="0" eb="6">
      <t>デンキジギョウシャメイ</t>
    </rPh>
    <phoneticPr fontId="1"/>
  </si>
  <si>
    <t>電気事業者名1_排出係数</t>
    <rPh sb="0" eb="6">
      <t>デンキジギョウシャメイ</t>
    </rPh>
    <rPh sb="8" eb="12">
      <t>ハイシュツケイスウ</t>
    </rPh>
    <phoneticPr fontId="1"/>
  </si>
  <si>
    <t>電気事業者名2_排出係数</t>
    <rPh sb="0" eb="6">
      <t>デンキジギョウシャメイ</t>
    </rPh>
    <rPh sb="8" eb="12">
      <t>ハイシュツケイスウ</t>
    </rPh>
    <phoneticPr fontId="1"/>
  </si>
  <si>
    <t>電気事業者名3_排出係数</t>
    <rPh sb="0" eb="6">
      <t>デンキジギョウシャメイ</t>
    </rPh>
    <rPh sb="8" eb="12">
      <t>ハイシュツケイスウ</t>
    </rPh>
    <phoneticPr fontId="1"/>
  </si>
  <si>
    <t>電気事業者名4_排出係数</t>
    <rPh sb="0" eb="6">
      <t>デンキジギョウシャメイ</t>
    </rPh>
    <rPh sb="8" eb="12">
      <t>ハイシュツケイスウ</t>
    </rPh>
    <phoneticPr fontId="1"/>
  </si>
  <si>
    <t>電気事業者名5_排出係数</t>
    <rPh sb="0" eb="6">
      <t>デンキジギョウシャメイ</t>
    </rPh>
    <rPh sb="8" eb="12">
      <t>ハイシュツケイスウ</t>
    </rPh>
    <phoneticPr fontId="1"/>
  </si>
  <si>
    <t>その他買電_名称1</t>
    <rPh sb="2" eb="5">
      <t>タバイデン</t>
    </rPh>
    <rPh sb="6" eb="8">
      <t>メイショウ</t>
    </rPh>
    <phoneticPr fontId="1"/>
  </si>
  <si>
    <t>その他買電_名称2</t>
    <rPh sb="2" eb="5">
      <t>タバイデン</t>
    </rPh>
    <rPh sb="6" eb="8">
      <t>メイショウ</t>
    </rPh>
    <phoneticPr fontId="1"/>
  </si>
  <si>
    <t>その他買電_名称1_買電量1</t>
    <rPh sb="2" eb="5">
      <t>タバイデン</t>
    </rPh>
    <rPh sb="6" eb="8">
      <t>メイショウ</t>
    </rPh>
    <rPh sb="10" eb="13">
      <t>バイデンリョウ</t>
    </rPh>
    <phoneticPr fontId="1"/>
  </si>
  <si>
    <t>その他買電_名称2_買電量2</t>
    <rPh sb="2" eb="5">
      <t>タバイデン</t>
    </rPh>
    <rPh sb="6" eb="8">
      <t>メイショウ</t>
    </rPh>
    <rPh sb="10" eb="13">
      <t>バイデンリョウ</t>
    </rPh>
    <phoneticPr fontId="1"/>
  </si>
  <si>
    <t>その他買電_名称1_排出係数1</t>
    <rPh sb="2" eb="5">
      <t>タバイデン</t>
    </rPh>
    <rPh sb="6" eb="8">
      <t>メイショウ</t>
    </rPh>
    <phoneticPr fontId="1"/>
  </si>
  <si>
    <t>その他買電_名称2_排出係数2</t>
    <rPh sb="2" eb="5">
      <t>タバイデン</t>
    </rPh>
    <rPh sb="6" eb="8">
      <t>メイショウ</t>
    </rPh>
    <phoneticPr fontId="1"/>
  </si>
  <si>
    <t>L35</t>
    <phoneticPr fontId="1"/>
  </si>
  <si>
    <t>M34</t>
  </si>
  <si>
    <t>N34</t>
  </si>
  <si>
    <t>V57</t>
    <phoneticPr fontId="1"/>
  </si>
  <si>
    <t>V58</t>
    <phoneticPr fontId="1"/>
  </si>
  <si>
    <t>W57</t>
  </si>
  <si>
    <t>W58</t>
  </si>
  <si>
    <t>Y57</t>
  </si>
  <si>
    <t>Y58</t>
  </si>
  <si>
    <t>揮発油（ガソリン）_4月使用量</t>
  </si>
  <si>
    <t>灯油_4月使用量</t>
  </si>
  <si>
    <t>軽油_4月使用量</t>
  </si>
  <si>
    <t>Ａ重油_4月使用量</t>
  </si>
  <si>
    <t>Ｂ・Ｃ重油_4月使用量</t>
  </si>
  <si>
    <t>液化石油ガス     (LPG)_4月使用量</t>
  </si>
  <si>
    <t>都市ガス_4月使用量</t>
  </si>
  <si>
    <t>電力会社名1昼間買電_4月使用量</t>
  </si>
  <si>
    <t>電力会社名1夜間買電_4月使用量</t>
  </si>
  <si>
    <t>電力会社名2昼間買電_4月使用量</t>
  </si>
  <si>
    <t>電力会社名2夜間買電_4月使用量</t>
  </si>
  <si>
    <t>電力会社名3昼間買電_4月使用量</t>
  </si>
  <si>
    <t>電力会社名3夜間買電_4月使用量</t>
  </si>
  <si>
    <t>電力会社名4昼間買電_4月使用量</t>
  </si>
  <si>
    <t>電力会社名4夜間買電_4月使用量</t>
  </si>
  <si>
    <t>電力会社名5昼間買電_4月使用量</t>
  </si>
  <si>
    <t>電力会社名5夜間買電_4月使用量</t>
  </si>
  <si>
    <t>揮発油（ガソリン）_5月使用量</t>
  </si>
  <si>
    <t>灯油_5月使用量</t>
  </si>
  <si>
    <t>軽油_5月使用量</t>
  </si>
  <si>
    <t>Ａ重油_5月使用量</t>
  </si>
  <si>
    <t>Ｂ・Ｃ重油_5月使用量</t>
  </si>
  <si>
    <t>液化石油ガス     (LPG)_5月使用量</t>
  </si>
  <si>
    <t>都市ガス_5月使用量</t>
  </si>
  <si>
    <t>電力会社名1昼間買電_5月使用量</t>
  </si>
  <si>
    <t>電力会社名1夜間買電_5月使用量</t>
  </si>
  <si>
    <t>電力会社名2昼間買電_5月使用量</t>
  </si>
  <si>
    <t>電力会社名2夜間買電_5月使用量</t>
  </si>
  <si>
    <t>電力会社名3昼間買電_5月使用量</t>
  </si>
  <si>
    <t>電力会社名3夜間買電_5月使用量</t>
  </si>
  <si>
    <t>電力会社名4昼間買電_5月使用量</t>
  </si>
  <si>
    <t>電力会社名4夜間買電_5月使用量</t>
  </si>
  <si>
    <t>電力会社名5昼間買電_5月使用量</t>
  </si>
  <si>
    <t>電力会社名5夜間買電_5月使用量</t>
  </si>
  <si>
    <t>揮発油（ガソリン）_6月使用量</t>
  </si>
  <si>
    <t>灯油_6月使用量</t>
  </si>
  <si>
    <t>軽油_6月使用量</t>
  </si>
  <si>
    <t>Ａ重油_6月使用量</t>
  </si>
  <si>
    <t>Ｂ・Ｃ重油_6月使用量</t>
  </si>
  <si>
    <t>液化石油ガス     (LPG)_6月使用量</t>
  </si>
  <si>
    <t>都市ガス_6月使用量</t>
  </si>
  <si>
    <t>電力会社名1昼間買電_6月使用量</t>
  </si>
  <si>
    <t>電力会社名1夜間買電_6月使用量</t>
  </si>
  <si>
    <t>電力会社名2昼間買電_6月使用量</t>
  </si>
  <si>
    <t>電力会社名2夜間買電_6月使用量</t>
  </si>
  <si>
    <t>電力会社名3昼間買電_6月使用量</t>
  </si>
  <si>
    <t>電力会社名3夜間買電_6月使用量</t>
  </si>
  <si>
    <t>電力会社名4昼間買電_6月使用量</t>
  </si>
  <si>
    <t>電力会社名4夜間買電_6月使用量</t>
  </si>
  <si>
    <t>電力会社名5昼間買電_6月使用量</t>
  </si>
  <si>
    <t>電力会社名5夜間買電_6月使用量</t>
  </si>
  <si>
    <t>揮発油（ガソリン）_7月使用量</t>
  </si>
  <si>
    <t>灯油_7月使用量</t>
  </si>
  <si>
    <t>軽油_7月使用量</t>
  </si>
  <si>
    <t>Ａ重油_7月使用量</t>
  </si>
  <si>
    <t>Ｂ・Ｃ重油_7月使用量</t>
  </si>
  <si>
    <t>液化石油ガス     (LPG)_7月使用量</t>
  </si>
  <si>
    <t>都市ガス_7月使用量</t>
  </si>
  <si>
    <t>電力会社名1昼間買電_7月使用量</t>
  </si>
  <si>
    <t>電力会社名1夜間買電_7月使用量</t>
  </si>
  <si>
    <t>電力会社名2昼間買電_7月使用量</t>
  </si>
  <si>
    <t>電力会社名2夜間買電_7月使用量</t>
  </si>
  <si>
    <t>電力会社名3昼間買電_7月使用量</t>
  </si>
  <si>
    <t>電力会社名3夜間買電_7月使用量</t>
  </si>
  <si>
    <t>電力会社名4昼間買電_7月使用量</t>
  </si>
  <si>
    <t>電力会社名4夜間買電_7月使用量</t>
  </si>
  <si>
    <t>電力会社名5昼間買電_7月使用量</t>
  </si>
  <si>
    <t>電力会社名5夜間買電_7月使用量</t>
  </si>
  <si>
    <t>揮発油（ガソリン）_8月使用量</t>
  </si>
  <si>
    <t>灯油_8月使用量</t>
  </si>
  <si>
    <t>軽油_8月使用量</t>
  </si>
  <si>
    <t>Ａ重油_8月使用量</t>
  </si>
  <si>
    <t>Ｂ・Ｃ重油_8月使用量</t>
  </si>
  <si>
    <t>液化石油ガス     (LPG)_8月使用量</t>
  </si>
  <si>
    <t>都市ガス_8月使用量</t>
  </si>
  <si>
    <t>電力会社名1昼間買電_8月使用量</t>
  </si>
  <si>
    <t>電力会社名1夜間買電_8月使用量</t>
  </si>
  <si>
    <t>電力会社名2昼間買電_8月使用量</t>
  </si>
  <si>
    <t>電力会社名2夜間買電_8月使用量</t>
  </si>
  <si>
    <t>電力会社名3昼間買電_8月使用量</t>
  </si>
  <si>
    <t>電力会社名3夜間買電_8月使用量</t>
  </si>
  <si>
    <t>電力会社名4昼間買電_8月使用量</t>
  </si>
  <si>
    <t>電力会社名4夜間買電_8月使用量</t>
  </si>
  <si>
    <t>電力会社名5昼間買電_8月使用量</t>
  </si>
  <si>
    <t>電力会社名5夜間買電_8月使用量</t>
  </si>
  <si>
    <t>揮発油（ガソリン）_9月使用量</t>
  </si>
  <si>
    <t>灯油_9月使用量</t>
  </si>
  <si>
    <t>軽油_9月使用量</t>
  </si>
  <si>
    <t>Ａ重油_9月使用量</t>
  </si>
  <si>
    <t>Ｂ・Ｃ重油_9月使用量</t>
  </si>
  <si>
    <t>液化石油ガス     (LPG)_9月使用量</t>
  </si>
  <si>
    <t>都市ガス_9月使用量</t>
  </si>
  <si>
    <t>電力会社名1昼間買電_9月使用量</t>
  </si>
  <si>
    <t>電力会社名1夜間買電_9月使用量</t>
  </si>
  <si>
    <t>電力会社名2昼間買電_9月使用量</t>
  </si>
  <si>
    <t>電力会社名2夜間買電_9月使用量</t>
  </si>
  <si>
    <t>電力会社名3昼間買電_9月使用量</t>
  </si>
  <si>
    <t>電力会社名3夜間買電_9月使用量</t>
  </si>
  <si>
    <t>電力会社名4昼間買電_9月使用量</t>
  </si>
  <si>
    <t>電力会社名4夜間買電_9月使用量</t>
  </si>
  <si>
    <t>電力会社名5昼間買電_9月使用量</t>
  </si>
  <si>
    <t>電力会社名5夜間買電_9月使用量</t>
  </si>
  <si>
    <t>揮発油（ガソリン）_10月使用量</t>
  </si>
  <si>
    <t>灯油_10月使用量</t>
  </si>
  <si>
    <t>軽油_10月使用量</t>
  </si>
  <si>
    <t>Ａ重油_10月使用量</t>
  </si>
  <si>
    <t>Ｂ・Ｃ重油_10月使用量</t>
  </si>
  <si>
    <t>液化石油ガス     (LPG)_10月使用量</t>
  </si>
  <si>
    <t>都市ガス_10月使用量</t>
  </si>
  <si>
    <t>電力会社名1昼間買電_10月使用量</t>
  </si>
  <si>
    <t>電力会社名1夜間買電_10月使用量</t>
  </si>
  <si>
    <t>電力会社名2昼間買電_10月使用量</t>
  </si>
  <si>
    <t>電力会社名2夜間買電_10月使用量</t>
  </si>
  <si>
    <t>電力会社名3昼間買電_10月使用量</t>
  </si>
  <si>
    <t>電力会社名3夜間買電_10月使用量</t>
  </si>
  <si>
    <t>電力会社名4昼間買電_10月使用量</t>
  </si>
  <si>
    <t>電力会社名4夜間買電_10月使用量</t>
  </si>
  <si>
    <t>電力会社名5昼間買電_10月使用量</t>
  </si>
  <si>
    <t>電力会社名5夜間買電_10月使用量</t>
  </si>
  <si>
    <t>揮発油（ガソリン）_11月使用量</t>
  </si>
  <si>
    <t>灯油_11月使用量</t>
  </si>
  <si>
    <t>軽油_11月使用量</t>
  </si>
  <si>
    <t>Ａ重油_11月使用量</t>
  </si>
  <si>
    <t>Ｂ・Ｃ重油_11月使用量</t>
  </si>
  <si>
    <t>液化石油ガス     (LPG)_11月使用量</t>
  </si>
  <si>
    <t>都市ガス_11月使用量</t>
  </si>
  <si>
    <t>電力会社名1昼間買電_11月使用量</t>
  </si>
  <si>
    <t>電力会社名1夜間買電_11月使用量</t>
  </si>
  <si>
    <t>電力会社名2昼間買電_11月使用量</t>
  </si>
  <si>
    <t>電力会社名2夜間買電_11月使用量</t>
  </si>
  <si>
    <t>電力会社名3昼間買電_11月使用量</t>
  </si>
  <si>
    <t>電力会社名3夜間買電_11月使用量</t>
  </si>
  <si>
    <t>電力会社名4昼間買電_11月使用量</t>
  </si>
  <si>
    <t>電力会社名4夜間買電_11月使用量</t>
  </si>
  <si>
    <t>電力会社名5昼間買電_11月使用量</t>
  </si>
  <si>
    <t>電力会社名5夜間買電_11月使用量</t>
  </si>
  <si>
    <t>揮発油（ガソリン）_12月使用量</t>
  </si>
  <si>
    <t>灯油_12月使用量</t>
  </si>
  <si>
    <t>軽油_12月使用量</t>
  </si>
  <si>
    <t>Ａ重油_12月使用量</t>
  </si>
  <si>
    <t>Ｂ・Ｃ重油_12月使用量</t>
  </si>
  <si>
    <t>液化石油ガス     (LPG)_12月使用量</t>
  </si>
  <si>
    <t>都市ガス_12月使用量</t>
  </si>
  <si>
    <t>電力会社名1昼間買電_12月使用量</t>
  </si>
  <si>
    <t>電力会社名1夜間買電_12月使用量</t>
  </si>
  <si>
    <t>電力会社名2昼間買電_12月使用量</t>
  </si>
  <si>
    <t>電力会社名2夜間買電_12月使用量</t>
  </si>
  <si>
    <t>電力会社名3昼間買電_12月使用量</t>
  </si>
  <si>
    <t>電力会社名3夜間買電_12月使用量</t>
  </si>
  <si>
    <t>電力会社名4昼間買電_12月使用量</t>
  </si>
  <si>
    <t>電力会社名4夜間買電_12月使用量</t>
  </si>
  <si>
    <t>電力会社名5昼間買電_12月使用量</t>
  </si>
  <si>
    <t>電力会社名5夜間買電_12月使用量</t>
  </si>
  <si>
    <t>揮発油（ガソリン）_1月使用量</t>
  </si>
  <si>
    <t>灯油_1月使用量</t>
  </si>
  <si>
    <t>軽油_1月使用量</t>
  </si>
  <si>
    <t>Ａ重油_1月使用量</t>
  </si>
  <si>
    <t>Ｂ・Ｃ重油_1月使用量</t>
  </si>
  <si>
    <t>液化石油ガス     (LPG)_1月使用量</t>
  </si>
  <si>
    <t>都市ガス_1月使用量</t>
  </si>
  <si>
    <t>電力会社名1昼間買電_1月使用量</t>
  </si>
  <si>
    <t>電力会社名1夜間買電_1月使用量</t>
  </si>
  <si>
    <t>電力会社名2昼間買電_1月使用量</t>
  </si>
  <si>
    <t>電力会社名2夜間買電_1月使用量</t>
  </si>
  <si>
    <t>電力会社名3昼間買電_1月使用量</t>
  </si>
  <si>
    <t>電力会社名3夜間買電_1月使用量</t>
  </si>
  <si>
    <t>電力会社名4昼間買電_1月使用量</t>
  </si>
  <si>
    <t>電力会社名4夜間買電_1月使用量</t>
  </si>
  <si>
    <t>電力会社名5昼間買電_1月使用量</t>
  </si>
  <si>
    <t>電力会社名5夜間買電_1月使用量</t>
  </si>
  <si>
    <t>揮発油（ガソリン）_2月使用量</t>
  </si>
  <si>
    <t>灯油_2月使用量</t>
  </si>
  <si>
    <t>軽油_2月使用量</t>
  </si>
  <si>
    <t>Ａ重油_2月使用量</t>
  </si>
  <si>
    <t>Ｂ・Ｃ重油_2月使用量</t>
  </si>
  <si>
    <t>液化石油ガス     (LPG)_2月使用量</t>
  </si>
  <si>
    <t>都市ガス_2月使用量</t>
  </si>
  <si>
    <t>電力会社名1昼間買電_2月使用量</t>
  </si>
  <si>
    <t>電力会社名1夜間買電_2月使用量</t>
  </si>
  <si>
    <t>電力会社名2昼間買電_2月使用量</t>
  </si>
  <si>
    <t>電力会社名2夜間買電_2月使用量</t>
  </si>
  <si>
    <t>電力会社名3昼間買電_2月使用量</t>
  </si>
  <si>
    <t>電力会社名3夜間買電_2月使用量</t>
  </si>
  <si>
    <t>電力会社名4昼間買電_2月使用量</t>
  </si>
  <si>
    <t>電力会社名4夜間買電_2月使用量</t>
  </si>
  <si>
    <t>電力会社名5昼間買電_2月使用量</t>
  </si>
  <si>
    <t>電力会社名5夜間買電_2月使用量</t>
  </si>
  <si>
    <t>揮発油（ガソリン）_3月使用量</t>
  </si>
  <si>
    <t>灯油_3月使用量</t>
  </si>
  <si>
    <t>軽油_3月使用量</t>
  </si>
  <si>
    <t>Ａ重油_3月使用量</t>
  </si>
  <si>
    <t>Ｂ・Ｃ重油_3月使用量</t>
  </si>
  <si>
    <t>液化石油ガス     (LPG)_3月使用量</t>
  </si>
  <si>
    <t>都市ガス_3月使用量</t>
  </si>
  <si>
    <t>電力会社名1昼間買電_3月使用量</t>
  </si>
  <si>
    <t>電力会社名1夜間買電_3月使用量</t>
  </si>
  <si>
    <t>電力会社名2昼間買電_3月使用量</t>
  </si>
  <si>
    <t>電力会社名2夜間買電_3月使用量</t>
  </si>
  <si>
    <t>電力会社名3昼間買電_3月使用量</t>
  </si>
  <si>
    <t>電力会社名3夜間買電_3月使用量</t>
  </si>
  <si>
    <t>電力会社名4昼間買電_3月使用量</t>
  </si>
  <si>
    <t>電力会社名4夜間買電_3月使用量</t>
  </si>
  <si>
    <t>電力会社名5昼間買電_3月使用量</t>
  </si>
  <si>
    <t>電力会社名5夜間買電_3月使用量</t>
  </si>
  <si>
    <t xml:space="preserve">外部機関による省エネ診断 </t>
    <phoneticPr fontId="1"/>
  </si>
  <si>
    <t xml:space="preserve">生産性管理 </t>
  </si>
  <si>
    <t xml:space="preserve">エネルギー消費機器管理台帳の整備 </t>
  </si>
  <si>
    <t xml:space="preserve">管理標準（管理マニュアル）の整備 </t>
  </si>
  <si>
    <t xml:space="preserve">エネルギー使用量の見える化（前年度比較） </t>
  </si>
  <si>
    <t xml:space="preserve">エネルギー使用量の見える化（分計による課題発見） </t>
  </si>
  <si>
    <t xml:space="preserve">ボイラー、工業炉の空気比の把握・管理 </t>
  </si>
  <si>
    <t xml:space="preserve">ボイラーの熱効率の把握・管理 </t>
  </si>
  <si>
    <t xml:space="preserve">ボイラーの運転効率管理 </t>
  </si>
  <si>
    <t xml:space="preserve">ボイラーの給水及びブローの管理 </t>
  </si>
  <si>
    <t xml:space="preserve">蒸気圧力・温度・供給量の管理 </t>
  </si>
  <si>
    <t xml:space="preserve">使用しない蒸気配管の閉止 </t>
  </si>
  <si>
    <t xml:space="preserve">蒸気配管の弁やフランジ等の保温・断熱強化 </t>
  </si>
  <si>
    <t xml:space="preserve">蒸気トラップの管理 </t>
  </si>
  <si>
    <t xml:space="preserve">工業炉の断熱性能維持管理 </t>
  </si>
  <si>
    <t xml:space="preserve">廃熱回収の管理 </t>
  </si>
  <si>
    <t xml:space="preserve">再熱除湿運転回避 </t>
  </si>
  <si>
    <t xml:space="preserve">外気冷房 </t>
  </si>
  <si>
    <t xml:space="preserve">設備運転時間の管理 </t>
  </si>
  <si>
    <t xml:space="preserve">熱源設備に組み込まれた燃焼機器の運転管理 </t>
  </si>
  <si>
    <t xml:space="preserve">熱源設備の運転時間管理 </t>
  </si>
  <si>
    <t xml:space="preserve">冷水出口温度の管理 </t>
  </si>
  <si>
    <t xml:space="preserve">熱源設備 冷却水温度の適正管理 </t>
  </si>
  <si>
    <t xml:space="preserve">熱源設備 冷却水の水質管理 </t>
  </si>
  <si>
    <t xml:space="preserve">冷温水ポンプの回転数制御、自動流量制御 </t>
  </si>
  <si>
    <t xml:space="preserve">コンプレッサーの運転圧力の管理  </t>
  </si>
  <si>
    <t xml:space="preserve">非稼働エリアへの圧縮空気供給管理 </t>
  </si>
  <si>
    <t xml:space="preserve">コンプレッサー吸気温度の管理 </t>
  </si>
  <si>
    <t xml:space="preserve">圧縮空気系統の保全管理 </t>
  </si>
  <si>
    <t xml:space="preserve">ポンプ、ファン、ブロワの吐出圧力、供給量の管理 </t>
  </si>
  <si>
    <t xml:space="preserve">ポンプ、給水系統の保全管理 </t>
  </si>
  <si>
    <t xml:space="preserve">ファン、ブロワ、給気系統の保全管理 </t>
  </si>
  <si>
    <t xml:space="preserve">コジェネレーション運転効率の管理 </t>
  </si>
  <si>
    <t xml:space="preserve">変圧器の負荷率管理 </t>
  </si>
  <si>
    <t xml:space="preserve">デマンド管理 </t>
  </si>
  <si>
    <t xml:space="preserve">負荷平準化 </t>
  </si>
  <si>
    <t xml:space="preserve">窓の断熱性向上 </t>
  </si>
  <si>
    <t xml:space="preserve">壁面緑化 </t>
  </si>
  <si>
    <t xml:space="preserve">再生可能エネルギーの導入 </t>
  </si>
  <si>
    <t xml:space="preserve">蓄電システムの導入 </t>
  </si>
  <si>
    <t xml:space="preserve">商品や原料輸送時の省エネ </t>
  </si>
  <si>
    <t xml:space="preserve">燃費性能の良い車両の計画的導入 </t>
  </si>
  <si>
    <t xml:space="preserve">エコドライブ教育実施 </t>
  </si>
  <si>
    <t>S10</t>
  </si>
  <si>
    <t>S11</t>
  </si>
  <si>
    <t>S12</t>
  </si>
  <si>
    <t>S13</t>
  </si>
  <si>
    <t>H27</t>
  </si>
  <si>
    <t>M27</t>
  </si>
  <si>
    <t>E13</t>
    <phoneticPr fontId="1"/>
  </si>
  <si>
    <t>U42</t>
    <phoneticPr fontId="1"/>
  </si>
  <si>
    <t>U43</t>
    <phoneticPr fontId="1"/>
  </si>
  <si>
    <t>U44</t>
  </si>
  <si>
    <t>U45</t>
  </si>
  <si>
    <t>U46</t>
  </si>
  <si>
    <t>Y42</t>
  </si>
  <si>
    <t>Y43</t>
  </si>
  <si>
    <t>Y44</t>
  </si>
  <si>
    <t>Y45</t>
  </si>
  <si>
    <t>Y46</t>
  </si>
  <si>
    <t>以上</t>
    <rPh sb="0" eb="2">
      <t>イジョウ</t>
    </rPh>
    <phoneticPr fontId="4"/>
  </si>
  <si>
    <t>空調設定温度がルール化されている。空調を使用している場所の温度が記録されている。</t>
  </si>
  <si>
    <t>換気設備の適正管理</t>
  </si>
  <si>
    <t>室内の二酸化炭素濃度を定期的に測定し、許容値を超えない範囲で窓開け換気の回数を減らしている。
全熱交換型換気扇による機械換気が適切に実施されている。</t>
  </si>
  <si>
    <t>照明器具の点灯時間がルール化されている。不要な照明の使用や消し忘れをチェックする仕組みがある。センサー等による制御が導入されている。</t>
  </si>
  <si>
    <t>ＬＥＤ照明器具の導入</t>
  </si>
  <si>
    <t>照明の交換時期にあわせ、ＬＥＤ照明に交換している。事業所内の照明の80%（消費電力基準）以上がＬＥＤ照明になっている。</t>
  </si>
  <si>
    <t>バイオディーゼル</t>
    <phoneticPr fontId="1"/>
  </si>
  <si>
    <t>S2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</si>
</sst>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1">
    <numFmt numFmtId="176" formatCode="0.0"/>
    <numFmt numFmtId="177" formatCode="#,##0_);[Red]\(#,##0\)"/>
    <numFmt numFmtId="178" formatCode="#,##0_ "/>
    <numFmt numFmtId="179" formatCode="0.000_);[Red]\(0.000\)"/>
    <numFmt numFmtId="180" formatCode="#,##0;&quot;▲ &quot;#,##0"/>
    <numFmt numFmtId="181" formatCode="#,##0.0_);[Red]\(#,##0.0\)"/>
    <numFmt numFmtId="182" formatCode="#,##0.00;&quot;▲ &quot;#,##0.00"/>
    <numFmt numFmtId="183" formatCode="00#"/>
    <numFmt numFmtId="184" formatCode="[=0]&quot;&quot;;#,##0.00"/>
    <numFmt numFmtId="185" formatCode="#,##0.0;&quot;▲ &quot;#,##0.0;0"/>
    <numFmt numFmtId="186" formatCode="#,##0.0_ "/>
    <numFmt numFmtId="187" formatCode="#,##0.000_ "/>
    <numFmt numFmtId="188" formatCode="#,##0.00_ "/>
    <numFmt numFmtId="189" formatCode="0.00;0.00;0"/>
    <numFmt numFmtId="190" formatCode="0.0_ "/>
    <numFmt numFmtId="191" formatCode="#,##0.0000_ "/>
    <numFmt numFmtId="192" formatCode="0.00_ "/>
    <numFmt numFmtId="193" formatCode="0.0_);[Red]\(0.0\)"/>
    <numFmt numFmtId="194" formatCode="0.00_);[Red]\(0.00\)"/>
    <numFmt numFmtId="195" formatCode=";;;"/>
    <numFmt numFmtId="196" formatCode="#&quot;年度係数&quot;"/>
    <numFmt numFmtId="197" formatCode="#,##0.00;&quot;▲ &quot;#,##0.00;0"/>
    <numFmt numFmtId="198" formatCode="#,##0.00;&quot;▲ &quot;#,##0.00;0\ \ \ ;\ \ @"/>
    <numFmt numFmtId="199" formatCode="#,##0.00;&quot;▲ &quot;#,##0.00;0\ \ \ "/>
    <numFmt numFmtId="200" formatCode="#,##0.00;&quot;▲ &quot;#,##0.00;0\ ;\ \ @"/>
    <numFmt numFmtId="201" formatCode="#,##0.00;&quot;▲ &quot;#,##0.00;0\ \ ;\ \ @"/>
    <numFmt numFmtId="202" formatCode="#,##0.00;&quot;▲ &quot;#,##0.00;0;\ \ @"/>
    <numFmt numFmtId="203" formatCode="#,##0.000_);[Red]\(#,##0.000\);0"/>
    <numFmt numFmtId="204" formatCode="0.0000_);[Red]\(0.0000\)"/>
    <numFmt numFmtId="205" formatCode="0.0000_ "/>
    <numFmt numFmtId="206" formatCode="#,##0.00;&quot;▲ &quot;#,##0.00;0\ \ "/>
  </numFmts>
  <fonts count="74">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11"/>
      <color theme="1"/>
      <name val="ＭＳ Ｐゴシック"/>
      <family val="2"/>
      <charset val="128"/>
      <scheme val="minor"/>
    </font>
    <font>
      <b/>
      <sz val="11"/>
      <color indexed="9"/>
      <name val="ＭＳ Ｐゴシック"/>
      <family val="3"/>
      <charset val="128"/>
    </font>
    <font>
      <sz val="11"/>
      <name val="ＭＳ Ｐゴシック"/>
      <family val="3"/>
      <charset val="128"/>
    </font>
    <font>
      <sz val="11"/>
      <color indexed="9"/>
      <name val="ＭＳ Ｐゴシック"/>
      <family val="3"/>
      <charset val="128"/>
    </font>
    <font>
      <sz val="11"/>
      <color indexed="8"/>
      <name val="ＭＳ Ｐゴシック"/>
      <family val="3"/>
      <charset val="128"/>
    </font>
    <font>
      <sz val="10"/>
      <name val="ＭＳ Ｐゴシック"/>
      <family val="3"/>
      <charset val="128"/>
    </font>
    <font>
      <u/>
      <sz val="11"/>
      <color theme="10"/>
      <name val="ＭＳ Ｐゴシック"/>
      <family val="3"/>
      <charset val="128"/>
    </font>
    <font>
      <sz val="11"/>
      <color indexed="10"/>
      <name val="ＭＳ Ｐゴシック"/>
      <family val="3"/>
      <charset val="128"/>
    </font>
    <font>
      <b/>
      <sz val="18"/>
      <color indexed="56"/>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11"/>
      <color theme="10"/>
      <name val="ＭＳ Ｐゴシック"/>
      <family val="2"/>
      <charset val="128"/>
      <scheme val="minor"/>
    </font>
    <font>
      <sz val="11"/>
      <color theme="1"/>
      <name val="ＭＳ Ｐゴシック"/>
      <family val="2"/>
      <charset val="128"/>
    </font>
    <font>
      <sz val="11"/>
      <color theme="1"/>
      <name val="メイリオ"/>
      <family val="3"/>
      <charset val="128"/>
    </font>
    <font>
      <b/>
      <sz val="14"/>
      <color rgb="FFFF0000"/>
      <name val="メイリオ"/>
      <family val="3"/>
      <charset val="128"/>
    </font>
    <font>
      <sz val="14"/>
      <color theme="1"/>
      <name val="メイリオ"/>
      <family val="3"/>
      <charset val="128"/>
    </font>
    <font>
      <sz val="11"/>
      <name val="メイリオ"/>
      <family val="3"/>
      <charset val="128"/>
    </font>
    <font>
      <sz val="10"/>
      <name val="メイリオ"/>
      <family val="3"/>
      <charset val="128"/>
    </font>
    <font>
      <sz val="10"/>
      <color indexed="8"/>
      <name val="メイリオ"/>
      <family val="3"/>
      <charset val="128"/>
    </font>
    <font>
      <vertAlign val="superscript"/>
      <sz val="10"/>
      <color indexed="8"/>
      <name val="メイリオ"/>
      <family val="3"/>
      <charset val="128"/>
    </font>
    <font>
      <sz val="10"/>
      <color theme="1"/>
      <name val="メイリオ"/>
      <family val="3"/>
      <charset val="128"/>
    </font>
    <font>
      <b/>
      <sz val="12"/>
      <color rgb="FFFF0000"/>
      <name val="メイリオ"/>
      <family val="3"/>
      <charset val="128"/>
    </font>
    <font>
      <sz val="9"/>
      <name val="メイリオ"/>
      <family val="3"/>
      <charset val="128"/>
    </font>
    <font>
      <vertAlign val="subscript"/>
      <sz val="10"/>
      <name val="メイリオ"/>
      <family val="3"/>
      <charset val="128"/>
    </font>
    <font>
      <b/>
      <sz val="10"/>
      <color rgb="FFFF0000"/>
      <name val="メイリオ"/>
      <family val="3"/>
      <charset val="128"/>
    </font>
    <font>
      <b/>
      <sz val="10"/>
      <color theme="1"/>
      <name val="メイリオ"/>
      <family val="3"/>
      <charset val="128"/>
    </font>
    <font>
      <b/>
      <sz val="10"/>
      <name val="メイリオ"/>
      <family val="3"/>
      <charset val="128"/>
    </font>
    <font>
      <sz val="10"/>
      <color rgb="FFFF0000"/>
      <name val="メイリオ"/>
      <family val="3"/>
      <charset val="128"/>
    </font>
    <font>
      <sz val="10"/>
      <color theme="0" tint="-0.34998626667073579"/>
      <name val="メイリオ"/>
      <family val="3"/>
      <charset val="128"/>
    </font>
    <font>
      <vertAlign val="subscript"/>
      <sz val="10"/>
      <color theme="1"/>
      <name val="メイリオ"/>
      <family val="3"/>
      <charset val="128"/>
    </font>
    <font>
      <sz val="11"/>
      <color rgb="FFFF0000"/>
      <name val="ＭＳ Ｐゴシック"/>
      <family val="2"/>
      <charset val="128"/>
      <scheme val="minor"/>
    </font>
    <font>
      <b/>
      <sz val="9"/>
      <name val="メイリオ"/>
      <family val="3"/>
      <charset val="128"/>
    </font>
    <font>
      <b/>
      <sz val="12"/>
      <color rgb="FFFF0000"/>
      <name val="ＭＳ Ｐゴシック"/>
      <family val="3"/>
      <charset val="128"/>
      <scheme val="minor"/>
    </font>
    <font>
      <b/>
      <sz val="16"/>
      <color indexed="9"/>
      <name val="メイリオ"/>
      <family val="3"/>
      <charset val="128"/>
    </font>
    <font>
      <b/>
      <sz val="10"/>
      <color indexed="9"/>
      <name val="メイリオ"/>
      <family val="3"/>
      <charset val="128"/>
    </font>
    <font>
      <b/>
      <sz val="14"/>
      <name val="メイリオ"/>
      <family val="3"/>
      <charset val="128"/>
    </font>
    <font>
      <b/>
      <vertAlign val="subscript"/>
      <sz val="14"/>
      <name val="メイリオ"/>
      <family val="3"/>
      <charset val="128"/>
    </font>
    <font>
      <sz val="10"/>
      <color indexed="9"/>
      <name val="メイリオ"/>
      <family val="3"/>
      <charset val="128"/>
    </font>
    <font>
      <sz val="8"/>
      <name val="メイリオ"/>
      <family val="3"/>
      <charset val="128"/>
    </font>
    <font>
      <vertAlign val="subscript"/>
      <sz val="10"/>
      <color indexed="9"/>
      <name val="メイリオ"/>
      <family val="3"/>
      <charset val="128"/>
    </font>
    <font>
      <b/>
      <vertAlign val="subscript"/>
      <sz val="10"/>
      <color theme="1"/>
      <name val="メイリオ"/>
      <family val="3"/>
      <charset val="128"/>
    </font>
    <font>
      <b/>
      <sz val="10"/>
      <color theme="0"/>
      <name val="メイリオ"/>
      <family val="3"/>
      <charset val="128"/>
    </font>
    <font>
      <sz val="11"/>
      <color rgb="FFFF0000"/>
      <name val="メイリオ"/>
      <family val="3"/>
      <charset val="128"/>
    </font>
    <font>
      <b/>
      <sz val="12"/>
      <color indexed="81"/>
      <name val="MS P ゴシック"/>
      <family val="3"/>
      <charset val="128"/>
    </font>
    <font>
      <sz val="11"/>
      <name val="ＭＳ Ｐゴシック"/>
      <family val="2"/>
      <charset val="128"/>
      <scheme val="minor"/>
    </font>
    <font>
      <b/>
      <vertAlign val="subscript"/>
      <sz val="10"/>
      <name val="メイリオ"/>
      <family val="3"/>
      <charset val="128"/>
    </font>
    <font>
      <sz val="10"/>
      <color theme="0"/>
      <name val="メイリオ"/>
      <family val="3"/>
      <charset val="128"/>
    </font>
    <font>
      <vertAlign val="superscript"/>
      <sz val="10"/>
      <name val="メイリオ"/>
      <family val="3"/>
      <charset val="128"/>
    </font>
    <font>
      <sz val="9"/>
      <color rgb="FF000000"/>
      <name val="Meiryo UI"/>
      <family val="3"/>
      <charset val="128"/>
    </font>
    <font>
      <b/>
      <u/>
      <sz val="11"/>
      <color indexed="12"/>
      <name val="ＭＳ Ｐゴシック"/>
      <family val="3"/>
      <charset val="128"/>
    </font>
    <font>
      <b/>
      <sz val="11"/>
      <color indexed="12"/>
      <name val="ＭＳ Ｐゴシック"/>
      <family val="3"/>
      <charset val="128"/>
    </font>
    <font>
      <sz val="11"/>
      <color indexed="12"/>
      <name val="ＭＳ Ｐゴシック"/>
      <family val="3"/>
      <charset val="128"/>
    </font>
    <font>
      <b/>
      <sz val="12"/>
      <color rgb="FFFF0000"/>
      <name val="ＭＳ Ｐゴシック"/>
      <family val="3"/>
      <charset val="128"/>
    </font>
    <font>
      <b/>
      <sz val="12"/>
      <color indexed="8"/>
      <name val="ＭＳ Ｐゴシック"/>
      <family val="3"/>
      <charset val="128"/>
    </font>
    <font>
      <sz val="10"/>
      <color theme="0" tint="-0.14999847407452621"/>
      <name val="メイリオ"/>
      <family val="3"/>
      <charset val="128"/>
    </font>
    <font>
      <sz val="9"/>
      <color indexed="81"/>
      <name val="MS P ゴシック"/>
      <family val="3"/>
      <charset val="128"/>
    </font>
    <font>
      <sz val="10"/>
      <color indexed="81"/>
      <name val="メイリオ"/>
      <family val="3"/>
      <charset val="128"/>
    </font>
    <font>
      <b/>
      <sz val="12"/>
      <color indexed="81"/>
      <name val="ＭＳ Ｐゴシック"/>
      <family val="3"/>
      <charset val="128"/>
    </font>
  </fonts>
  <fills count="46">
    <fill>
      <patternFill patternType="none"/>
    </fill>
    <fill>
      <patternFill patternType="gray125"/>
    </fill>
    <fill>
      <patternFill patternType="solid">
        <fgColor theme="8" tint="0.59999389629810485"/>
        <bgColor indexed="64"/>
      </patternFill>
    </fill>
    <fill>
      <patternFill patternType="solid">
        <fgColor indexed="18"/>
        <bgColor indexed="64"/>
      </patternFill>
    </fill>
    <fill>
      <patternFill patternType="solid">
        <fgColor indexed="62"/>
        <bgColor indexed="64"/>
      </patternFill>
    </fill>
    <fill>
      <patternFill patternType="solid">
        <fgColor rgb="FFCCECF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6" tint="0.39997558519241921"/>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6" tint="-0.24994659260841701"/>
        <bgColor indexed="64"/>
      </patternFill>
    </fill>
    <fill>
      <patternFill patternType="solid">
        <fgColor theme="6" tint="0.39994506668294322"/>
        <bgColor indexed="64"/>
      </patternFill>
    </fill>
    <fill>
      <patternFill patternType="solid">
        <fgColor theme="6" tint="0.59996337778862885"/>
        <bgColor indexed="64"/>
      </patternFill>
    </fill>
    <fill>
      <patternFill patternType="solid">
        <fgColor theme="9" tint="0.59996337778862885"/>
        <bgColor indexed="64"/>
      </patternFill>
    </fill>
    <fill>
      <patternFill patternType="solid">
        <fgColor theme="6" tint="-0.249977111117893"/>
        <bgColor indexed="64"/>
      </patternFill>
    </fill>
    <fill>
      <patternFill patternType="solid">
        <fgColor rgb="FFFFC000"/>
        <bgColor indexed="64"/>
      </patternFill>
    </fill>
    <fill>
      <patternFill patternType="solid">
        <fgColor rgb="FF92D050"/>
        <bgColor indexed="64"/>
      </patternFill>
    </fill>
    <fill>
      <patternFill patternType="solid">
        <fgColor theme="4" tint="0.79998168889431442"/>
        <bgColor indexed="64"/>
      </patternFill>
    </fill>
    <fill>
      <patternFill patternType="solid">
        <fgColor theme="9" tint="0.39994506668294322"/>
        <bgColor indexed="64"/>
      </patternFill>
    </fill>
    <fill>
      <patternFill patternType="solid">
        <fgColor rgb="FF333399"/>
        <bgColor indexed="64"/>
      </patternFill>
    </fill>
  </fills>
  <borders count="19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top style="thin">
        <color indexed="64"/>
      </top>
      <bottom style="thin">
        <color indexed="64"/>
      </bottom>
      <diagonal style="thin">
        <color indexed="64"/>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style="medium">
        <color indexed="64"/>
      </bottom>
      <diagonal/>
    </border>
    <border>
      <left/>
      <right/>
      <top/>
      <bottom style="hair">
        <color indexed="64"/>
      </bottom>
      <diagonal/>
    </border>
    <border>
      <left style="medium">
        <color indexed="64"/>
      </left>
      <right/>
      <top style="hair">
        <color indexed="64"/>
      </top>
      <bottom style="hair">
        <color indexed="64"/>
      </bottom>
      <diagonal/>
    </border>
    <border>
      <left style="medium">
        <color indexed="64"/>
      </left>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thin">
        <color indexed="64"/>
      </right>
      <top style="medium">
        <color indexed="64"/>
      </top>
      <bottom/>
      <diagonal/>
    </border>
    <border diagonalUp="1">
      <left style="hair">
        <color indexed="64"/>
      </left>
      <right style="hair">
        <color indexed="64"/>
      </right>
      <top style="thin">
        <color indexed="64"/>
      </top>
      <bottom style="hair">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left/>
      <right style="thin">
        <color indexed="64"/>
      </right>
      <top/>
      <bottom style="medium">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thin">
        <color indexed="64"/>
      </left>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thin">
        <color indexed="64"/>
      </right>
      <top/>
      <bottom/>
      <diagonal/>
    </border>
    <border>
      <left/>
      <right style="thin">
        <color indexed="64"/>
      </right>
      <top style="hair">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hair">
        <color indexed="64"/>
      </left>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right/>
      <top style="thin">
        <color indexed="64"/>
      </top>
      <bottom style="hair">
        <color indexed="64"/>
      </bottom>
      <diagonal/>
    </border>
    <border>
      <left style="thin">
        <color indexed="64"/>
      </left>
      <right style="thin">
        <color indexed="64"/>
      </right>
      <top/>
      <bottom/>
      <diagonal/>
    </border>
    <border>
      <left style="thin">
        <color indexed="64"/>
      </left>
      <right style="hair">
        <color indexed="64"/>
      </right>
      <top style="hair">
        <color indexed="64"/>
      </top>
      <bottom/>
      <diagonal/>
    </border>
    <border>
      <left/>
      <right style="hair">
        <color indexed="64"/>
      </right>
      <top style="hair">
        <color indexed="64"/>
      </top>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style="hair">
        <color auto="1"/>
      </left>
      <right style="hair">
        <color auto="1"/>
      </right>
      <top style="hair">
        <color auto="1"/>
      </top>
      <bottom/>
      <diagonal/>
    </border>
    <border>
      <left style="thin">
        <color indexed="64"/>
      </left>
      <right style="hair">
        <color indexed="64"/>
      </right>
      <top/>
      <bottom/>
      <diagonal/>
    </border>
    <border>
      <left style="hair">
        <color auto="1"/>
      </left>
      <right style="hair">
        <color auto="1"/>
      </right>
      <top/>
      <bottom/>
      <diagonal/>
    </border>
    <border>
      <left/>
      <right style="hair">
        <color indexed="64"/>
      </right>
      <top/>
      <bottom/>
      <diagonal/>
    </border>
    <border>
      <left style="hair">
        <color auto="1"/>
      </left>
      <right style="hair">
        <color auto="1"/>
      </right>
      <top/>
      <bottom style="hair">
        <color auto="1"/>
      </bottom>
      <diagonal/>
    </border>
    <border>
      <left/>
      <right/>
      <top style="hair">
        <color auto="1"/>
      </top>
      <bottom style="thin">
        <color auto="1"/>
      </bottom>
      <diagonal/>
    </border>
    <border>
      <left style="thin">
        <color indexed="64"/>
      </left>
      <right/>
      <top style="hair">
        <color indexed="64"/>
      </top>
      <bottom style="thin">
        <color indexed="64"/>
      </bottom>
      <diagonal/>
    </border>
    <border>
      <left/>
      <right style="thin">
        <color auto="1"/>
      </right>
      <top style="hair">
        <color auto="1"/>
      </top>
      <bottom style="thin">
        <color auto="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auto="1"/>
      </left>
      <right style="thin">
        <color auto="1"/>
      </right>
      <top/>
      <bottom/>
      <diagonal/>
    </border>
    <border>
      <left style="thin">
        <color auto="1"/>
      </left>
      <right style="hair">
        <color auto="1"/>
      </right>
      <top style="thin">
        <color auto="1"/>
      </top>
      <bottom/>
      <diagonal/>
    </border>
    <border>
      <left/>
      <right style="hair">
        <color auto="1"/>
      </right>
      <top style="thin">
        <color auto="1"/>
      </top>
      <bottom/>
      <diagonal/>
    </border>
    <border>
      <left style="hair">
        <color auto="1"/>
      </left>
      <right style="hair">
        <color auto="1"/>
      </right>
      <top style="thin">
        <color auto="1"/>
      </top>
      <bottom/>
      <diagonal/>
    </border>
    <border>
      <left style="hair">
        <color indexed="64"/>
      </left>
      <right style="thin">
        <color indexed="64"/>
      </right>
      <top/>
      <bottom style="hair">
        <color auto="1"/>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indexed="64"/>
      </left>
      <right style="thin">
        <color auto="1"/>
      </right>
      <top style="hair">
        <color indexed="64"/>
      </top>
      <bottom style="thin">
        <color auto="1"/>
      </bottom>
      <diagonal/>
    </border>
    <border>
      <left/>
      <right style="hair">
        <color indexed="64"/>
      </right>
      <top/>
      <bottom style="thin">
        <color auto="1"/>
      </bottom>
      <diagonal/>
    </border>
    <border>
      <left/>
      <right/>
      <top style="medium">
        <color indexed="64"/>
      </top>
      <bottom/>
      <diagonal/>
    </border>
    <border>
      <left/>
      <right style="thin">
        <color indexed="64"/>
      </right>
      <top style="medium">
        <color indexed="64"/>
      </top>
      <bottom/>
      <diagonal/>
    </border>
    <border>
      <left style="thin">
        <color indexed="64"/>
      </left>
      <right style="hair">
        <color indexed="64"/>
      </right>
      <top style="medium">
        <color indexed="64"/>
      </top>
      <bottom/>
      <diagonal/>
    </border>
    <border>
      <left style="medium">
        <color indexed="64"/>
      </left>
      <right/>
      <top/>
      <bottom style="thin">
        <color indexed="64"/>
      </bottom>
      <diagonal/>
    </border>
    <border>
      <left style="hair">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style="hair">
        <color indexed="64"/>
      </right>
      <top/>
      <bottom style="double">
        <color indexed="64"/>
      </bottom>
      <diagonal/>
    </border>
    <border>
      <left style="hair">
        <color indexed="64"/>
      </left>
      <right style="hair">
        <color indexed="64"/>
      </right>
      <top style="hair">
        <color indexed="64"/>
      </top>
      <bottom style="double">
        <color indexed="64"/>
      </bottom>
      <diagonal/>
    </border>
    <border>
      <left/>
      <right/>
      <top style="double">
        <color indexed="64"/>
      </top>
      <bottom style="medium">
        <color indexed="64"/>
      </bottom>
      <diagonal/>
    </border>
    <border>
      <left style="medium">
        <color indexed="64"/>
      </left>
      <right style="thin">
        <color indexed="64"/>
      </right>
      <top style="medium">
        <color indexed="64"/>
      </top>
      <bottom/>
      <diagonal/>
    </border>
    <border>
      <left style="hair">
        <color indexed="64"/>
      </left>
      <right/>
      <top style="medium">
        <color indexed="64"/>
      </top>
      <bottom/>
      <diagonal/>
    </border>
    <border>
      <left style="hair">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top style="hair">
        <color indexed="64"/>
      </top>
      <bottom/>
      <diagonal/>
    </border>
    <border>
      <left style="hair">
        <color indexed="64"/>
      </left>
      <right style="thin">
        <color indexed="64"/>
      </right>
      <top style="hair">
        <color indexed="64"/>
      </top>
      <bottom/>
      <diagonal/>
    </border>
    <border diagonalUp="1">
      <left style="thin">
        <color indexed="64"/>
      </left>
      <right style="medium">
        <color indexed="64"/>
      </right>
      <top style="hair">
        <color indexed="64"/>
      </top>
      <bottom style="double">
        <color indexed="64"/>
      </bottom>
      <diagonal style="hair">
        <color indexed="64"/>
      </diagonal>
    </border>
    <border>
      <left style="thin">
        <color auto="1"/>
      </left>
      <right style="hair">
        <color indexed="64"/>
      </right>
      <top style="thin">
        <color auto="1"/>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auto="1"/>
      </left>
      <right style="hair">
        <color indexed="64"/>
      </right>
      <top style="hair">
        <color indexed="64"/>
      </top>
      <bottom style="hair">
        <color indexed="64"/>
      </bottom>
      <diagonal/>
    </border>
    <border>
      <left style="hair">
        <color indexed="64"/>
      </left>
      <right/>
      <top/>
      <bottom style="thin">
        <color indexed="64"/>
      </bottom>
      <diagonal/>
    </border>
    <border>
      <left style="thin">
        <color indexed="64"/>
      </left>
      <right style="hair">
        <color indexed="64"/>
      </right>
      <top style="hair">
        <color indexed="64"/>
      </top>
      <bottom style="thin">
        <color indexed="64"/>
      </bottom>
      <diagonal/>
    </border>
    <border diagonalUp="1">
      <left style="hair">
        <color indexed="64"/>
      </left>
      <right style="hair">
        <color indexed="64"/>
      </right>
      <top style="hair">
        <color indexed="64"/>
      </top>
      <bottom style="thin">
        <color indexed="64"/>
      </bottom>
      <diagonal style="hair">
        <color indexed="64"/>
      </diagonal>
    </border>
    <border>
      <left style="hair">
        <color indexed="64"/>
      </left>
      <right style="hair">
        <color indexed="64"/>
      </right>
      <top style="hair">
        <color indexed="64"/>
      </top>
      <bottom style="thin">
        <color indexed="64"/>
      </bottom>
      <diagonal/>
    </border>
    <border diagonalUp="1">
      <left style="thin">
        <color indexed="64"/>
      </left>
      <right style="medium">
        <color indexed="64"/>
      </right>
      <top style="hair">
        <color indexed="64"/>
      </top>
      <bottom style="thin">
        <color indexed="64"/>
      </bottom>
      <diagonal style="hair">
        <color indexed="64"/>
      </diagonal>
    </border>
    <border diagonalUp="1">
      <left style="hair">
        <color indexed="64"/>
      </left>
      <right style="hair">
        <color indexed="64"/>
      </right>
      <top style="thin">
        <color indexed="64"/>
      </top>
      <bottom style="thin">
        <color indexed="64"/>
      </bottom>
      <diagonal style="hair">
        <color indexed="64"/>
      </diagonal>
    </border>
    <border>
      <left style="hair">
        <color auto="1"/>
      </left>
      <right style="hair">
        <color auto="1"/>
      </right>
      <top style="thin">
        <color auto="1"/>
      </top>
      <bottom style="thin">
        <color auto="1"/>
      </bottom>
      <diagonal/>
    </border>
    <border>
      <left style="hair">
        <color indexed="64"/>
      </left>
      <right/>
      <top style="thin">
        <color indexed="64"/>
      </top>
      <bottom style="thin">
        <color indexed="64"/>
      </bottom>
      <diagonal/>
    </border>
    <border>
      <left style="hair">
        <color indexed="64"/>
      </left>
      <right/>
      <top style="hair">
        <color indexed="64"/>
      </top>
      <bottom style="thin">
        <color indexed="64"/>
      </bottom>
      <diagonal/>
    </border>
    <border>
      <left style="thin">
        <color auto="1"/>
      </left>
      <right style="thin">
        <color indexed="64"/>
      </right>
      <top style="double">
        <color auto="1"/>
      </top>
      <bottom style="thin">
        <color indexed="64"/>
      </bottom>
      <diagonal/>
    </border>
    <border diagonalUp="1">
      <left style="thin">
        <color indexed="64"/>
      </left>
      <right style="thin">
        <color indexed="64"/>
      </right>
      <top style="double">
        <color indexed="64"/>
      </top>
      <bottom style="thin">
        <color indexed="64"/>
      </bottom>
      <diagonal style="hair">
        <color indexed="64"/>
      </diagonal>
    </border>
    <border>
      <left style="medium">
        <color indexed="64"/>
      </left>
      <right style="thin">
        <color indexed="64"/>
      </right>
      <top/>
      <bottom style="double">
        <color indexed="64"/>
      </bottom>
      <diagonal/>
    </border>
    <border>
      <left style="thin">
        <color auto="1"/>
      </left>
      <right/>
      <top style="thin">
        <color auto="1"/>
      </top>
      <bottom style="double">
        <color indexed="64"/>
      </bottom>
      <diagonal/>
    </border>
    <border>
      <left/>
      <right/>
      <top style="thin">
        <color auto="1"/>
      </top>
      <bottom style="double">
        <color indexed="64"/>
      </bottom>
      <diagonal/>
    </border>
    <border>
      <left/>
      <right style="thin">
        <color indexed="64"/>
      </right>
      <top style="thin">
        <color auto="1"/>
      </top>
      <bottom style="double">
        <color indexed="64"/>
      </bottom>
      <diagonal/>
    </border>
    <border diagonalUp="1">
      <left style="hair">
        <color indexed="64"/>
      </left>
      <right style="hair">
        <color indexed="64"/>
      </right>
      <top style="thin">
        <color indexed="64"/>
      </top>
      <bottom/>
      <diagonal style="hair">
        <color indexed="64"/>
      </diagonal>
    </border>
    <border>
      <left style="hair">
        <color indexed="64"/>
      </left>
      <right/>
      <top style="thin">
        <color indexed="64"/>
      </top>
      <bottom/>
      <diagonal/>
    </border>
    <border diagonalUp="1">
      <left style="thin">
        <color indexed="64"/>
      </left>
      <right style="medium">
        <color indexed="64"/>
      </right>
      <top style="thin">
        <color indexed="64"/>
      </top>
      <bottom/>
      <diagonal style="hair">
        <color indexed="64"/>
      </diagonal>
    </border>
    <border>
      <left style="medium">
        <color indexed="64"/>
      </left>
      <right/>
      <top style="double">
        <color indexed="64"/>
      </top>
      <bottom/>
      <diagonal/>
    </border>
    <border>
      <left/>
      <right/>
      <top style="double">
        <color indexed="64"/>
      </top>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diagonalUp="1">
      <left style="hair">
        <color indexed="64"/>
      </left>
      <right style="hair">
        <color indexed="64"/>
      </right>
      <top style="double">
        <color indexed="64"/>
      </top>
      <bottom style="hair">
        <color indexed="64"/>
      </bottom>
      <diagonal style="hair">
        <color indexed="64"/>
      </diagonal>
    </border>
    <border>
      <left style="hair">
        <color indexed="64"/>
      </left>
      <right style="thin">
        <color indexed="64"/>
      </right>
      <top style="double">
        <color indexed="64"/>
      </top>
      <bottom style="hair">
        <color indexed="64"/>
      </bottom>
      <diagonal/>
    </border>
    <border diagonalUp="1">
      <left style="thin">
        <color indexed="64"/>
      </left>
      <right style="medium">
        <color indexed="64"/>
      </right>
      <top style="double">
        <color indexed="64"/>
      </top>
      <bottom style="hair">
        <color indexed="64"/>
      </bottom>
      <diagonal style="hair">
        <color indexed="64"/>
      </diagonal>
    </border>
    <border>
      <left/>
      <right/>
      <top/>
      <bottom style="medium">
        <color auto="1"/>
      </bottom>
      <diagonal/>
    </border>
    <border>
      <left style="thin">
        <color auto="1"/>
      </left>
      <right/>
      <top style="hair">
        <color auto="1"/>
      </top>
      <bottom style="medium">
        <color indexed="64"/>
      </bottom>
      <diagonal/>
    </border>
    <border>
      <left style="hair">
        <color indexed="64"/>
      </left>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auto="1"/>
      </left>
      <right style="thin">
        <color indexed="64"/>
      </right>
      <top style="hair">
        <color auto="1"/>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bottom style="double">
        <color auto="1"/>
      </bottom>
      <diagonal/>
    </border>
    <border>
      <left/>
      <right style="medium">
        <color indexed="64"/>
      </right>
      <top style="hair">
        <color indexed="64"/>
      </top>
      <bottom style="double">
        <color indexed="64"/>
      </bottom>
      <diagonal/>
    </border>
    <border>
      <left/>
      <right style="medium">
        <color indexed="64"/>
      </right>
      <top style="double">
        <color indexed="64"/>
      </top>
      <bottom style="medium">
        <color indexed="64"/>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diagonalUp="1">
      <left style="thin">
        <color indexed="64"/>
      </left>
      <right style="thin">
        <color indexed="64"/>
      </right>
      <top style="thin">
        <color indexed="64"/>
      </top>
      <bottom style="thin">
        <color indexed="64"/>
      </bottom>
      <diagonal style="hair">
        <color indexed="64"/>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top style="thin">
        <color indexed="64"/>
      </top>
      <bottom/>
      <diagonal/>
    </border>
    <border>
      <left style="thin">
        <color indexed="64"/>
      </left>
      <right/>
      <top/>
      <bottom style="hair">
        <color indexed="64"/>
      </bottom>
      <diagonal/>
    </border>
    <border>
      <left/>
      <right style="thin">
        <color auto="1"/>
      </right>
      <top/>
      <bottom style="hair">
        <color auto="1"/>
      </bottom>
      <diagonal/>
    </border>
    <border>
      <left style="thin">
        <color indexed="64"/>
      </left>
      <right style="thin">
        <color indexed="64"/>
      </right>
      <top/>
      <bottom style="hair">
        <color indexed="64"/>
      </bottom>
      <diagonal/>
    </border>
    <border diagonalUp="1">
      <left style="thin">
        <color auto="1"/>
      </left>
      <right style="thin">
        <color auto="1"/>
      </right>
      <top style="thin">
        <color auto="1"/>
      </top>
      <bottom/>
      <diagonal style="hair">
        <color auto="1"/>
      </diagonal>
    </border>
    <border>
      <left/>
      <right/>
      <top style="thin">
        <color indexed="64"/>
      </top>
      <bottom/>
      <diagonal/>
    </border>
    <border diagonalUp="1">
      <left style="thin">
        <color auto="1"/>
      </left>
      <right/>
      <top style="thin">
        <color auto="1"/>
      </top>
      <bottom style="thin">
        <color auto="1"/>
      </bottom>
      <diagonal style="hair">
        <color auto="1"/>
      </diagonal>
    </border>
    <border diagonalUp="1">
      <left/>
      <right style="thin">
        <color auto="1"/>
      </right>
      <top style="thin">
        <color auto="1"/>
      </top>
      <bottom style="thin">
        <color auto="1"/>
      </bottom>
      <diagonal style="hair">
        <color auto="1"/>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style="hair">
        <color indexed="64"/>
      </top>
      <bottom/>
      <diagonal/>
    </border>
    <border>
      <left style="thin">
        <color indexed="64"/>
      </left>
      <right style="thin">
        <color indexed="64"/>
      </right>
      <top style="double">
        <color auto="1"/>
      </top>
      <bottom style="hair">
        <color auto="1"/>
      </bottom>
      <diagonal/>
    </border>
    <border>
      <left/>
      <right style="hair">
        <color indexed="64"/>
      </right>
      <top style="hair">
        <color indexed="64"/>
      </top>
      <bottom style="thin">
        <color indexed="64"/>
      </bottom>
      <diagonal/>
    </border>
    <border diagonalUp="1">
      <left style="thin">
        <color indexed="64"/>
      </left>
      <right style="medium">
        <color indexed="64"/>
      </right>
      <top style="thin">
        <color indexed="64"/>
      </top>
      <bottom style="double">
        <color indexed="64"/>
      </bottom>
      <diagonal style="hair">
        <color indexed="64"/>
      </diagonal>
    </border>
  </borders>
  <cellStyleXfs count="57">
    <xf numFmtId="0" fontId="0" fillId="0" borderId="0">
      <alignment vertical="center"/>
    </xf>
    <xf numFmtId="0" fontId="5" fillId="0" borderId="0">
      <alignment vertical="center"/>
    </xf>
    <xf numFmtId="0" fontId="8" fillId="0" borderId="0"/>
    <xf numFmtId="0" fontId="8" fillId="0" borderId="0">
      <alignment vertical="center"/>
    </xf>
    <xf numFmtId="38" fontId="8" fillId="0" borderId="0" applyFont="0" applyFill="0" applyBorder="0" applyAlignment="0" applyProtection="0">
      <alignment vertical="center"/>
    </xf>
    <xf numFmtId="0" fontId="12" fillId="0" borderId="0" applyNumberFormat="0" applyFill="0" applyBorder="0" applyAlignment="0" applyProtection="0"/>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9" borderId="0" applyNumberFormat="0" applyBorder="0" applyAlignment="0" applyProtection="0">
      <alignment vertical="center"/>
    </xf>
    <xf numFmtId="0" fontId="10" fillId="12" borderId="0" applyNumberFormat="0" applyBorder="0" applyAlignment="0" applyProtection="0">
      <alignment vertical="center"/>
    </xf>
    <xf numFmtId="0" fontId="10" fillId="15" borderId="0" applyNumberFormat="0" applyBorder="0" applyAlignment="0" applyProtection="0">
      <alignment vertical="center"/>
    </xf>
    <xf numFmtId="0" fontId="9" fillId="16"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23" borderId="0" applyNumberFormat="0" applyBorder="0" applyAlignment="0" applyProtection="0">
      <alignment vertical="center"/>
    </xf>
    <xf numFmtId="0" fontId="13" fillId="0" borderId="41">
      <alignment horizontal="center" vertical="center"/>
    </xf>
    <xf numFmtId="0" fontId="14" fillId="0" borderId="0" applyNumberFormat="0" applyFill="0" applyBorder="0" applyAlignment="0" applyProtection="0">
      <alignment vertical="center"/>
    </xf>
    <xf numFmtId="0" fontId="7" fillId="24" borderId="42" applyNumberFormat="0" applyAlignment="0" applyProtection="0">
      <alignment vertical="center"/>
    </xf>
    <xf numFmtId="0" fontId="15" fillId="25" borderId="0" applyNumberFormat="0" applyBorder="0" applyAlignment="0" applyProtection="0">
      <alignment vertical="center"/>
    </xf>
    <xf numFmtId="0" fontId="10" fillId="26" borderId="43" applyNumberFormat="0" applyFont="0" applyAlignment="0" applyProtection="0">
      <alignment vertical="center"/>
    </xf>
    <xf numFmtId="0" fontId="16" fillId="0" borderId="44" applyNumberFormat="0" applyFill="0" applyAlignment="0" applyProtection="0">
      <alignment vertical="center"/>
    </xf>
    <xf numFmtId="0" fontId="17" fillId="7" borderId="0" applyNumberFormat="0" applyBorder="0" applyAlignment="0" applyProtection="0">
      <alignment vertical="center"/>
    </xf>
    <xf numFmtId="0" fontId="18" fillId="27" borderId="45" applyNumberFormat="0" applyAlignment="0" applyProtection="0">
      <alignment vertical="center"/>
    </xf>
    <xf numFmtId="0" fontId="13" fillId="0" borderId="0" applyNumberFormat="0" applyFill="0" applyBorder="0" applyAlignment="0" applyProtection="0">
      <alignment vertical="center"/>
    </xf>
    <xf numFmtId="0" fontId="19" fillId="0" borderId="46" applyNumberFormat="0" applyFill="0" applyAlignment="0" applyProtection="0">
      <alignment vertical="center"/>
    </xf>
    <xf numFmtId="0" fontId="20" fillId="0" borderId="47" applyNumberFormat="0" applyFill="0" applyAlignment="0" applyProtection="0">
      <alignment vertical="center"/>
    </xf>
    <xf numFmtId="0" fontId="21" fillId="0" borderId="48" applyNumberFormat="0" applyFill="0" applyAlignment="0" applyProtection="0">
      <alignment vertical="center"/>
    </xf>
    <xf numFmtId="0" fontId="21" fillId="0" borderId="0" applyNumberFormat="0" applyFill="0" applyBorder="0" applyAlignment="0" applyProtection="0">
      <alignment vertical="center"/>
    </xf>
    <xf numFmtId="0" fontId="22" fillId="0" borderId="49" applyNumberFormat="0" applyFill="0" applyAlignment="0" applyProtection="0">
      <alignment vertical="center"/>
    </xf>
    <xf numFmtId="0" fontId="23" fillId="27" borderId="50" applyNumberFormat="0" applyAlignment="0" applyProtection="0">
      <alignment vertical="center"/>
    </xf>
    <xf numFmtId="0" fontId="24" fillId="0" borderId="0" applyNumberFormat="0" applyFill="0" applyBorder="0" applyAlignment="0" applyProtection="0">
      <alignment vertical="center"/>
    </xf>
    <xf numFmtId="0" fontId="25" fillId="11" borderId="45" applyNumberFormat="0" applyAlignment="0" applyProtection="0">
      <alignment vertical="center"/>
    </xf>
    <xf numFmtId="0" fontId="6" fillId="0" borderId="0">
      <alignment vertical="center"/>
    </xf>
    <xf numFmtId="0" fontId="26" fillId="8" borderId="0" applyNumberFormat="0" applyBorder="0" applyAlignment="0" applyProtection="0">
      <alignment vertical="center"/>
    </xf>
    <xf numFmtId="0" fontId="8" fillId="0" borderId="0"/>
    <xf numFmtId="9" fontId="6" fillId="0" borderId="0" applyFont="0" applyFill="0" applyBorder="0" applyAlignment="0" applyProtection="0">
      <alignment vertical="center"/>
    </xf>
    <xf numFmtId="0" fontId="27" fillId="0" borderId="0" applyNumberFormat="0" applyFill="0" applyBorder="0" applyAlignment="0" applyProtection="0">
      <alignment vertical="center"/>
    </xf>
    <xf numFmtId="38" fontId="6" fillId="0" borderId="0" applyFont="0" applyFill="0" applyBorder="0" applyAlignment="0" applyProtection="0">
      <alignment vertical="center"/>
    </xf>
    <xf numFmtId="0" fontId="8" fillId="0" borderId="0"/>
    <xf numFmtId="0" fontId="5" fillId="0" borderId="0">
      <alignment vertical="center"/>
    </xf>
    <xf numFmtId="38" fontId="6" fillId="0" borderId="0" applyFont="0" applyFill="0" applyBorder="0" applyAlignment="0" applyProtection="0">
      <alignment vertical="center"/>
    </xf>
    <xf numFmtId="38" fontId="8" fillId="0" borderId="0" applyFont="0" applyFill="0" applyBorder="0" applyAlignment="0" applyProtection="0">
      <alignment vertical="center"/>
    </xf>
  </cellStyleXfs>
  <cellXfs count="1009">
    <xf numFmtId="0" fontId="0" fillId="0" borderId="0" xfId="0">
      <alignment vertical="center"/>
    </xf>
    <xf numFmtId="0" fontId="29" fillId="0" borderId="0" xfId="0" applyFont="1">
      <alignment vertical="center"/>
    </xf>
    <xf numFmtId="0" fontId="29" fillId="0" borderId="0" xfId="0" applyFont="1" applyAlignment="1">
      <alignment horizontal="center" vertical="center"/>
    </xf>
    <xf numFmtId="0" fontId="29" fillId="0" borderId="1" xfId="0" applyFont="1" applyBorder="1" applyAlignment="1">
      <alignment horizontal="center" vertical="center"/>
    </xf>
    <xf numFmtId="0" fontId="29" fillId="30" borderId="0" xfId="0" applyFont="1" applyFill="1" applyAlignment="1">
      <alignment horizontal="center" vertical="center"/>
    </xf>
    <xf numFmtId="0" fontId="29" fillId="0" borderId="1" xfId="0" applyFont="1" applyBorder="1">
      <alignment vertical="center"/>
    </xf>
    <xf numFmtId="1" fontId="29" fillId="0" borderId="1" xfId="0" applyNumberFormat="1" applyFont="1" applyBorder="1">
      <alignment vertical="center"/>
    </xf>
    <xf numFmtId="0" fontId="29" fillId="0" borderId="0" xfId="0" applyFont="1" applyAlignment="1">
      <alignment horizontal="right" vertical="center"/>
    </xf>
    <xf numFmtId="49" fontId="29" fillId="0" borderId="1" xfId="0" applyNumberFormat="1" applyFont="1" applyBorder="1" applyAlignment="1">
      <alignment horizontal="left" vertical="center"/>
    </xf>
    <xf numFmtId="0" fontId="29" fillId="0" borderId="1" xfId="0" applyFont="1" applyBorder="1" applyAlignment="1">
      <alignment vertical="center" shrinkToFit="1"/>
    </xf>
    <xf numFmtId="49" fontId="29" fillId="0" borderId="1" xfId="0" applyNumberFormat="1" applyFont="1" applyBorder="1">
      <alignment vertical="center"/>
    </xf>
    <xf numFmtId="49" fontId="29" fillId="0" borderId="1" xfId="0" quotePrefix="1" applyNumberFormat="1" applyFont="1" applyBorder="1">
      <alignment vertical="center"/>
    </xf>
    <xf numFmtId="0" fontId="36" fillId="0" borderId="0" xfId="0" applyFont="1">
      <alignment vertical="center"/>
    </xf>
    <xf numFmtId="0" fontId="40" fillId="0" borderId="0" xfId="0" applyFont="1">
      <alignment vertical="center"/>
    </xf>
    <xf numFmtId="0" fontId="33" fillId="28" borderId="0" xfId="0" applyFont="1" applyFill="1">
      <alignment vertical="center"/>
    </xf>
    <xf numFmtId="0" fontId="33" fillId="0" borderId="1" xfId="0" applyFont="1" applyBorder="1" applyAlignment="1">
      <alignment horizontal="center" vertical="center" wrapText="1"/>
    </xf>
    <xf numFmtId="0" fontId="33" fillId="28" borderId="1" xfId="0" applyFont="1" applyFill="1" applyBorder="1" applyAlignment="1">
      <alignment horizontal="center" vertical="center"/>
    </xf>
    <xf numFmtId="0" fontId="36" fillId="0" borderId="3" xfId="0" applyFont="1" applyBorder="1" applyAlignment="1">
      <alignment horizontal="center" vertical="center"/>
    </xf>
    <xf numFmtId="0" fontId="36" fillId="0" borderId="4" xfId="0" applyFont="1" applyBorder="1" applyAlignment="1">
      <alignment horizontal="center" vertical="center"/>
    </xf>
    <xf numFmtId="0" fontId="36" fillId="0" borderId="0" xfId="0" applyFont="1" applyAlignment="1">
      <alignment horizontal="center" vertical="center"/>
    </xf>
    <xf numFmtId="0" fontId="33" fillId="28" borderId="1" xfId="0" applyFont="1" applyFill="1" applyBorder="1" applyAlignment="1">
      <alignment horizontal="center" vertical="center" wrapText="1"/>
    </xf>
    <xf numFmtId="0" fontId="36" fillId="0" borderId="1" xfId="0" applyFont="1" applyBorder="1" applyAlignment="1">
      <alignment horizontal="center" vertical="center"/>
    </xf>
    <xf numFmtId="0" fontId="36" fillId="0" borderId="1" xfId="0" applyFont="1" applyBorder="1" applyAlignment="1">
      <alignment horizontal="center" vertical="center" wrapText="1"/>
    </xf>
    <xf numFmtId="0" fontId="33" fillId="0" borderId="1" xfId="0" applyFont="1" applyBorder="1" applyAlignment="1">
      <alignment horizontal="left" vertical="center" wrapText="1"/>
    </xf>
    <xf numFmtId="0" fontId="33" fillId="33" borderId="1" xfId="0" applyFont="1" applyFill="1" applyBorder="1" applyAlignment="1">
      <alignment horizontal="center" vertical="center" wrapText="1"/>
    </xf>
    <xf numFmtId="0" fontId="33" fillId="39" borderId="1" xfId="0" applyFont="1" applyFill="1" applyBorder="1" applyAlignment="1">
      <alignment horizontal="center" vertical="center" wrapText="1"/>
    </xf>
    <xf numFmtId="0" fontId="33" fillId="5" borderId="1" xfId="0" applyFont="1" applyFill="1" applyBorder="1" applyAlignment="1" applyProtection="1">
      <alignment horizontal="center" vertical="center" wrapText="1"/>
      <protection locked="0"/>
    </xf>
    <xf numFmtId="0" fontId="36" fillId="0" borderId="1" xfId="0" applyFont="1" applyBorder="1">
      <alignment vertical="center"/>
    </xf>
    <xf numFmtId="9" fontId="36" fillId="0" borderId="1" xfId="50" applyFont="1" applyFill="1" applyBorder="1" applyProtection="1">
      <alignment vertical="center"/>
    </xf>
    <xf numFmtId="1" fontId="36" fillId="0" borderId="1" xfId="0" applyNumberFormat="1" applyFont="1" applyBorder="1" applyAlignment="1">
      <alignment horizontal="center" vertical="center"/>
    </xf>
    <xf numFmtId="9" fontId="36" fillId="0" borderId="1" xfId="0" applyNumberFormat="1" applyFont="1" applyBorder="1">
      <alignment vertical="center"/>
    </xf>
    <xf numFmtId="0" fontId="36" fillId="0" borderId="0" xfId="0" applyFont="1" applyAlignment="1">
      <alignment horizontal="center" vertical="center" wrapText="1"/>
    </xf>
    <xf numFmtId="9" fontId="36" fillId="0" borderId="0" xfId="50" applyFont="1" applyBorder="1" applyAlignment="1">
      <alignment horizontal="center" vertical="center"/>
    </xf>
    <xf numFmtId="1" fontId="36" fillId="0" borderId="0" xfId="0" applyNumberFormat="1" applyFont="1" applyAlignment="1">
      <alignment horizontal="center" vertical="center"/>
    </xf>
    <xf numFmtId="1" fontId="41" fillId="0" borderId="0" xfId="0" applyNumberFormat="1" applyFont="1" applyAlignment="1">
      <alignment horizontal="center" vertical="center"/>
    </xf>
    <xf numFmtId="0" fontId="36" fillId="0" borderId="1" xfId="0" applyFont="1" applyBorder="1" applyAlignment="1">
      <alignment vertical="center" wrapText="1"/>
    </xf>
    <xf numFmtId="0" fontId="36" fillId="5" borderId="1" xfId="0" applyFont="1" applyFill="1" applyBorder="1" applyAlignment="1" applyProtection="1">
      <alignment horizontal="left" vertical="center" wrapText="1"/>
      <protection locked="0"/>
    </xf>
    <xf numFmtId="0" fontId="40" fillId="28" borderId="56" xfId="0" applyFont="1" applyFill="1" applyBorder="1">
      <alignment vertical="center"/>
    </xf>
    <xf numFmtId="0" fontId="36" fillId="30" borderId="0" xfId="0" applyFont="1" applyFill="1" applyAlignment="1">
      <alignment horizontal="center" vertical="center"/>
    </xf>
    <xf numFmtId="0" fontId="41" fillId="0" borderId="0" xfId="0" applyFont="1">
      <alignment vertical="center"/>
    </xf>
    <xf numFmtId="0" fontId="33" fillId="5" borderId="1" xfId="0" applyFont="1" applyFill="1" applyBorder="1" applyAlignment="1" applyProtection="1">
      <alignment horizontal="left" vertical="center" wrapText="1"/>
      <protection locked="0"/>
    </xf>
    <xf numFmtId="0" fontId="33" fillId="33" borderId="1" xfId="0" applyFont="1" applyFill="1" applyBorder="1" applyAlignment="1">
      <alignment horizontal="left" vertical="center" wrapText="1"/>
    </xf>
    <xf numFmtId="0" fontId="40" fillId="0" borderId="0" xfId="0" applyFont="1" applyAlignment="1">
      <alignment horizontal="left" vertical="center" wrapText="1"/>
    </xf>
    <xf numFmtId="0" fontId="36" fillId="30" borderId="1" xfId="0" applyFont="1" applyFill="1" applyBorder="1">
      <alignment vertical="center"/>
    </xf>
    <xf numFmtId="1" fontId="42" fillId="0" borderId="0" xfId="0" applyNumberFormat="1" applyFont="1" applyAlignment="1">
      <alignment horizontal="center" vertical="center"/>
    </xf>
    <xf numFmtId="0" fontId="36" fillId="33" borderId="1" xfId="0" applyFont="1" applyFill="1" applyBorder="1" applyAlignment="1" applyProtection="1">
      <alignment horizontal="left" vertical="center" wrapText="1"/>
      <protection locked="0"/>
    </xf>
    <xf numFmtId="0" fontId="36" fillId="38" borderId="0" xfId="0" applyFont="1" applyFill="1" applyProtection="1">
      <alignment vertical="center"/>
      <protection locked="0"/>
    </xf>
    <xf numFmtId="0" fontId="36" fillId="38" borderId="1" xfId="0" applyFont="1" applyFill="1" applyBorder="1" applyAlignment="1" applyProtection="1">
      <alignment vertical="center" wrapText="1"/>
      <protection locked="0"/>
    </xf>
    <xf numFmtId="0" fontId="36" fillId="5" borderId="1" xfId="0" applyFont="1" applyFill="1" applyBorder="1" applyAlignment="1" applyProtection="1">
      <alignment vertical="center" wrapText="1"/>
      <protection locked="0"/>
    </xf>
    <xf numFmtId="0" fontId="36" fillId="0" borderId="0" xfId="0" applyFont="1" applyAlignment="1">
      <alignment horizontal="left" vertical="center"/>
    </xf>
    <xf numFmtId="0" fontId="33" fillId="0" borderId="34" xfId="0" applyFont="1" applyBorder="1" applyAlignment="1">
      <alignment horizontal="center" vertical="center" textRotation="255" wrapText="1"/>
    </xf>
    <xf numFmtId="0" fontId="33" fillId="0" borderId="34" xfId="0" applyFont="1" applyBorder="1" applyAlignment="1">
      <alignment horizontal="center" vertical="center" wrapText="1"/>
    </xf>
    <xf numFmtId="0" fontId="33" fillId="28" borderId="34" xfId="0" applyFont="1" applyFill="1" applyBorder="1" applyAlignment="1">
      <alignment horizontal="center" vertical="center"/>
    </xf>
    <xf numFmtId="0" fontId="33" fillId="28" borderId="34" xfId="0" applyFont="1" applyFill="1" applyBorder="1" applyAlignment="1">
      <alignment horizontal="center" vertical="center" wrapText="1"/>
    </xf>
    <xf numFmtId="9" fontId="36" fillId="0" borderId="0" xfId="50" applyFont="1" applyBorder="1">
      <alignment vertical="center"/>
    </xf>
    <xf numFmtId="1" fontId="41" fillId="31" borderId="0" xfId="0" applyNumberFormat="1" applyFont="1" applyFill="1" applyAlignment="1">
      <alignment horizontal="center" vertical="center"/>
    </xf>
    <xf numFmtId="1" fontId="36" fillId="0" borderId="0" xfId="0" applyNumberFormat="1" applyFont="1">
      <alignment vertical="center"/>
    </xf>
    <xf numFmtId="1" fontId="42" fillId="31" borderId="0" xfId="0" applyNumberFormat="1" applyFont="1" applyFill="1" applyAlignment="1">
      <alignment horizontal="center" vertical="center"/>
    </xf>
    <xf numFmtId="0" fontId="40" fillId="28" borderId="0" xfId="0" applyFont="1" applyFill="1">
      <alignment vertical="center"/>
    </xf>
    <xf numFmtId="0" fontId="33" fillId="28" borderId="0" xfId="0" applyFont="1" applyFill="1" applyAlignment="1">
      <alignment horizontal="left" vertical="center"/>
    </xf>
    <xf numFmtId="0" fontId="36" fillId="5" borderId="4" xfId="0" applyFont="1" applyFill="1" applyBorder="1" applyAlignment="1" applyProtection="1">
      <alignment horizontal="center" vertical="center" wrapText="1"/>
      <protection locked="0"/>
    </xf>
    <xf numFmtId="0" fontId="33" fillId="28" borderId="0" xfId="0" applyFont="1" applyFill="1" applyAlignment="1"/>
    <xf numFmtId="0" fontId="36" fillId="0" borderId="0" xfId="0" applyFont="1" applyProtection="1">
      <alignment vertical="center"/>
      <protection locked="0"/>
    </xf>
    <xf numFmtId="0" fontId="33" fillId="29" borderId="0" xfId="0" applyFont="1" applyFill="1">
      <alignment vertical="center"/>
    </xf>
    <xf numFmtId="0" fontId="33" fillId="29" borderId="1" xfId="0" applyFont="1" applyFill="1" applyBorder="1" applyAlignment="1">
      <alignment horizontal="center" vertical="center"/>
    </xf>
    <xf numFmtId="0" fontId="33" fillId="29" borderId="1" xfId="0" applyFont="1" applyFill="1" applyBorder="1" applyAlignment="1">
      <alignment horizontal="center" vertical="center" wrapText="1"/>
    </xf>
    <xf numFmtId="0" fontId="40" fillId="0" borderId="1" xfId="0" applyFont="1" applyBorder="1">
      <alignment vertical="center"/>
    </xf>
    <xf numFmtId="0" fontId="36" fillId="5" borderId="1" xfId="0" applyFont="1" applyFill="1" applyBorder="1" applyAlignment="1" applyProtection="1">
      <alignment horizontal="center" vertical="center"/>
      <protection locked="0"/>
    </xf>
    <xf numFmtId="181" fontId="36" fillId="5" borderId="1" xfId="0" applyNumberFormat="1" applyFont="1" applyFill="1" applyBorder="1" applyProtection="1">
      <alignment vertical="center"/>
      <protection locked="0"/>
    </xf>
    <xf numFmtId="0" fontId="36" fillId="0" borderId="1" xfId="0" applyFont="1" applyBorder="1" applyProtection="1">
      <alignment vertical="center"/>
      <protection locked="0"/>
    </xf>
    <xf numFmtId="0" fontId="36" fillId="5" borderId="1" xfId="0" applyFont="1" applyFill="1" applyBorder="1" applyAlignment="1" applyProtection="1">
      <alignment horizontal="center" vertical="center" wrapText="1"/>
      <protection locked="0"/>
    </xf>
    <xf numFmtId="181" fontId="33" fillId="5" borderId="1" xfId="0" applyNumberFormat="1" applyFont="1" applyFill="1" applyBorder="1" applyProtection="1">
      <alignment vertical="center"/>
      <protection locked="0"/>
    </xf>
    <xf numFmtId="0" fontId="36" fillId="0" borderId="3" xfId="0" applyFont="1" applyBorder="1" applyAlignment="1">
      <alignment horizontal="left" vertical="center" wrapText="1"/>
    </xf>
    <xf numFmtId="0" fontId="36" fillId="0" borderId="4" xfId="0" applyFont="1" applyBorder="1" applyAlignment="1">
      <alignment horizontal="left" vertical="center" wrapText="1"/>
    </xf>
    <xf numFmtId="0" fontId="33" fillId="0" borderId="36" xfId="0" applyFont="1" applyBorder="1" applyAlignment="1">
      <alignment horizontal="distributed" vertical="center" wrapText="1"/>
    </xf>
    <xf numFmtId="0" fontId="36" fillId="0" borderId="0" xfId="0" applyFont="1" applyAlignment="1">
      <alignment horizontal="left" vertical="center" wrapText="1"/>
    </xf>
    <xf numFmtId="0" fontId="36" fillId="0" borderId="3" xfId="0" applyFont="1" applyBorder="1" applyAlignment="1">
      <alignment horizontal="center" vertical="center" wrapText="1"/>
    </xf>
    <xf numFmtId="0" fontId="36" fillId="0" borderId="4" xfId="0" applyFont="1" applyBorder="1" applyAlignment="1">
      <alignment horizontal="center" vertical="center" wrapText="1"/>
    </xf>
    <xf numFmtId="0" fontId="36" fillId="0" borderId="3" xfId="0" applyFont="1" applyBorder="1" applyAlignment="1">
      <alignment vertical="center" shrinkToFit="1"/>
    </xf>
    <xf numFmtId="0" fontId="36" fillId="0" borderId="8" xfId="0" applyFont="1" applyBorder="1" applyAlignment="1">
      <alignment horizontal="center" vertical="center" wrapText="1"/>
    </xf>
    <xf numFmtId="2" fontId="36" fillId="0" borderId="2" xfId="0" applyNumberFormat="1" applyFont="1" applyBorder="1" applyAlignment="1">
      <alignment vertical="center" shrinkToFit="1"/>
    </xf>
    <xf numFmtId="0" fontId="36" fillId="0" borderId="6" xfId="0" applyFont="1" applyBorder="1" applyAlignment="1">
      <alignment horizontal="left" vertical="center" wrapText="1"/>
    </xf>
    <xf numFmtId="0" fontId="33" fillId="5" borderId="1" xfId="0" applyFont="1" applyFill="1" applyBorder="1" applyAlignment="1">
      <alignment horizontal="left" vertical="center" wrapText="1"/>
    </xf>
    <xf numFmtId="0" fontId="36" fillId="33" borderId="1" xfId="0" applyFont="1" applyFill="1" applyBorder="1" applyAlignment="1">
      <alignment horizontal="left" vertical="center" wrapText="1"/>
    </xf>
    <xf numFmtId="0" fontId="36" fillId="0" borderId="8" xfId="0" applyFont="1" applyBorder="1" applyAlignment="1">
      <alignment horizontal="left" vertical="center" wrapText="1"/>
    </xf>
    <xf numFmtId="1" fontId="36" fillId="0" borderId="3" xfId="0" applyNumberFormat="1" applyFont="1" applyBorder="1" applyAlignment="1">
      <alignment vertical="center" shrinkToFit="1"/>
    </xf>
    <xf numFmtId="1" fontId="36" fillId="0" borderId="5" xfId="0" applyNumberFormat="1" applyFont="1" applyBorder="1" applyAlignment="1">
      <alignment vertical="center" shrinkToFit="1"/>
    </xf>
    <xf numFmtId="1" fontId="36" fillId="0" borderId="2" xfId="0" applyNumberFormat="1" applyFont="1" applyBorder="1" applyAlignment="1">
      <alignment vertical="center" shrinkToFit="1"/>
    </xf>
    <xf numFmtId="0" fontId="36" fillId="2" borderId="0" xfId="0" applyFont="1" applyFill="1" applyAlignment="1" applyProtection="1">
      <alignment horizontal="center" vertical="center"/>
      <protection locked="0"/>
    </xf>
    <xf numFmtId="0" fontId="29" fillId="0" borderId="0" xfId="0" applyFont="1" applyAlignment="1">
      <alignment horizontal="centerContinuous" vertical="center"/>
    </xf>
    <xf numFmtId="0" fontId="38" fillId="0" borderId="0" xfId="3" applyFont="1" applyAlignment="1">
      <alignment vertical="top"/>
    </xf>
    <xf numFmtId="0" fontId="32" fillId="0" borderId="0" xfId="53" applyFont="1" applyAlignment="1">
      <alignment horizontal="center" vertical="center"/>
    </xf>
    <xf numFmtId="0" fontId="33" fillId="29" borderId="80" xfId="3" applyFont="1" applyFill="1" applyBorder="1">
      <alignment vertical="center"/>
    </xf>
    <xf numFmtId="0" fontId="33" fillId="0" borderId="23" xfId="3" applyFont="1" applyBorder="1" applyAlignment="1">
      <alignment horizontal="center" vertical="center"/>
    </xf>
    <xf numFmtId="190" fontId="29" fillId="0" borderId="23" xfId="0" applyNumberFormat="1" applyFont="1" applyBorder="1">
      <alignment vertical="center"/>
    </xf>
    <xf numFmtId="180" fontId="33" fillId="0" borderId="22" xfId="3" applyNumberFormat="1" applyFont="1" applyBorder="1" applyAlignment="1">
      <alignment vertical="center" shrinkToFit="1"/>
    </xf>
    <xf numFmtId="191" fontId="32" fillId="0" borderId="23" xfId="3" applyNumberFormat="1" applyFont="1" applyBorder="1" applyAlignment="1">
      <alignment vertical="center" shrinkToFit="1"/>
    </xf>
    <xf numFmtId="180" fontId="32" fillId="0" borderId="22" xfId="3" applyNumberFormat="1" applyFont="1" applyBorder="1" applyAlignment="1">
      <alignment vertical="center" shrinkToFit="1"/>
    </xf>
    <xf numFmtId="190" fontId="29" fillId="0" borderId="29" xfId="0" applyNumberFormat="1" applyFont="1" applyBorder="1">
      <alignment vertical="center"/>
    </xf>
    <xf numFmtId="0" fontId="33" fillId="29" borderId="52" xfId="3" applyFont="1" applyFill="1" applyBorder="1">
      <alignment vertical="center"/>
    </xf>
    <xf numFmtId="0" fontId="33" fillId="29" borderId="27" xfId="3" applyFont="1" applyFill="1" applyBorder="1">
      <alignment vertical="center"/>
    </xf>
    <xf numFmtId="0" fontId="33" fillId="0" borderId="29" xfId="3" applyFont="1" applyBorder="1" applyAlignment="1">
      <alignment horizontal="center" vertical="center"/>
    </xf>
    <xf numFmtId="180" fontId="33" fillId="0" borderId="28" xfId="3" applyNumberFormat="1" applyFont="1" applyBorder="1" applyAlignment="1">
      <alignment vertical="center" shrinkToFit="1"/>
    </xf>
    <xf numFmtId="191" fontId="32" fillId="0" borderId="29" xfId="3" applyNumberFormat="1" applyFont="1" applyBorder="1" applyAlignment="1">
      <alignment vertical="center" shrinkToFit="1"/>
    </xf>
    <xf numFmtId="180" fontId="32" fillId="0" borderId="28" xfId="3" applyNumberFormat="1" applyFont="1" applyBorder="1" applyAlignment="1">
      <alignment vertical="center" shrinkToFit="1"/>
    </xf>
    <xf numFmtId="0" fontId="29" fillId="0" borderId="56" xfId="0" applyFont="1" applyBorder="1" applyAlignment="1">
      <alignment horizontal="centerContinuous" vertical="center"/>
    </xf>
    <xf numFmtId="0" fontId="33" fillId="29" borderId="25" xfId="3" applyFont="1" applyFill="1" applyBorder="1">
      <alignment vertical="center"/>
    </xf>
    <xf numFmtId="0" fontId="34" fillId="0" borderId="29" xfId="1" applyFont="1" applyBorder="1" applyAlignment="1">
      <alignment horizontal="center" vertical="center"/>
    </xf>
    <xf numFmtId="0" fontId="29" fillId="0" borderId="29" xfId="0" applyFont="1" applyBorder="1" applyAlignment="1">
      <alignment horizontal="centerContinuous" vertical="center"/>
    </xf>
    <xf numFmtId="0" fontId="29" fillId="0" borderId="28" xfId="0" applyFont="1" applyBorder="1" applyAlignment="1">
      <alignment horizontal="centerContinuous" vertical="center"/>
    </xf>
    <xf numFmtId="0" fontId="33" fillId="29" borderId="25" xfId="3" applyFont="1" applyFill="1" applyBorder="1" applyAlignment="1">
      <alignment horizontal="center" vertical="center"/>
    </xf>
    <xf numFmtId="0" fontId="38" fillId="29" borderId="27" xfId="3" applyFont="1" applyFill="1" applyBorder="1">
      <alignment vertical="center"/>
    </xf>
    <xf numFmtId="192" fontId="29" fillId="0" borderId="29" xfId="0" applyNumberFormat="1" applyFont="1" applyBorder="1">
      <alignment vertical="center"/>
    </xf>
    <xf numFmtId="0" fontId="29" fillId="29" borderId="0" xfId="0" applyFont="1" applyFill="1">
      <alignment vertical="center"/>
    </xf>
    <xf numFmtId="0" fontId="33" fillId="29" borderId="91" xfId="3" applyFont="1" applyFill="1" applyBorder="1">
      <alignment vertical="center"/>
    </xf>
    <xf numFmtId="0" fontId="34" fillId="0" borderId="92" xfId="1" applyFont="1" applyBorder="1" applyAlignment="1">
      <alignment horizontal="center" vertical="center"/>
    </xf>
    <xf numFmtId="0" fontId="29" fillId="0" borderId="92" xfId="0" applyFont="1" applyBorder="1">
      <alignment vertical="center"/>
    </xf>
    <xf numFmtId="180" fontId="33" fillId="0" borderId="93" xfId="3" applyNumberFormat="1" applyFont="1" applyBorder="1" applyAlignment="1">
      <alignment vertical="center" shrinkToFit="1"/>
    </xf>
    <xf numFmtId="191" fontId="32" fillId="0" borderId="92" xfId="3" applyNumberFormat="1" applyFont="1" applyBorder="1" applyAlignment="1">
      <alignment vertical="center" shrinkToFit="1"/>
    </xf>
    <xf numFmtId="38" fontId="29" fillId="29" borderId="80" xfId="52" applyFont="1" applyFill="1" applyBorder="1" applyAlignment="1">
      <alignment vertical="center"/>
    </xf>
    <xf numFmtId="0" fontId="34" fillId="0" borderId="94" xfId="1" applyFont="1" applyBorder="1" applyAlignment="1">
      <alignment horizontal="center" vertical="center"/>
    </xf>
    <xf numFmtId="0" fontId="29" fillId="0" borderId="23" xfId="0" applyFont="1" applyBorder="1" applyAlignment="1">
      <alignment horizontal="centerContinuous" vertical="center"/>
    </xf>
    <xf numFmtId="0" fontId="29" fillId="0" borderId="22" xfId="0" applyFont="1" applyBorder="1" applyAlignment="1">
      <alignment horizontal="centerContinuous" vertical="center"/>
    </xf>
    <xf numFmtId="193" fontId="29" fillId="0" borderId="23" xfId="0" applyNumberFormat="1" applyFont="1" applyBorder="1">
      <alignment vertical="center"/>
    </xf>
    <xf numFmtId="38" fontId="29" fillId="29" borderId="27" xfId="52" applyFont="1" applyFill="1" applyBorder="1" applyAlignment="1">
      <alignment vertical="center"/>
    </xf>
    <xf numFmtId="0" fontId="34" fillId="0" borderId="95" xfId="1" applyFont="1" applyBorder="1" applyAlignment="1">
      <alignment horizontal="center" vertical="center"/>
    </xf>
    <xf numFmtId="193" fontId="29" fillId="0" borderId="29" xfId="0" applyNumberFormat="1" applyFont="1" applyBorder="1">
      <alignment vertical="center"/>
    </xf>
    <xf numFmtId="0" fontId="43" fillId="0" borderId="52" xfId="3" applyFont="1" applyBorder="1">
      <alignment vertical="center"/>
    </xf>
    <xf numFmtId="193" fontId="29" fillId="30" borderId="29" xfId="0" applyNumberFormat="1" applyFont="1" applyFill="1" applyBorder="1">
      <alignment vertical="center"/>
    </xf>
    <xf numFmtId="191" fontId="32" fillId="30" borderId="29" xfId="3" applyNumberFormat="1" applyFont="1" applyFill="1" applyBorder="1" applyAlignment="1">
      <alignment vertical="center" shrinkToFit="1"/>
    </xf>
    <xf numFmtId="38" fontId="29" fillId="29" borderId="91" xfId="52" applyFont="1" applyFill="1" applyBorder="1" applyAlignment="1">
      <alignment vertical="center"/>
    </xf>
    <xf numFmtId="0" fontId="34" fillId="0" borderId="96" xfId="1" applyFont="1" applyBorder="1" applyAlignment="1">
      <alignment horizontal="center" vertical="center"/>
    </xf>
    <xf numFmtId="193" fontId="33" fillId="0" borderId="92" xfId="3" applyNumberFormat="1" applyFont="1" applyBorder="1" applyAlignment="1">
      <alignment vertical="center" shrinkToFit="1"/>
    </xf>
    <xf numFmtId="0" fontId="33" fillId="29" borderId="23" xfId="3" applyFont="1" applyFill="1" applyBorder="1">
      <alignment vertical="center"/>
    </xf>
    <xf numFmtId="0" fontId="33" fillId="0" borderId="94" xfId="3" applyFont="1" applyBorder="1" applyAlignment="1">
      <alignment horizontal="center" vertical="center"/>
    </xf>
    <xf numFmtId="0" fontId="29" fillId="0" borderId="23" xfId="0" applyFont="1" applyBorder="1">
      <alignment vertical="center"/>
    </xf>
    <xf numFmtId="0" fontId="29" fillId="0" borderId="22" xfId="0" applyFont="1" applyBorder="1">
      <alignment vertical="center"/>
    </xf>
    <xf numFmtId="0" fontId="33" fillId="29" borderId="29" xfId="3" applyFont="1" applyFill="1" applyBorder="1">
      <alignment vertical="center"/>
    </xf>
    <xf numFmtId="0" fontId="33" fillId="0" borderId="95" xfId="3" applyFont="1" applyBorder="1" applyAlignment="1">
      <alignment horizontal="center" vertical="center"/>
    </xf>
    <xf numFmtId="0" fontId="29" fillId="0" borderId="29" xfId="0" applyFont="1" applyBorder="1">
      <alignment vertical="center"/>
    </xf>
    <xf numFmtId="0" fontId="29" fillId="0" borderId="28" xfId="0" applyFont="1" applyBorder="1">
      <alignment vertical="center"/>
    </xf>
    <xf numFmtId="0" fontId="33" fillId="29" borderId="92" xfId="3" applyFont="1" applyFill="1" applyBorder="1">
      <alignment vertical="center"/>
    </xf>
    <xf numFmtId="0" fontId="33" fillId="0" borderId="96" xfId="3" applyFont="1" applyBorder="1" applyAlignment="1">
      <alignment horizontal="center" vertical="center"/>
    </xf>
    <xf numFmtId="0" fontId="29" fillId="0" borderId="92" xfId="0" applyFont="1" applyBorder="1" applyAlignment="1">
      <alignment horizontal="centerContinuous" vertical="center"/>
    </xf>
    <xf numFmtId="0" fontId="29" fillId="0" borderId="93" xfId="0" applyFont="1" applyBorder="1" applyAlignment="1">
      <alignment horizontal="centerContinuous" vertical="center"/>
    </xf>
    <xf numFmtId="0" fontId="33" fillId="29" borderId="24" xfId="3" applyFont="1" applyFill="1" applyBorder="1">
      <alignment vertical="center"/>
    </xf>
    <xf numFmtId="194" fontId="33" fillId="0" borderId="23" xfId="3" applyNumberFormat="1" applyFont="1" applyBorder="1" applyAlignment="1">
      <alignment vertical="center" shrinkToFit="1"/>
    </xf>
    <xf numFmtId="194" fontId="33" fillId="0" borderId="22" xfId="3" applyNumberFormat="1" applyFont="1" applyBorder="1" applyAlignment="1">
      <alignment vertical="center" shrinkToFit="1"/>
    </xf>
    <xf numFmtId="194" fontId="33" fillId="0" borderId="29" xfId="3" applyNumberFormat="1" applyFont="1" applyBorder="1" applyAlignment="1">
      <alignment vertical="center" shrinkToFit="1"/>
    </xf>
    <xf numFmtId="194" fontId="33" fillId="0" borderId="28" xfId="3" applyNumberFormat="1" applyFont="1" applyBorder="1" applyAlignment="1">
      <alignment vertical="center" shrinkToFit="1"/>
    </xf>
    <xf numFmtId="0" fontId="33" fillId="29" borderId="29" xfId="3" applyFont="1" applyFill="1" applyBorder="1" applyAlignment="1">
      <alignment horizontal="left" vertical="center"/>
    </xf>
    <xf numFmtId="0" fontId="33" fillId="29" borderId="27" xfId="3" applyFont="1" applyFill="1" applyBorder="1" applyAlignment="1">
      <alignment horizontal="left" vertical="center"/>
    </xf>
    <xf numFmtId="0" fontId="29" fillId="0" borderId="29" xfId="0" applyFont="1" applyBorder="1" applyAlignment="1">
      <alignment horizontal="left" vertical="center" indent="5"/>
    </xf>
    <xf numFmtId="0" fontId="29" fillId="29" borderId="101" xfId="0" applyFont="1" applyFill="1" applyBorder="1">
      <alignment vertical="center"/>
    </xf>
    <xf numFmtId="0" fontId="29" fillId="29" borderId="30" xfId="0" applyFont="1" applyFill="1" applyBorder="1">
      <alignment vertical="center"/>
    </xf>
    <xf numFmtId="0" fontId="29" fillId="29" borderId="28" xfId="0" applyFont="1" applyFill="1" applyBorder="1" applyAlignment="1">
      <alignment vertical="center" wrapText="1"/>
    </xf>
    <xf numFmtId="193" fontId="33" fillId="0" borderId="29" xfId="3" applyNumberFormat="1" applyFont="1" applyBorder="1" applyAlignment="1">
      <alignment vertical="center" shrinkToFit="1"/>
    </xf>
    <xf numFmtId="0" fontId="29" fillId="29" borderId="90" xfId="0" applyFont="1" applyFill="1" applyBorder="1">
      <alignment vertical="center"/>
    </xf>
    <xf numFmtId="0" fontId="29" fillId="29" borderId="28" xfId="0" applyFont="1" applyFill="1" applyBorder="1">
      <alignment vertical="center"/>
    </xf>
    <xf numFmtId="0" fontId="29" fillId="29" borderId="35" xfId="0" applyFont="1" applyFill="1" applyBorder="1">
      <alignment vertical="center"/>
    </xf>
    <xf numFmtId="0" fontId="29" fillId="29" borderId="25" xfId="0" applyFont="1" applyFill="1" applyBorder="1">
      <alignment vertical="center"/>
    </xf>
    <xf numFmtId="0" fontId="29" fillId="29" borderId="30" xfId="0" applyFont="1" applyFill="1" applyBorder="1" applyAlignment="1">
      <alignment vertical="center" wrapText="1"/>
    </xf>
    <xf numFmtId="0" fontId="29" fillId="29" borderId="104" xfId="0" applyFont="1" applyFill="1" applyBorder="1">
      <alignment vertical="center"/>
    </xf>
    <xf numFmtId="182" fontId="33" fillId="5" borderId="25" xfId="3" applyNumberFormat="1" applyFont="1" applyFill="1" applyBorder="1" applyProtection="1">
      <alignment vertical="center"/>
      <protection locked="0"/>
    </xf>
    <xf numFmtId="184" fontId="33" fillId="5" borderId="29" xfId="3" applyNumberFormat="1" applyFont="1" applyFill="1" applyBorder="1" applyProtection="1">
      <alignment vertical="center"/>
      <protection locked="0"/>
    </xf>
    <xf numFmtId="184" fontId="33" fillId="5" borderId="67" xfId="3" applyNumberFormat="1" applyFont="1" applyFill="1" applyBorder="1" applyProtection="1">
      <alignment vertical="center"/>
      <protection locked="0"/>
    </xf>
    <xf numFmtId="182" fontId="34" fillId="5" borderId="69" xfId="54" applyNumberFormat="1" applyFont="1" applyFill="1" applyBorder="1" applyAlignment="1" applyProtection="1">
      <alignment horizontal="center" vertical="center"/>
      <protection locked="0"/>
    </xf>
    <xf numFmtId="0" fontId="33" fillId="5" borderId="1" xfId="3" applyFont="1" applyFill="1" applyBorder="1" applyProtection="1">
      <alignment vertical="center"/>
      <protection locked="0"/>
    </xf>
    <xf numFmtId="182" fontId="33" fillId="5" borderId="17" xfId="3" applyNumberFormat="1" applyFont="1" applyFill="1" applyBorder="1" applyAlignment="1" applyProtection="1">
      <alignment vertical="center" shrinkToFit="1"/>
      <protection locked="0"/>
    </xf>
    <xf numFmtId="182" fontId="33" fillId="5" borderId="119" xfId="3" applyNumberFormat="1" applyFont="1" applyFill="1" applyBorder="1" applyAlignment="1" applyProtection="1">
      <alignment vertical="center" shrinkToFit="1"/>
      <protection locked="0"/>
    </xf>
    <xf numFmtId="182" fontId="33" fillId="5" borderId="112" xfId="3" applyNumberFormat="1" applyFont="1" applyFill="1" applyBorder="1" applyAlignment="1" applyProtection="1">
      <alignment vertical="center" shrinkToFit="1"/>
      <protection locked="0"/>
    </xf>
    <xf numFmtId="182" fontId="33" fillId="5" borderId="113" xfId="3" applyNumberFormat="1" applyFont="1" applyFill="1" applyBorder="1" applyAlignment="1" applyProtection="1">
      <alignment vertical="center" shrinkToFit="1"/>
      <protection locked="0"/>
    </xf>
    <xf numFmtId="0" fontId="36" fillId="5" borderId="1" xfId="54" applyFont="1" applyFill="1" applyBorder="1" applyAlignment="1" applyProtection="1">
      <alignment horizontal="left" vertical="center" shrinkToFit="1"/>
      <protection locked="0"/>
    </xf>
    <xf numFmtId="9" fontId="36" fillId="5" borderId="1" xfId="54" applyNumberFormat="1" applyFont="1" applyFill="1" applyBorder="1" applyProtection="1">
      <alignment vertical="center"/>
      <protection locked="0"/>
    </xf>
    <xf numFmtId="179" fontId="36" fillId="5" borderId="1" xfId="54" applyNumberFormat="1" applyFont="1" applyFill="1" applyBorder="1" applyAlignment="1" applyProtection="1">
      <alignment vertical="center" shrinkToFit="1"/>
      <protection locked="0"/>
    </xf>
    <xf numFmtId="0" fontId="36" fillId="5" borderId="1" xfId="54" applyFont="1" applyFill="1" applyBorder="1" applyAlignment="1" applyProtection="1">
      <alignment horizontal="left" vertical="center" wrapText="1" shrinkToFit="1"/>
      <protection locked="0"/>
    </xf>
    <xf numFmtId="0" fontId="33" fillId="0" borderId="37" xfId="3" applyFont="1" applyBorder="1" applyAlignment="1">
      <alignment horizontal="center" vertical="center"/>
    </xf>
    <xf numFmtId="3" fontId="36" fillId="5" borderId="1" xfId="54" applyNumberFormat="1" applyFont="1" applyFill="1" applyBorder="1" applyAlignment="1" applyProtection="1">
      <alignment horizontal="left" vertical="center" shrinkToFit="1"/>
      <protection locked="0"/>
    </xf>
    <xf numFmtId="0" fontId="47" fillId="0" borderId="37" xfId="3" applyFont="1" applyBorder="1">
      <alignment vertical="center"/>
    </xf>
    <xf numFmtId="0" fontId="33" fillId="0" borderId="179" xfId="3" applyFont="1" applyBorder="1" applyAlignment="1">
      <alignment horizontal="center" vertical="center"/>
    </xf>
    <xf numFmtId="0" fontId="33" fillId="0" borderId="180" xfId="3" applyFont="1" applyBorder="1">
      <alignment vertical="center"/>
    </xf>
    <xf numFmtId="0" fontId="33" fillId="0" borderId="181" xfId="3" applyFont="1" applyBorder="1" applyAlignment="1">
      <alignment horizontal="centerContinuous" vertical="center"/>
    </xf>
    <xf numFmtId="0" fontId="33" fillId="0" borderId="182" xfId="3" applyFont="1" applyBorder="1" applyAlignment="1">
      <alignment horizontal="centerContinuous" vertical="center"/>
    </xf>
    <xf numFmtId="176" fontId="33" fillId="0" borderId="183" xfId="3" applyNumberFormat="1" applyFont="1" applyBorder="1" applyAlignment="1">
      <alignment horizontal="center" vertical="center"/>
    </xf>
    <xf numFmtId="0" fontId="29" fillId="0" borderId="179" xfId="0" applyFont="1" applyBorder="1" applyAlignment="1">
      <alignment horizontal="centerContinuous" vertical="center"/>
    </xf>
    <xf numFmtId="0" fontId="29" fillId="0" borderId="181" xfId="0" applyFont="1" applyBorder="1" applyAlignment="1">
      <alignment horizontal="centerContinuous" vertical="center"/>
    </xf>
    <xf numFmtId="0" fontId="29" fillId="0" borderId="182" xfId="0" applyFont="1" applyBorder="1" applyAlignment="1">
      <alignment horizontal="centerContinuous" vertical="center"/>
    </xf>
    <xf numFmtId="0" fontId="29" fillId="0" borderId="94" xfId="0" applyFont="1" applyBorder="1">
      <alignment vertical="center"/>
    </xf>
    <xf numFmtId="0" fontId="29" fillId="0" borderId="94" xfId="0" applyFont="1" applyBorder="1" applyAlignment="1">
      <alignment horizontal="center" vertical="center"/>
    </xf>
    <xf numFmtId="0" fontId="29" fillId="0" borderId="95" xfId="0" applyFont="1" applyBorder="1">
      <alignment vertical="center"/>
    </xf>
    <xf numFmtId="0" fontId="29" fillId="0" borderId="95" xfId="0" applyFont="1" applyBorder="1" applyAlignment="1">
      <alignment horizontal="center" vertical="center"/>
    </xf>
    <xf numFmtId="0" fontId="33" fillId="0" borderId="185" xfId="3" applyFont="1" applyBorder="1" applyAlignment="1">
      <alignment horizontal="center" vertical="center"/>
    </xf>
    <xf numFmtId="190" fontId="29" fillId="0" borderId="185" xfId="0" applyNumberFormat="1" applyFont="1" applyBorder="1">
      <alignment vertical="center"/>
    </xf>
    <xf numFmtId="180" fontId="33" fillId="0" borderId="186" xfId="3" applyNumberFormat="1" applyFont="1" applyBorder="1" applyAlignment="1">
      <alignment vertical="center" shrinkToFit="1"/>
    </xf>
    <xf numFmtId="191" fontId="32" fillId="0" borderId="185" xfId="3" applyNumberFormat="1" applyFont="1" applyBorder="1" applyAlignment="1">
      <alignment vertical="center" shrinkToFit="1"/>
    </xf>
    <xf numFmtId="180" fontId="32" fillId="0" borderId="186" xfId="3" applyNumberFormat="1" applyFont="1" applyBorder="1" applyAlignment="1">
      <alignment vertical="center" shrinkToFit="1"/>
    </xf>
    <xf numFmtId="0" fontId="29" fillId="0" borderId="96" xfId="0" applyFont="1" applyBorder="1">
      <alignment vertical="center"/>
    </xf>
    <xf numFmtId="0" fontId="29" fillId="0" borderId="96" xfId="0" applyFont="1" applyBorder="1" applyAlignment="1">
      <alignment horizontal="center" vertical="center"/>
    </xf>
    <xf numFmtId="38" fontId="29" fillId="0" borderId="94" xfId="52" applyFont="1" applyFill="1" applyBorder="1" applyAlignment="1">
      <alignment vertical="center"/>
    </xf>
    <xf numFmtId="38" fontId="29" fillId="0" borderId="94" xfId="52" applyFont="1" applyFill="1" applyBorder="1" applyAlignment="1">
      <alignment horizontal="center" vertical="center"/>
    </xf>
    <xf numFmtId="204" fontId="29" fillId="0" borderId="23" xfId="0" applyNumberFormat="1" applyFont="1" applyBorder="1">
      <alignment vertical="center"/>
    </xf>
    <xf numFmtId="205" fontId="29" fillId="0" borderId="23" xfId="0" applyNumberFormat="1" applyFont="1" applyBorder="1">
      <alignment vertical="center"/>
    </xf>
    <xf numFmtId="38" fontId="29" fillId="0" borderId="95" xfId="52" applyFont="1" applyFill="1" applyBorder="1" applyAlignment="1">
      <alignment vertical="center"/>
    </xf>
    <xf numFmtId="38" fontId="29" fillId="0" borderId="95" xfId="52" applyFont="1" applyFill="1" applyBorder="1" applyAlignment="1">
      <alignment horizontal="center" vertical="center"/>
    </xf>
    <xf numFmtId="204" fontId="29" fillId="0" borderId="29" xfId="0" applyNumberFormat="1" applyFont="1" applyBorder="1">
      <alignment vertical="center"/>
    </xf>
    <xf numFmtId="38" fontId="29" fillId="0" borderId="96" xfId="52" applyFont="1" applyFill="1" applyBorder="1" applyAlignment="1">
      <alignment vertical="center"/>
    </xf>
    <xf numFmtId="38" fontId="29" fillId="0" borderId="96" xfId="52" applyFont="1" applyFill="1" applyBorder="1" applyAlignment="1">
      <alignment horizontal="center" vertical="center"/>
    </xf>
    <xf numFmtId="0" fontId="33" fillId="29" borderId="28" xfId="3" applyFont="1" applyFill="1" applyBorder="1">
      <alignment vertical="center"/>
    </xf>
    <xf numFmtId="38" fontId="29" fillId="0" borderId="187" xfId="52" applyFont="1" applyFill="1" applyBorder="1" applyAlignment="1">
      <alignment vertical="center"/>
    </xf>
    <xf numFmtId="38" fontId="29" fillId="0" borderId="187" xfId="52" applyFont="1" applyFill="1" applyBorder="1" applyAlignment="1">
      <alignment horizontal="center" vertical="center"/>
    </xf>
    <xf numFmtId="0" fontId="34" fillId="0" borderId="187" xfId="1" applyFont="1" applyBorder="1" applyAlignment="1">
      <alignment horizontal="center" vertical="center"/>
    </xf>
    <xf numFmtId="0" fontId="29" fillId="0" borderId="185" xfId="0" applyFont="1" applyBorder="1" applyAlignment="1">
      <alignment horizontal="centerContinuous" vertical="center"/>
    </xf>
    <xf numFmtId="0" fontId="29" fillId="0" borderId="186" xfId="0" applyFont="1" applyBorder="1" applyAlignment="1">
      <alignment horizontal="centerContinuous" vertical="center"/>
    </xf>
    <xf numFmtId="194" fontId="33" fillId="0" borderId="185" xfId="3" applyNumberFormat="1" applyFont="1" applyBorder="1" applyAlignment="1">
      <alignment vertical="center" shrinkToFit="1"/>
    </xf>
    <xf numFmtId="194" fontId="33" fillId="0" borderId="186" xfId="3" applyNumberFormat="1" applyFont="1" applyBorder="1" applyAlignment="1">
      <alignment vertical="center" shrinkToFit="1"/>
    </xf>
    <xf numFmtId="179" fontId="36" fillId="5" borderId="180" xfId="54" applyNumberFormat="1" applyFont="1" applyFill="1" applyBorder="1" applyProtection="1">
      <alignment vertical="center"/>
      <protection locked="0"/>
    </xf>
    <xf numFmtId="179" fontId="33" fillId="5" borderId="180" xfId="54" applyNumberFormat="1" applyFont="1" applyFill="1" applyBorder="1" applyProtection="1">
      <alignment vertical="center"/>
      <protection locked="0"/>
    </xf>
    <xf numFmtId="0" fontId="33" fillId="5" borderId="1" xfId="54" applyFont="1" applyFill="1" applyBorder="1" applyProtection="1">
      <alignment vertical="center"/>
      <protection locked="0"/>
    </xf>
    <xf numFmtId="179" fontId="33" fillId="5" borderId="1" xfId="54" applyNumberFormat="1" applyFont="1" applyFill="1" applyBorder="1" applyProtection="1">
      <alignment vertical="center"/>
      <protection locked="0"/>
    </xf>
    <xf numFmtId="0" fontId="33" fillId="5" borderId="1" xfId="54" applyFont="1" applyFill="1" applyBorder="1" applyAlignment="1" applyProtection="1">
      <alignment horizontal="left" vertical="center" shrinkToFit="1"/>
      <protection locked="0"/>
    </xf>
    <xf numFmtId="9" fontId="33" fillId="5" borderId="1" xfId="54" applyNumberFormat="1" applyFont="1" applyFill="1" applyBorder="1" applyProtection="1">
      <alignment vertical="center"/>
      <protection locked="0"/>
    </xf>
    <xf numFmtId="179" fontId="33" fillId="5" borderId="1" xfId="54" applyNumberFormat="1" applyFont="1" applyFill="1" applyBorder="1" applyAlignment="1" applyProtection="1">
      <alignment vertical="center" shrinkToFit="1"/>
      <protection locked="0"/>
    </xf>
    <xf numFmtId="0" fontId="33" fillId="5" borderId="1" xfId="54" applyFont="1" applyFill="1" applyBorder="1" applyAlignment="1" applyProtection="1">
      <alignment horizontal="left" vertical="center" wrapText="1" shrinkToFit="1"/>
      <protection locked="0"/>
    </xf>
    <xf numFmtId="3" fontId="33" fillId="5" borderId="1" xfId="54" applyNumberFormat="1" applyFont="1" applyFill="1" applyBorder="1" applyAlignment="1" applyProtection="1">
      <alignment horizontal="left" vertical="center" shrinkToFit="1"/>
      <protection locked="0"/>
    </xf>
    <xf numFmtId="177" fontId="33" fillId="5" borderId="1" xfId="54" applyNumberFormat="1" applyFont="1" applyFill="1" applyBorder="1" applyProtection="1">
      <alignment vertical="center"/>
      <protection locked="0"/>
    </xf>
    <xf numFmtId="177" fontId="33" fillId="5" borderId="34" xfId="54" applyNumberFormat="1" applyFont="1" applyFill="1" applyBorder="1" applyProtection="1">
      <alignment vertical="center"/>
      <protection locked="0"/>
    </xf>
    <xf numFmtId="182" fontId="33" fillId="5" borderId="69" xfId="54" applyNumberFormat="1" applyFont="1" applyFill="1" applyBorder="1" applyAlignment="1" applyProtection="1">
      <alignment horizontal="center" vertical="center"/>
      <protection locked="0"/>
    </xf>
    <xf numFmtId="178" fontId="36" fillId="32" borderId="1" xfId="0" applyNumberFormat="1" applyFont="1" applyFill="1" applyBorder="1" applyAlignment="1" applyProtection="1">
      <alignment horizontal="center" vertical="center" shrinkToFit="1"/>
      <protection locked="0"/>
    </xf>
    <xf numFmtId="178" fontId="36" fillId="32" borderId="2" xfId="0" applyNumberFormat="1" applyFont="1" applyFill="1" applyBorder="1" applyAlignment="1" applyProtection="1">
      <alignment horizontal="center" vertical="center" shrinkToFit="1"/>
      <protection locked="0"/>
    </xf>
    <xf numFmtId="0" fontId="36" fillId="0" borderId="0" xfId="0" applyFont="1" applyAlignment="1">
      <alignment vertical="center" shrinkToFit="1"/>
    </xf>
    <xf numFmtId="177" fontId="36" fillId="32" borderId="1" xfId="0" applyNumberFormat="1" applyFont="1" applyFill="1" applyBorder="1" applyAlignment="1" applyProtection="1">
      <alignment horizontal="center" vertical="center" shrinkToFit="1"/>
      <protection locked="0"/>
    </xf>
    <xf numFmtId="177" fontId="36" fillId="32" borderId="2" xfId="0" applyNumberFormat="1" applyFont="1" applyFill="1" applyBorder="1" applyAlignment="1" applyProtection="1">
      <alignment horizontal="center" vertical="center" shrinkToFit="1"/>
      <protection locked="0"/>
    </xf>
    <xf numFmtId="0" fontId="33" fillId="0" borderId="182" xfId="0" applyFont="1" applyBorder="1" applyAlignment="1">
      <alignment horizontal="left" vertical="center" wrapText="1"/>
    </xf>
    <xf numFmtId="2" fontId="33" fillId="0" borderId="179" xfId="0" applyNumberFormat="1" applyFont="1" applyBorder="1" applyAlignment="1">
      <alignment vertical="center" shrinkToFit="1"/>
    </xf>
    <xf numFmtId="193" fontId="33" fillId="0" borderId="8" xfId="0" applyNumberFormat="1" applyFont="1" applyBorder="1" applyAlignment="1">
      <alignment horizontal="center" vertical="center" wrapText="1"/>
    </xf>
    <xf numFmtId="198" fontId="33" fillId="5" borderId="194" xfId="54" applyNumberFormat="1" applyFont="1" applyFill="1" applyBorder="1" applyAlignment="1" applyProtection="1">
      <alignment vertical="center" shrinkToFit="1"/>
      <protection locked="0"/>
    </xf>
    <xf numFmtId="198" fontId="34" fillId="5" borderId="194" xfId="54" applyNumberFormat="1" applyFont="1" applyFill="1" applyBorder="1" applyAlignment="1" applyProtection="1">
      <alignment vertical="center" shrinkToFit="1"/>
      <protection locked="0"/>
    </xf>
    <xf numFmtId="0" fontId="36" fillId="0" borderId="180" xfId="0" applyFont="1" applyBorder="1">
      <alignment vertical="center"/>
    </xf>
    <xf numFmtId="0" fontId="65" fillId="0" borderId="0" xfId="0" applyFont="1">
      <alignment vertical="center"/>
    </xf>
    <xf numFmtId="0" fontId="66" fillId="0" borderId="0" xfId="0" applyFont="1">
      <alignment vertical="center"/>
    </xf>
    <xf numFmtId="0" fontId="67" fillId="0" borderId="0" xfId="0" applyFont="1">
      <alignment vertical="center"/>
    </xf>
    <xf numFmtId="0" fontId="22" fillId="0" borderId="0" xfId="0" applyFont="1">
      <alignment vertical="center"/>
    </xf>
    <xf numFmtId="0" fontId="5" fillId="0" borderId="0" xfId="0" applyFont="1">
      <alignment vertical="center"/>
    </xf>
    <xf numFmtId="0" fontId="13" fillId="0" borderId="0" xfId="0" applyFont="1">
      <alignment vertical="center"/>
    </xf>
    <xf numFmtId="0" fontId="5" fillId="0" borderId="0" xfId="0" applyFont="1" applyProtection="1">
      <alignment vertical="center"/>
      <protection locked="0"/>
    </xf>
    <xf numFmtId="195" fontId="5" fillId="0" borderId="0" xfId="0" applyNumberFormat="1" applyFont="1">
      <alignment vertical="center"/>
    </xf>
    <xf numFmtId="0" fontId="68" fillId="0" borderId="0" xfId="0" applyFont="1">
      <alignment vertical="center"/>
    </xf>
    <xf numFmtId="0" fontId="69" fillId="0" borderId="0" xfId="0" applyFont="1" applyAlignment="1"/>
    <xf numFmtId="0" fontId="69" fillId="0" borderId="0" xfId="0" applyFont="1">
      <alignment vertical="center"/>
    </xf>
    <xf numFmtId="0" fontId="33" fillId="5" borderId="1" xfId="0" applyFont="1" applyFill="1" applyBorder="1" applyAlignment="1" applyProtection="1">
      <alignment horizontal="center" vertical="center"/>
      <protection locked="0"/>
    </xf>
    <xf numFmtId="0" fontId="33" fillId="5" borderId="1" xfId="0" applyFont="1" applyFill="1" applyBorder="1" applyProtection="1">
      <alignment vertical="center"/>
      <protection locked="0"/>
    </xf>
    <xf numFmtId="0" fontId="62" fillId="0" borderId="0" xfId="0" applyFont="1" applyProtection="1">
      <alignment vertical="center"/>
      <protection hidden="1"/>
    </xf>
    <xf numFmtId="183" fontId="36" fillId="0" borderId="0" xfId="0" applyNumberFormat="1" applyFont="1">
      <alignment vertical="center"/>
    </xf>
    <xf numFmtId="0" fontId="40" fillId="0" borderId="0" xfId="0" applyFont="1" applyAlignment="1">
      <alignment horizontal="left" vertical="center"/>
    </xf>
    <xf numFmtId="0" fontId="40" fillId="0" borderId="70" xfId="0" applyFont="1" applyBorder="1" applyAlignment="1">
      <alignment horizontal="left" vertical="center"/>
    </xf>
    <xf numFmtId="0" fontId="62" fillId="0" borderId="0" xfId="0" applyFont="1">
      <alignment vertical="center"/>
    </xf>
    <xf numFmtId="0" fontId="36" fillId="5" borderId="1" xfId="0" applyFont="1" applyFill="1" applyBorder="1" applyProtection="1">
      <alignment vertical="center"/>
      <protection locked="0"/>
    </xf>
    <xf numFmtId="0" fontId="36" fillId="5" borderId="183" xfId="0" applyFont="1" applyFill="1" applyBorder="1" applyProtection="1">
      <alignment vertical="center"/>
      <protection locked="0"/>
    </xf>
    <xf numFmtId="0" fontId="36" fillId="5" borderId="34" xfId="0" applyFont="1" applyFill="1" applyBorder="1" applyProtection="1">
      <alignment vertical="center"/>
      <protection locked="0"/>
    </xf>
    <xf numFmtId="49" fontId="36" fillId="5" borderId="34" xfId="0" applyNumberFormat="1" applyFont="1" applyFill="1" applyBorder="1" applyAlignment="1" applyProtection="1">
      <alignment horizontal="center" vertical="center"/>
      <protection locked="0"/>
    </xf>
    <xf numFmtId="49" fontId="36" fillId="5" borderId="55" xfId="0" applyNumberFormat="1" applyFont="1" applyFill="1" applyBorder="1" applyAlignment="1" applyProtection="1">
      <alignment horizontal="center" vertical="center"/>
      <protection locked="0"/>
    </xf>
    <xf numFmtId="0" fontId="36" fillId="5" borderId="180" xfId="0" applyFont="1" applyFill="1" applyBorder="1" applyProtection="1">
      <alignment vertical="center"/>
      <protection locked="0"/>
    </xf>
    <xf numFmtId="0" fontId="36" fillId="35" borderId="0" xfId="0" applyFont="1" applyFill="1">
      <alignment vertical="center"/>
    </xf>
    <xf numFmtId="0" fontId="36" fillId="2" borderId="0" xfId="0" applyFont="1" applyFill="1">
      <alignment vertical="center"/>
    </xf>
    <xf numFmtId="0" fontId="36" fillId="40" borderId="0" xfId="0" applyFont="1" applyFill="1">
      <alignment vertical="center"/>
    </xf>
    <xf numFmtId="0" fontId="36" fillId="31" borderId="0" xfId="0" applyFont="1" applyFill="1">
      <alignment vertical="center"/>
    </xf>
    <xf numFmtId="0" fontId="36" fillId="34" borderId="0" xfId="0" applyFont="1" applyFill="1">
      <alignment vertical="center"/>
    </xf>
    <xf numFmtId="0" fontId="36" fillId="0" borderId="0" xfId="0" quotePrefix="1" applyFont="1">
      <alignment vertical="center"/>
    </xf>
    <xf numFmtId="0" fontId="36" fillId="36" borderId="0" xfId="0" applyFont="1" applyFill="1">
      <alignment vertical="center"/>
    </xf>
    <xf numFmtId="0" fontId="36" fillId="37" borderId="0" xfId="0" applyFont="1" applyFill="1">
      <alignment vertical="center"/>
    </xf>
    <xf numFmtId="0" fontId="36" fillId="0" borderId="4" xfId="0" applyFont="1" applyBorder="1" applyAlignment="1">
      <alignment vertical="center" wrapText="1"/>
    </xf>
    <xf numFmtId="0" fontId="33" fillId="0" borderId="1" xfId="0" applyFont="1" applyBorder="1" applyAlignment="1">
      <alignment horizontal="center" vertical="center" textRotation="255"/>
    </xf>
    <xf numFmtId="0" fontId="31" fillId="0" borderId="0" xfId="0" applyFont="1" applyAlignment="1">
      <alignment horizontal="left" vertical="center"/>
    </xf>
    <xf numFmtId="0" fontId="49" fillId="3" borderId="0" xfId="3" applyFont="1" applyFill="1" applyAlignment="1">
      <alignment horizontal="left" vertical="center"/>
    </xf>
    <xf numFmtId="0" fontId="50" fillId="3" borderId="0" xfId="3" applyFont="1" applyFill="1" applyAlignment="1">
      <alignment horizontal="left" vertical="center"/>
    </xf>
    <xf numFmtId="0" fontId="50" fillId="3" borderId="0" xfId="3" applyFont="1" applyFill="1" applyAlignment="1">
      <alignment horizontal="center" vertical="center"/>
    </xf>
    <xf numFmtId="0" fontId="49" fillId="3" borderId="0" xfId="3" applyFont="1" applyFill="1" applyAlignment="1">
      <alignment horizontal="right" vertical="center"/>
    </xf>
    <xf numFmtId="0" fontId="36" fillId="0" borderId="0" xfId="1" applyFont="1">
      <alignment vertical="center"/>
    </xf>
    <xf numFmtId="195" fontId="36" fillId="0" borderId="0" xfId="1" applyNumberFormat="1" applyFont="1">
      <alignment vertical="center"/>
    </xf>
    <xf numFmtId="0" fontId="36" fillId="0" borderId="0" xfId="54" applyFont="1" applyAlignment="1">
      <alignment horizontal="center"/>
    </xf>
    <xf numFmtId="0" fontId="34" fillId="0" borderId="0" xfId="1" applyFont="1">
      <alignment vertical="center"/>
    </xf>
    <xf numFmtId="0" fontId="34" fillId="0" borderId="0" xfId="54" applyFont="1" applyAlignment="1">
      <alignment horizontal="center" vertical="top"/>
    </xf>
    <xf numFmtId="196" fontId="36" fillId="0" borderId="0" xfId="1" applyNumberFormat="1" applyFont="1">
      <alignment vertical="center"/>
    </xf>
    <xf numFmtId="0" fontId="51" fillId="0" borderId="0" xfId="3" applyFont="1" applyAlignment="1"/>
    <xf numFmtId="0" fontId="53" fillId="0" borderId="0" xfId="3" applyFont="1">
      <alignment vertical="center"/>
    </xf>
    <xf numFmtId="0" fontId="33" fillId="0" borderId="0" xfId="3" applyFont="1" applyAlignment="1">
      <alignment horizontal="center" vertical="center"/>
    </xf>
    <xf numFmtId="0" fontId="53" fillId="4" borderId="15" xfId="3" applyFont="1" applyFill="1" applyBorder="1" applyAlignment="1">
      <alignment horizontal="center" vertical="center"/>
    </xf>
    <xf numFmtId="0" fontId="53" fillId="4" borderId="106" xfId="3" applyFont="1" applyFill="1" applyBorder="1" applyAlignment="1">
      <alignment horizontal="center" vertical="center"/>
    </xf>
    <xf numFmtId="0" fontId="53" fillId="4" borderId="107" xfId="3" applyFont="1" applyFill="1" applyBorder="1" applyAlignment="1">
      <alignment horizontal="center" vertical="center"/>
    </xf>
    <xf numFmtId="0" fontId="50" fillId="4" borderId="15" xfId="3" applyFont="1" applyFill="1" applyBorder="1" applyAlignment="1">
      <alignment horizontal="center" vertical="center"/>
    </xf>
    <xf numFmtId="180" fontId="42" fillId="0" borderId="17" xfId="3" applyNumberFormat="1" applyFont="1" applyBorder="1" applyAlignment="1">
      <alignment horizontal="right" vertical="center"/>
    </xf>
    <xf numFmtId="0" fontId="41" fillId="0" borderId="16" xfId="1" applyFont="1" applyBorder="1">
      <alignment vertical="center"/>
    </xf>
    <xf numFmtId="0" fontId="33" fillId="0" borderId="0" xfId="3" applyFont="1">
      <alignment vertical="center"/>
    </xf>
    <xf numFmtId="0" fontId="53" fillId="4" borderId="109" xfId="3" applyFont="1" applyFill="1" applyBorder="1" applyAlignment="1">
      <alignment horizontal="center" vertical="center"/>
    </xf>
    <xf numFmtId="0" fontId="53" fillId="4" borderId="37" xfId="3" applyFont="1" applyFill="1" applyBorder="1" applyAlignment="1">
      <alignment horizontal="center" vertical="center"/>
    </xf>
    <xf numFmtId="0" fontId="53" fillId="4" borderId="8" xfId="3" applyFont="1" applyFill="1" applyBorder="1" applyAlignment="1">
      <alignment horizontal="center" vertical="center"/>
    </xf>
    <xf numFmtId="0" fontId="54" fillId="0" borderId="9" xfId="3" applyFont="1" applyBorder="1" applyAlignment="1">
      <alignment vertical="center" wrapText="1"/>
    </xf>
    <xf numFmtId="0" fontId="50" fillId="4" borderId="13" xfId="3" applyFont="1" applyFill="1" applyBorder="1" applyAlignment="1">
      <alignment horizontal="center" vertical="center"/>
    </xf>
    <xf numFmtId="180" fontId="42" fillId="0" borderId="2" xfId="3" applyNumberFormat="1" applyFont="1" applyBorder="1" applyAlignment="1">
      <alignment horizontal="right" vertical="center"/>
    </xf>
    <xf numFmtId="0" fontId="41" fillId="0" borderId="12" xfId="1" applyFont="1" applyBorder="1">
      <alignment vertical="center"/>
    </xf>
    <xf numFmtId="0" fontId="36" fillId="0" borderId="97" xfId="54" applyFont="1" applyBorder="1">
      <alignment vertical="center"/>
    </xf>
    <xf numFmtId="0" fontId="33" fillId="0" borderId="23" xfId="3" applyFont="1" applyBorder="1">
      <alignment vertical="center"/>
    </xf>
    <xf numFmtId="0" fontId="33" fillId="0" borderId="27" xfId="3" applyFont="1" applyBorder="1">
      <alignment vertical="center"/>
    </xf>
    <xf numFmtId="197" fontId="33" fillId="0" borderId="29" xfId="3" applyNumberFormat="1" applyFont="1" applyBorder="1">
      <alignment vertical="center"/>
    </xf>
    <xf numFmtId="182" fontId="33" fillId="0" borderId="25" xfId="3" applyNumberFormat="1" applyFont="1" applyBorder="1">
      <alignment vertical="center"/>
    </xf>
    <xf numFmtId="0" fontId="33" fillId="0" borderId="30" xfId="3" applyFont="1" applyBorder="1" applyAlignment="1">
      <alignment horizontal="center" vertical="center"/>
    </xf>
    <xf numFmtId="198" fontId="33" fillId="0" borderId="31" xfId="3" applyNumberFormat="1" applyFont="1" applyBorder="1">
      <alignment vertical="center"/>
    </xf>
    <xf numFmtId="0" fontId="33" fillId="44" borderId="27" xfId="3" applyFont="1" applyFill="1" applyBorder="1">
      <alignment vertical="center"/>
    </xf>
    <xf numFmtId="0" fontId="33" fillId="44" borderId="22" xfId="3" applyFont="1" applyFill="1" applyBorder="1">
      <alignment vertical="center"/>
    </xf>
    <xf numFmtId="0" fontId="50" fillId="4" borderId="19" xfId="3" applyFont="1" applyFill="1" applyBorder="1" applyAlignment="1">
      <alignment horizontal="center" vertical="center"/>
    </xf>
    <xf numFmtId="185" fontId="42" fillId="0" borderId="20" xfId="3" applyNumberFormat="1" applyFont="1" applyBorder="1" applyAlignment="1">
      <alignment horizontal="right" vertical="center"/>
    </xf>
    <xf numFmtId="0" fontId="42" fillId="0" borderId="21" xfId="1" applyFont="1" applyBorder="1">
      <alignment vertical="center"/>
    </xf>
    <xf numFmtId="0" fontId="33" fillId="0" borderId="0" xfId="1" applyFont="1">
      <alignment vertical="center"/>
    </xf>
    <xf numFmtId="0" fontId="36" fillId="0" borderId="97" xfId="54" applyFont="1" applyBorder="1" applyAlignment="1">
      <alignment horizontal="center" vertical="center"/>
    </xf>
    <xf numFmtId="0" fontId="33" fillId="0" borderId="29" xfId="3" applyFont="1" applyBorder="1">
      <alignment vertical="center"/>
    </xf>
    <xf numFmtId="0" fontId="33" fillId="44" borderId="28" xfId="3" applyFont="1" applyFill="1" applyBorder="1">
      <alignment vertical="center"/>
    </xf>
    <xf numFmtId="0" fontId="33" fillId="0" borderId="189" xfId="54" applyFont="1" applyBorder="1">
      <alignment vertical="center"/>
    </xf>
    <xf numFmtId="0" fontId="33" fillId="0" borderId="181" xfId="54" applyFont="1" applyBorder="1">
      <alignment vertical="center"/>
    </xf>
    <xf numFmtId="0" fontId="32" fillId="0" borderId="182" xfId="0" applyFont="1" applyBorder="1">
      <alignment vertical="center"/>
    </xf>
    <xf numFmtId="182" fontId="33" fillId="0" borderId="0" xfId="3" applyNumberFormat="1" applyFont="1">
      <alignment vertical="center"/>
    </xf>
    <xf numFmtId="0" fontId="33" fillId="0" borderId="180" xfId="54" applyFont="1" applyBorder="1" applyAlignment="1">
      <alignment horizontal="center" vertical="center"/>
    </xf>
    <xf numFmtId="0" fontId="57" fillId="45" borderId="180" xfId="54" applyFont="1" applyFill="1" applyBorder="1" applyAlignment="1">
      <alignment horizontal="center" vertical="center"/>
    </xf>
    <xf numFmtId="180" fontId="33" fillId="0" borderId="179" xfId="54" applyNumberFormat="1" applyFont="1" applyBorder="1">
      <alignment vertical="center"/>
    </xf>
    <xf numFmtId="0" fontId="33" fillId="0" borderId="182" xfId="54" applyFont="1" applyBorder="1">
      <alignment vertical="center"/>
    </xf>
    <xf numFmtId="0" fontId="33" fillId="0" borderId="178" xfId="54" applyFont="1" applyBorder="1">
      <alignment vertical="center"/>
    </xf>
    <xf numFmtId="9" fontId="33" fillId="0" borderId="182" xfId="50" applyFont="1" applyBorder="1" applyAlignment="1" applyProtection="1">
      <alignment horizontal="center" vertical="center"/>
    </xf>
    <xf numFmtId="0" fontId="34" fillId="0" borderId="30" xfId="1" applyFont="1" applyBorder="1" applyAlignment="1">
      <alignment horizontal="center" vertical="center"/>
    </xf>
    <xf numFmtId="0" fontId="33" fillId="44" borderId="0" xfId="3" applyFont="1" applyFill="1">
      <alignment vertical="center"/>
    </xf>
    <xf numFmtId="180" fontId="33" fillId="0" borderId="192" xfId="54" applyNumberFormat="1" applyFont="1" applyBorder="1">
      <alignment vertical="center"/>
    </xf>
    <xf numFmtId="0" fontId="33" fillId="0" borderId="193" xfId="54" applyFont="1" applyBorder="1" applyAlignment="1">
      <alignment vertical="center" shrinkToFit="1"/>
    </xf>
    <xf numFmtId="9" fontId="33" fillId="0" borderId="193" xfId="50" applyFont="1" applyBorder="1" applyAlignment="1" applyProtection="1">
      <alignment horizontal="center" vertical="center"/>
    </xf>
    <xf numFmtId="0" fontId="33" fillId="0" borderId="112" xfId="3" applyFont="1" applyBorder="1" applyAlignment="1">
      <alignment horizontal="center" vertical="center"/>
    </xf>
    <xf numFmtId="0" fontId="36" fillId="44" borderId="0" xfId="1" applyFont="1" applyFill="1">
      <alignment vertical="center"/>
    </xf>
    <xf numFmtId="0" fontId="36" fillId="44" borderId="70" xfId="1" applyFont="1" applyFill="1" applyBorder="1">
      <alignment vertical="center"/>
    </xf>
    <xf numFmtId="0" fontId="33" fillId="0" borderId="56" xfId="3" applyFont="1" applyBorder="1" applyAlignment="1">
      <alignment horizontal="center" vertical="center"/>
    </xf>
    <xf numFmtId="197" fontId="33" fillId="0" borderId="181" xfId="54" applyNumberFormat="1" applyFont="1" applyBorder="1">
      <alignment vertical="center"/>
    </xf>
    <xf numFmtId="202" fontId="32" fillId="0" borderId="179" xfId="0" applyNumberFormat="1" applyFont="1" applyBorder="1">
      <alignment vertical="center"/>
    </xf>
    <xf numFmtId="0" fontId="33" fillId="0" borderId="97" xfId="54" applyFont="1" applyBorder="1">
      <alignment vertical="center"/>
    </xf>
    <xf numFmtId="198" fontId="33" fillId="0" borderId="31" xfId="3" applyNumberFormat="1" applyFont="1" applyBorder="1" applyAlignment="1">
      <alignment vertical="center" shrinkToFit="1"/>
    </xf>
    <xf numFmtId="0" fontId="51" fillId="0" borderId="0" xfId="3" applyFont="1">
      <alignment vertical="center"/>
    </xf>
    <xf numFmtId="0" fontId="50" fillId="4" borderId="38" xfId="3" applyFont="1" applyFill="1" applyBorder="1" applyAlignment="1">
      <alignment horizontal="center" vertical="center"/>
    </xf>
    <xf numFmtId="185" fontId="42" fillId="0" borderId="39" xfId="3" applyNumberFormat="1" applyFont="1" applyBorder="1" applyAlignment="1">
      <alignment horizontal="right" vertical="center"/>
    </xf>
    <xf numFmtId="0" fontId="42" fillId="0" borderId="40" xfId="1" applyFont="1" applyBorder="1">
      <alignment vertical="center"/>
    </xf>
    <xf numFmtId="0" fontId="33" fillId="0" borderId="78" xfId="54" applyFont="1" applyBorder="1">
      <alignment vertical="center"/>
    </xf>
    <xf numFmtId="0" fontId="33" fillId="0" borderId="87" xfId="3" applyFont="1" applyBorder="1">
      <alignment vertical="center"/>
    </xf>
    <xf numFmtId="0" fontId="33" fillId="0" borderId="115" xfId="3" applyFont="1" applyBorder="1">
      <alignment vertical="center"/>
    </xf>
    <xf numFmtId="0" fontId="33" fillId="0" borderId="68" xfId="3" applyFont="1" applyBorder="1">
      <alignment vertical="center"/>
    </xf>
    <xf numFmtId="0" fontId="33" fillId="0" borderId="66" xfId="3" applyFont="1" applyBorder="1" applyAlignment="1">
      <alignment vertical="center" shrinkToFit="1"/>
    </xf>
    <xf numFmtId="0" fontId="33" fillId="0" borderId="71" xfId="3" applyFont="1" applyBorder="1" applyAlignment="1">
      <alignment vertical="center" shrinkToFit="1"/>
    </xf>
    <xf numFmtId="182" fontId="33" fillId="0" borderId="116" xfId="3" applyNumberFormat="1" applyFont="1" applyBorder="1" applyAlignment="1">
      <alignment vertical="center" shrinkToFit="1"/>
    </xf>
    <xf numFmtId="0" fontId="33" fillId="44" borderId="114" xfId="3" applyFont="1" applyFill="1" applyBorder="1">
      <alignment vertical="center"/>
    </xf>
    <xf numFmtId="0" fontId="33" fillId="0" borderId="117" xfId="3" applyFont="1" applyBorder="1" applyAlignment="1">
      <alignment horizontal="center" vertical="center"/>
    </xf>
    <xf numFmtId="177" fontId="33" fillId="0" borderId="74" xfId="3" applyNumberFormat="1" applyFont="1" applyBorder="1" applyAlignment="1">
      <alignment horizontal="center" vertical="center"/>
    </xf>
    <xf numFmtId="177" fontId="33" fillId="0" borderId="75" xfId="3" applyNumberFormat="1" applyFont="1" applyBorder="1" applyAlignment="1">
      <alignment horizontal="center" vertical="center"/>
    </xf>
    <xf numFmtId="0" fontId="33" fillId="0" borderId="76" xfId="3" applyFont="1" applyBorder="1" applyAlignment="1">
      <alignment horizontal="center" vertical="center"/>
    </xf>
    <xf numFmtId="198" fontId="33" fillId="0" borderId="77" xfId="3" applyNumberFormat="1" applyFont="1" applyBorder="1" applyAlignment="1">
      <alignment vertical="center" shrinkToFit="1"/>
    </xf>
    <xf numFmtId="180" fontId="42" fillId="0" borderId="39" xfId="3" applyNumberFormat="1" applyFont="1" applyBorder="1" applyAlignment="1">
      <alignment horizontal="right" vertical="center"/>
    </xf>
    <xf numFmtId="182" fontId="33" fillId="0" borderId="119" xfId="3" applyNumberFormat="1" applyFont="1" applyBorder="1" applyAlignment="1">
      <alignment vertical="center" shrinkToFit="1"/>
    </xf>
    <xf numFmtId="0" fontId="33" fillId="0" borderId="120" xfId="3" applyFont="1" applyBorder="1" applyAlignment="1">
      <alignment horizontal="center" vertical="center"/>
    </xf>
    <xf numFmtId="198" fontId="33" fillId="0" borderId="122" xfId="3" applyNumberFormat="1" applyFont="1" applyBorder="1" applyAlignment="1">
      <alignment vertical="center" shrinkToFit="1"/>
    </xf>
    <xf numFmtId="0" fontId="36" fillId="37" borderId="106" xfId="1" applyFont="1" applyFill="1" applyBorder="1">
      <alignment vertical="center"/>
    </xf>
    <xf numFmtId="0" fontId="33" fillId="37" borderId="106" xfId="3" applyFont="1" applyFill="1" applyBorder="1">
      <alignment vertical="center"/>
    </xf>
    <xf numFmtId="0" fontId="33" fillId="37" borderId="107" xfId="3" applyFont="1" applyFill="1" applyBorder="1">
      <alignment vertical="center"/>
    </xf>
    <xf numFmtId="182" fontId="33" fillId="0" borderId="113" xfId="3" applyNumberFormat="1" applyFont="1" applyBorder="1" applyAlignment="1">
      <alignment vertical="center" shrinkToFit="1"/>
    </xf>
    <xf numFmtId="0" fontId="36" fillId="37" borderId="0" xfId="1" applyFont="1" applyFill="1">
      <alignment vertical="center"/>
    </xf>
    <xf numFmtId="0" fontId="33" fillId="37" borderId="123" xfId="3" applyFont="1" applyFill="1" applyBorder="1">
      <alignment vertical="center"/>
    </xf>
    <xf numFmtId="0" fontId="33" fillId="37" borderId="114" xfId="3" applyFont="1" applyFill="1" applyBorder="1">
      <alignment vertical="center"/>
    </xf>
    <xf numFmtId="185" fontId="42" fillId="0" borderId="51" xfId="1" applyNumberFormat="1" applyFont="1" applyBorder="1" applyAlignment="1">
      <alignment horizontal="right" vertical="center"/>
    </xf>
    <xf numFmtId="0" fontId="57" fillId="4" borderId="38" xfId="3" applyFont="1" applyFill="1" applyBorder="1" applyAlignment="1">
      <alignment horizontal="center" vertical="center"/>
    </xf>
    <xf numFmtId="0" fontId="42" fillId="0" borderId="51" xfId="1" applyFont="1" applyBorder="1">
      <alignment vertical="center"/>
    </xf>
    <xf numFmtId="0" fontId="42" fillId="0" borderId="0" xfId="1" applyFont="1">
      <alignment vertical="center"/>
    </xf>
    <xf numFmtId="0" fontId="38" fillId="0" borderId="27" xfId="3" applyFont="1" applyBorder="1">
      <alignment vertical="center"/>
    </xf>
    <xf numFmtId="0" fontId="33" fillId="0" borderId="28" xfId="54" applyFont="1" applyBorder="1">
      <alignment vertical="center"/>
    </xf>
    <xf numFmtId="198" fontId="34" fillId="0" borderId="125" xfId="54" applyNumberFormat="1" applyFont="1" applyBorder="1" applyAlignment="1">
      <alignment vertical="center" shrinkToFit="1"/>
    </xf>
    <xf numFmtId="0" fontId="36" fillId="37" borderId="0" xfId="54" applyFont="1" applyFill="1">
      <alignment vertical="center"/>
    </xf>
    <xf numFmtId="0" fontId="36" fillId="37" borderId="70" xfId="54" applyFont="1" applyFill="1" applyBorder="1">
      <alignment vertical="center"/>
    </xf>
    <xf numFmtId="0" fontId="33" fillId="0" borderId="180" xfId="54" applyFont="1" applyBorder="1" applyAlignment="1">
      <alignment horizontal="center" vertical="center" shrinkToFit="1"/>
    </xf>
    <xf numFmtId="0" fontId="32" fillId="0" borderId="0" xfId="0" applyFont="1">
      <alignment vertical="center"/>
    </xf>
    <xf numFmtId="182" fontId="33" fillId="0" borderId="74" xfId="3" applyNumberFormat="1" applyFont="1" applyBorder="1" applyAlignment="1">
      <alignment horizontal="center" vertical="center" shrinkToFit="1"/>
    </xf>
    <xf numFmtId="182" fontId="33" fillId="0" borderId="75" xfId="3" applyNumberFormat="1" applyFont="1" applyBorder="1" applyAlignment="1">
      <alignment horizontal="center" vertical="center" shrinkToFit="1"/>
    </xf>
    <xf numFmtId="182" fontId="33" fillId="0" borderId="76" xfId="3" applyNumberFormat="1" applyFont="1" applyBorder="1" applyAlignment="1">
      <alignment horizontal="center" vertical="center"/>
    </xf>
    <xf numFmtId="0" fontId="36" fillId="0" borderId="0" xfId="54" applyFont="1">
      <alignment vertical="center"/>
    </xf>
    <xf numFmtId="0" fontId="33" fillId="0" borderId="183" xfId="3" applyFont="1" applyBorder="1">
      <alignment vertical="center"/>
    </xf>
    <xf numFmtId="0" fontId="33" fillId="0" borderId="188" xfId="54" applyFont="1" applyBorder="1">
      <alignment vertical="center"/>
    </xf>
    <xf numFmtId="0" fontId="36" fillId="0" borderId="0" xfId="1" quotePrefix="1" applyFont="1">
      <alignment vertical="center"/>
    </xf>
    <xf numFmtId="0" fontId="33" fillId="0" borderId="97" xfId="3" applyFont="1" applyBorder="1" applyAlignment="1">
      <alignment horizontal="left" vertical="center"/>
    </xf>
    <xf numFmtId="0" fontId="33" fillId="0" borderId="56" xfId="3" applyFont="1" applyBorder="1">
      <alignment vertical="center"/>
    </xf>
    <xf numFmtId="0" fontId="33" fillId="0" borderId="36" xfId="3" applyFont="1" applyBorder="1">
      <alignment vertical="center"/>
    </xf>
    <xf numFmtId="0" fontId="33" fillId="0" borderId="6" xfId="3" applyFont="1" applyBorder="1">
      <alignment vertical="center"/>
    </xf>
    <xf numFmtId="182" fontId="33" fillId="0" borderId="62" xfId="3" applyNumberFormat="1" applyFont="1" applyBorder="1" applyAlignment="1">
      <alignment vertical="center" shrinkToFit="1"/>
    </xf>
    <xf numFmtId="182" fontId="33" fillId="0" borderId="127" xfId="3" applyNumberFormat="1" applyFont="1" applyBorder="1" applyAlignment="1">
      <alignment vertical="center" shrinkToFit="1"/>
    </xf>
    <xf numFmtId="182" fontId="34" fillId="0" borderId="26" xfId="54" applyNumberFormat="1" applyFont="1" applyBorder="1" applyAlignment="1">
      <alignment horizontal="center" vertical="center"/>
    </xf>
    <xf numFmtId="198" fontId="33" fillId="0" borderId="128" xfId="3" applyNumberFormat="1" applyFont="1" applyBorder="1" applyAlignment="1">
      <alignment vertical="center" shrinkToFit="1"/>
    </xf>
    <xf numFmtId="0" fontId="33" fillId="30" borderId="0" xfId="3" applyFont="1" applyFill="1" applyAlignment="1">
      <alignment horizontal="left" vertical="center"/>
    </xf>
    <xf numFmtId="182" fontId="33" fillId="0" borderId="63" xfId="3" applyNumberFormat="1" applyFont="1" applyBorder="1" applyAlignment="1">
      <alignment vertical="center" shrinkToFit="1"/>
    </xf>
    <xf numFmtId="182" fontId="33" fillId="0" borderId="35" xfId="3" applyNumberFormat="1" applyFont="1" applyBorder="1" applyAlignment="1">
      <alignment vertical="center" shrinkToFit="1"/>
    </xf>
    <xf numFmtId="182" fontId="34" fillId="0" borderId="30" xfId="54" applyNumberFormat="1" applyFont="1" applyBorder="1" applyAlignment="1">
      <alignment horizontal="center" vertical="center"/>
    </xf>
    <xf numFmtId="198" fontId="36" fillId="0" borderId="31" xfId="54" applyNumberFormat="1" applyFont="1" applyBorder="1" applyAlignment="1">
      <alignment vertical="center" shrinkToFit="1"/>
    </xf>
    <xf numFmtId="0" fontId="33" fillId="0" borderId="1" xfId="54" applyFont="1" applyBorder="1" applyAlignment="1">
      <alignment horizontal="center" vertical="center"/>
    </xf>
    <xf numFmtId="0" fontId="33" fillId="0" borderId="1" xfId="54" applyFont="1" applyBorder="1" applyAlignment="1">
      <alignment horizontal="center" vertical="center" shrinkToFit="1"/>
    </xf>
    <xf numFmtId="0" fontId="33" fillId="0" borderId="97" xfId="3" applyFont="1" applyBorder="1" applyAlignment="1">
      <alignment horizontal="center" vertical="center"/>
    </xf>
    <xf numFmtId="0" fontId="33" fillId="0" borderId="7" xfId="3" applyFont="1" applyBorder="1" applyAlignment="1">
      <alignment horizontal="center" vertical="center"/>
    </xf>
    <xf numFmtId="0" fontId="33" fillId="0" borderId="130" xfId="3" applyFont="1" applyBorder="1" applyAlignment="1">
      <alignment horizontal="left" vertical="center" indent="1"/>
    </xf>
    <xf numFmtId="0" fontId="33" fillId="0" borderId="37" xfId="3" applyFont="1" applyBorder="1">
      <alignment vertical="center"/>
    </xf>
    <xf numFmtId="0" fontId="33" fillId="0" borderId="8" xfId="3" applyFont="1" applyBorder="1">
      <alignment vertical="center"/>
    </xf>
    <xf numFmtId="182" fontId="33" fillId="0" borderId="132" xfId="3" applyNumberFormat="1" applyFont="1" applyBorder="1" applyAlignment="1">
      <alignment vertical="center" shrinkToFit="1"/>
    </xf>
    <xf numFmtId="201" fontId="33" fillId="0" borderId="133" xfId="3" applyNumberFormat="1" applyFont="1" applyBorder="1" applyAlignment="1">
      <alignment vertical="center" shrinkToFit="1"/>
    </xf>
    <xf numFmtId="182" fontId="34" fillId="0" borderId="104" xfId="54" applyNumberFormat="1" applyFont="1" applyBorder="1" applyAlignment="1">
      <alignment horizontal="center" vertical="center"/>
    </xf>
    <xf numFmtId="198" fontId="33" fillId="0" borderId="134" xfId="3" applyNumberFormat="1" applyFont="1" applyBorder="1" applyAlignment="1">
      <alignment vertical="center" shrinkToFit="1"/>
    </xf>
    <xf numFmtId="182" fontId="34" fillId="0" borderId="24" xfId="54" applyNumberFormat="1" applyFont="1" applyBorder="1" applyAlignment="1">
      <alignment horizontal="center" vertical="center"/>
    </xf>
    <xf numFmtId="0" fontId="33" fillId="30" borderId="0" xfId="3" applyFont="1" applyFill="1">
      <alignment vertical="center"/>
    </xf>
    <xf numFmtId="0" fontId="33" fillId="30" borderId="0" xfId="3" applyFont="1" applyFill="1" applyAlignment="1">
      <alignment horizontal="center" vertical="center"/>
    </xf>
    <xf numFmtId="0" fontId="60" fillId="0" borderId="0" xfId="0" applyFont="1">
      <alignment vertical="center"/>
    </xf>
    <xf numFmtId="0" fontId="33" fillId="0" borderId="138" xfId="3" applyFont="1" applyBorder="1" applyAlignment="1">
      <alignment horizontal="left" vertical="center" indent="1"/>
    </xf>
    <xf numFmtId="0" fontId="33" fillId="0" borderId="91" xfId="3" applyFont="1" applyBorder="1">
      <alignment vertical="center"/>
    </xf>
    <xf numFmtId="0" fontId="33" fillId="0" borderId="93" xfId="3" applyFont="1" applyBorder="1">
      <alignment vertical="center"/>
    </xf>
    <xf numFmtId="202" fontId="33" fillId="0" borderId="133" xfId="3" applyNumberFormat="1" applyFont="1" applyBorder="1" applyAlignment="1">
      <alignment vertical="center" shrinkToFit="1"/>
    </xf>
    <xf numFmtId="182" fontId="34" fillId="0" borderId="138" xfId="54" applyNumberFormat="1" applyFont="1" applyBorder="1" applyAlignment="1">
      <alignment horizontal="center" vertical="center"/>
    </xf>
    <xf numFmtId="0" fontId="33" fillId="0" borderId="2" xfId="3" applyFont="1" applyBorder="1">
      <alignment vertical="center"/>
    </xf>
    <xf numFmtId="38" fontId="33" fillId="0" borderId="3" xfId="55" applyFont="1" applyBorder="1" applyAlignment="1" applyProtection="1">
      <alignment vertical="center"/>
    </xf>
    <xf numFmtId="38" fontId="32" fillId="0" borderId="3" xfId="55" applyFont="1" applyBorder="1" applyAlignment="1" applyProtection="1">
      <alignment vertical="center"/>
    </xf>
    <xf numFmtId="0" fontId="33" fillId="0" borderId="4" xfId="3" applyFont="1" applyBorder="1">
      <alignment vertical="center"/>
    </xf>
    <xf numFmtId="182" fontId="33" fillId="0" borderId="136" xfId="3" applyNumberFormat="1" applyFont="1" applyBorder="1" applyAlignment="1">
      <alignment vertical="center" shrinkToFit="1"/>
    </xf>
    <xf numFmtId="182" fontId="34" fillId="0" borderId="137" xfId="54" applyNumberFormat="1" applyFont="1" applyBorder="1" applyAlignment="1">
      <alignment horizontal="center" vertical="center"/>
    </xf>
    <xf numFmtId="198" fontId="33" fillId="0" borderId="18" xfId="3" applyNumberFormat="1" applyFont="1" applyBorder="1" applyAlignment="1">
      <alignment vertical="center" shrinkToFit="1"/>
    </xf>
    <xf numFmtId="0" fontId="33" fillId="0" borderId="141" xfId="54" applyFont="1" applyBorder="1">
      <alignment vertical="center"/>
    </xf>
    <xf numFmtId="0" fontId="33" fillId="0" borderId="142" xfId="3" applyFont="1" applyBorder="1">
      <alignment vertical="center"/>
    </xf>
    <xf numFmtId="38" fontId="32" fillId="0" borderId="143" xfId="55" applyFont="1" applyBorder="1" applyAlignment="1" applyProtection="1">
      <alignment horizontal="left" vertical="center"/>
    </xf>
    <xf numFmtId="0" fontId="33" fillId="0" borderId="144" xfId="3" applyFont="1" applyBorder="1">
      <alignment vertical="center"/>
    </xf>
    <xf numFmtId="182" fontId="33" fillId="0" borderId="145" xfId="3" applyNumberFormat="1" applyFont="1" applyBorder="1" applyAlignment="1">
      <alignment vertical="center" shrinkToFit="1"/>
    </xf>
    <xf numFmtId="200" fontId="33" fillId="0" borderId="100" xfId="3" applyNumberFormat="1" applyFont="1" applyBorder="1" applyAlignment="1">
      <alignment vertical="center" shrinkToFit="1"/>
    </xf>
    <xf numFmtId="182" fontId="34" fillId="0" borderId="146" xfId="54" applyNumberFormat="1" applyFont="1" applyBorder="1" applyAlignment="1">
      <alignment horizontal="center" vertical="center"/>
    </xf>
    <xf numFmtId="198" fontId="33" fillId="0" borderId="147" xfId="3" applyNumberFormat="1" applyFont="1" applyBorder="1" applyAlignment="1">
      <alignment vertical="center" shrinkToFit="1"/>
    </xf>
    <xf numFmtId="0" fontId="36" fillId="30" borderId="0" xfId="54" applyFont="1" applyFill="1">
      <alignment vertical="center"/>
    </xf>
    <xf numFmtId="0" fontId="33" fillId="0" borderId="148" xfId="54" applyFont="1" applyBorder="1">
      <alignment vertical="center"/>
    </xf>
    <xf numFmtId="0" fontId="33" fillId="0" borderId="149" xfId="54" applyFont="1" applyBorder="1">
      <alignment vertical="center"/>
    </xf>
    <xf numFmtId="0" fontId="33" fillId="0" borderId="149" xfId="3" applyFont="1" applyBorder="1">
      <alignment vertical="center"/>
    </xf>
    <xf numFmtId="0" fontId="33" fillId="0" borderId="150" xfId="3" applyFont="1" applyBorder="1">
      <alignment vertical="center"/>
    </xf>
    <xf numFmtId="0" fontId="33" fillId="0" borderId="151" xfId="3" applyFont="1" applyBorder="1">
      <alignment vertical="center"/>
    </xf>
    <xf numFmtId="0" fontId="33" fillId="0" borderId="152" xfId="3" applyFont="1" applyBorder="1">
      <alignment vertical="center"/>
    </xf>
    <xf numFmtId="182" fontId="33" fillId="0" borderId="154" xfId="3" applyNumberFormat="1" applyFont="1" applyBorder="1" applyAlignment="1">
      <alignment horizontal="center" vertical="center" shrinkToFit="1"/>
    </xf>
    <xf numFmtId="198" fontId="33" fillId="0" borderId="150" xfId="3" applyNumberFormat="1" applyFont="1" applyBorder="1" applyAlignment="1">
      <alignment vertical="center" shrinkToFit="1"/>
    </xf>
    <xf numFmtId="182" fontId="33" fillId="0" borderId="155" xfId="3" applyNumberFormat="1" applyFont="1" applyBorder="1" applyAlignment="1">
      <alignment horizontal="center" vertical="center"/>
    </xf>
    <xf numFmtId="198" fontId="33" fillId="0" borderId="156" xfId="3" applyNumberFormat="1" applyFont="1" applyBorder="1" applyAlignment="1">
      <alignment vertical="center" shrinkToFit="1"/>
    </xf>
    <xf numFmtId="0" fontId="36" fillId="0" borderId="149" xfId="54" applyFont="1" applyBorder="1">
      <alignment vertical="center"/>
    </xf>
    <xf numFmtId="206" fontId="33" fillId="0" borderId="159" xfId="3" applyNumberFormat="1" applyFont="1" applyBorder="1" applyAlignment="1">
      <alignment vertical="center" shrinkToFit="1"/>
    </xf>
    <xf numFmtId="199" fontId="33" fillId="0" borderId="159" xfId="3" applyNumberFormat="1" applyFont="1" applyBorder="1" applyAlignment="1">
      <alignment vertical="center" shrinkToFit="1"/>
    </xf>
    <xf numFmtId="182" fontId="33" fillId="0" borderId="160" xfId="3" applyNumberFormat="1" applyFont="1" applyBorder="1" applyAlignment="1">
      <alignment horizontal="center" vertical="center"/>
    </xf>
    <xf numFmtId="198" fontId="33" fillId="0" borderId="162" xfId="3" applyNumberFormat="1" applyFont="1" applyBorder="1" applyAlignment="1">
      <alignment vertical="center" shrinkToFit="1"/>
    </xf>
    <xf numFmtId="177" fontId="33" fillId="0" borderId="1" xfId="54" applyNumberFormat="1" applyFont="1" applyBorder="1">
      <alignment vertical="center"/>
    </xf>
    <xf numFmtId="177" fontId="36" fillId="0" borderId="1" xfId="54" applyNumberFormat="1" applyFont="1" applyBorder="1">
      <alignment vertical="center"/>
    </xf>
    <xf numFmtId="38" fontId="58" fillId="0" borderId="106" xfId="55" applyFont="1" applyBorder="1" applyAlignment="1" applyProtection="1">
      <alignment vertical="center"/>
    </xf>
    <xf numFmtId="0" fontId="57" fillId="4" borderId="15" xfId="3" applyFont="1" applyFill="1" applyBorder="1" applyAlignment="1">
      <alignment horizontal="center" vertical="center"/>
    </xf>
    <xf numFmtId="177" fontId="33" fillId="0" borderId="180" xfId="54" applyNumberFormat="1" applyFont="1" applyBorder="1">
      <alignment vertical="center"/>
    </xf>
    <xf numFmtId="0" fontId="33" fillId="0" borderId="53" xfId="3" applyFont="1" applyBorder="1">
      <alignment vertical="center"/>
    </xf>
    <xf numFmtId="0" fontId="33" fillId="0" borderId="139" xfId="54" applyFont="1" applyBorder="1" applyAlignment="1">
      <alignment horizontal="center" vertical="center"/>
    </xf>
    <xf numFmtId="177" fontId="33" fillId="0" borderId="139" xfId="54" applyNumberFormat="1" applyFont="1" applyBorder="1">
      <alignment vertical="center"/>
    </xf>
    <xf numFmtId="9" fontId="33" fillId="0" borderId="139" xfId="54" applyNumberFormat="1" applyFont="1" applyBorder="1">
      <alignment vertical="center"/>
    </xf>
    <xf numFmtId="177" fontId="33" fillId="0" borderId="140" xfId="54" applyNumberFormat="1" applyFont="1" applyBorder="1">
      <alignment vertical="center"/>
    </xf>
    <xf numFmtId="177" fontId="33" fillId="0" borderId="139" xfId="52" applyNumberFormat="1" applyFont="1" applyBorder="1" applyProtection="1">
      <alignment vertical="center"/>
    </xf>
    <xf numFmtId="177" fontId="36" fillId="0" borderId="139" xfId="52" applyNumberFormat="1" applyFont="1" applyBorder="1" applyProtection="1">
      <alignment vertical="center"/>
    </xf>
    <xf numFmtId="0" fontId="33" fillId="0" borderId="0" xfId="54" applyFont="1" applyAlignment="1">
      <alignment horizontal="center" vertical="center"/>
    </xf>
    <xf numFmtId="177" fontId="33" fillId="0" borderId="0" xfId="54" applyNumberFormat="1" applyFont="1">
      <alignment vertical="center"/>
    </xf>
    <xf numFmtId="9" fontId="33" fillId="0" borderId="0" xfId="54" applyNumberFormat="1" applyFont="1">
      <alignment vertical="center"/>
    </xf>
    <xf numFmtId="177" fontId="33" fillId="0" borderId="0" xfId="52" applyNumberFormat="1" applyFont="1" applyBorder="1" applyProtection="1">
      <alignment vertical="center"/>
    </xf>
    <xf numFmtId="0" fontId="33" fillId="0" borderId="179" xfId="54" applyFont="1" applyBorder="1" applyAlignment="1">
      <alignment horizontal="left" vertical="center" shrinkToFit="1"/>
    </xf>
    <xf numFmtId="0" fontId="33" fillId="0" borderId="4" xfId="54" applyFont="1" applyBorder="1" applyAlignment="1">
      <alignment horizontal="left" vertical="center" shrinkToFit="1"/>
    </xf>
    <xf numFmtId="9" fontId="33" fillId="0" borderId="180" xfId="54" applyNumberFormat="1" applyFont="1" applyBorder="1">
      <alignment vertical="center"/>
    </xf>
    <xf numFmtId="9" fontId="33" fillId="0" borderId="178" xfId="54" applyNumberFormat="1" applyFont="1" applyBorder="1">
      <alignment vertical="center"/>
    </xf>
    <xf numFmtId="203" fontId="33" fillId="0" borderId="1" xfId="54" applyNumberFormat="1" applyFont="1" applyBorder="1">
      <alignment vertical="center"/>
    </xf>
    <xf numFmtId="0" fontId="33" fillId="0" borderId="65" xfId="3" applyFont="1" applyBorder="1">
      <alignment vertical="center"/>
    </xf>
    <xf numFmtId="0" fontId="33" fillId="0" borderId="66" xfId="3" applyFont="1" applyBorder="1">
      <alignment vertical="center"/>
    </xf>
    <xf numFmtId="0" fontId="33" fillId="0" borderId="2" xfId="54" applyFont="1" applyBorder="1" applyAlignment="1">
      <alignment horizontal="left" vertical="center" shrinkToFit="1"/>
    </xf>
    <xf numFmtId="0" fontId="33" fillId="0" borderId="5" xfId="54" applyFont="1" applyBorder="1" applyAlignment="1">
      <alignment horizontal="left" vertical="center" shrinkToFit="1"/>
    </xf>
    <xf numFmtId="0" fontId="33" fillId="0" borderId="3" xfId="54" applyFont="1" applyBorder="1" applyAlignment="1">
      <alignment horizontal="left" vertical="center" shrinkToFit="1"/>
    </xf>
    <xf numFmtId="177" fontId="33" fillId="0" borderId="3" xfId="54" applyNumberFormat="1" applyFont="1" applyBorder="1">
      <alignment vertical="center"/>
    </xf>
    <xf numFmtId="9" fontId="33" fillId="0" borderId="3" xfId="54" applyNumberFormat="1" applyFont="1" applyBorder="1">
      <alignment vertical="center"/>
    </xf>
    <xf numFmtId="179" fontId="33" fillId="0" borderId="3" xfId="54" applyNumberFormat="1" applyFont="1" applyBorder="1" applyAlignment="1">
      <alignment vertical="center" shrinkToFit="1"/>
    </xf>
    <xf numFmtId="0" fontId="33" fillId="0" borderId="4" xfId="0" applyFont="1" applyBorder="1">
      <alignment vertical="center"/>
    </xf>
    <xf numFmtId="0" fontId="33" fillId="0" borderId="81" xfId="54" applyFont="1" applyBorder="1" applyAlignment="1">
      <alignment horizontal="center" vertical="center" shrinkToFit="1"/>
    </xf>
    <xf numFmtId="0" fontId="33" fillId="0" borderId="81" xfId="54" applyFont="1" applyBorder="1" applyAlignment="1">
      <alignment horizontal="left" vertical="center" shrinkToFit="1"/>
    </xf>
    <xf numFmtId="38" fontId="33" fillId="0" borderId="1" xfId="52" applyFont="1" applyBorder="1" applyProtection="1">
      <alignment vertical="center"/>
    </xf>
    <xf numFmtId="0" fontId="33" fillId="0" borderId="165" xfId="54" applyFont="1" applyBorder="1" applyAlignment="1">
      <alignment horizontal="left" vertical="center" wrapText="1" shrinkToFit="1"/>
    </xf>
    <xf numFmtId="38" fontId="33" fillId="0" borderId="57" xfId="52" applyFont="1" applyBorder="1" applyProtection="1">
      <alignment vertical="center"/>
    </xf>
    <xf numFmtId="0" fontId="33" fillId="0" borderId="0" xfId="54" applyFont="1">
      <alignment vertical="center"/>
    </xf>
    <xf numFmtId="179" fontId="33" fillId="0" borderId="1" xfId="54" applyNumberFormat="1" applyFont="1" applyBorder="1" applyAlignment="1">
      <alignment horizontal="center" vertical="center"/>
    </xf>
    <xf numFmtId="0" fontId="33" fillId="0" borderId="1" xfId="54" applyFont="1" applyBorder="1" applyAlignment="1">
      <alignment horizontal="left" vertical="center"/>
    </xf>
    <xf numFmtId="179" fontId="33" fillId="0" borderId="1" xfId="54" applyNumberFormat="1" applyFont="1" applyBorder="1">
      <alignment vertical="center"/>
    </xf>
    <xf numFmtId="0" fontId="57" fillId="4" borderId="19" xfId="3" applyFont="1" applyFill="1" applyBorder="1" applyAlignment="1">
      <alignment horizontal="center" vertical="center"/>
    </xf>
    <xf numFmtId="0" fontId="43" fillId="0" borderId="0" xfId="0" applyFont="1" applyAlignment="1">
      <alignment horizontal="center" vertical="center"/>
    </xf>
    <xf numFmtId="0" fontId="41" fillId="0" borderId="21" xfId="1" applyFont="1" applyBorder="1">
      <alignment vertical="center"/>
    </xf>
    <xf numFmtId="180" fontId="36" fillId="0" borderId="179" xfId="54" applyNumberFormat="1" applyFont="1" applyBorder="1">
      <alignment vertical="center"/>
    </xf>
    <xf numFmtId="0" fontId="36" fillId="0" borderId="182" xfId="54" applyFont="1" applyBorder="1">
      <alignment vertical="center"/>
    </xf>
    <xf numFmtId="180" fontId="36" fillId="0" borderId="192" xfId="54" applyNumberFormat="1" applyFont="1" applyBorder="1">
      <alignment vertical="center"/>
    </xf>
    <xf numFmtId="0" fontId="36" fillId="0" borderId="193" xfId="54" applyFont="1" applyBorder="1" applyAlignment="1">
      <alignment vertical="center" shrinkToFit="1"/>
    </xf>
    <xf numFmtId="197" fontId="36" fillId="0" borderId="181" xfId="54" applyNumberFormat="1" applyFont="1" applyBorder="1">
      <alignment vertical="center"/>
    </xf>
    <xf numFmtId="0" fontId="36" fillId="0" borderId="181" xfId="54" applyFont="1" applyBorder="1">
      <alignment vertical="center"/>
    </xf>
    <xf numFmtId="0" fontId="41" fillId="0" borderId="40" xfId="1" applyFont="1" applyBorder="1">
      <alignment vertical="center"/>
    </xf>
    <xf numFmtId="185" fontId="41" fillId="0" borderId="51" xfId="1" applyNumberFormat="1" applyFont="1" applyBorder="1" applyAlignment="1">
      <alignment horizontal="right" vertical="center"/>
    </xf>
    <xf numFmtId="0" fontId="41" fillId="0" borderId="51" xfId="1" applyFont="1" applyBorder="1">
      <alignment vertical="center"/>
    </xf>
    <xf numFmtId="0" fontId="36" fillId="0" borderId="188" xfId="54" applyFont="1" applyBorder="1">
      <alignment vertical="center"/>
    </xf>
    <xf numFmtId="0" fontId="36" fillId="0" borderId="178" xfId="54" applyFont="1" applyBorder="1">
      <alignment vertical="center"/>
    </xf>
    <xf numFmtId="38" fontId="32" fillId="0" borderId="106" xfId="55" applyFont="1" applyBorder="1" applyAlignment="1" applyProtection="1">
      <alignment vertical="center"/>
    </xf>
    <xf numFmtId="38" fontId="58" fillId="0" borderId="106" xfId="55" applyFont="1" applyFill="1" applyBorder="1" applyAlignment="1" applyProtection="1">
      <alignment vertical="center"/>
    </xf>
    <xf numFmtId="0" fontId="41" fillId="0" borderId="0" xfId="1" applyFont="1">
      <alignment vertical="center"/>
    </xf>
    <xf numFmtId="182" fontId="33" fillId="0" borderId="26" xfId="54" applyNumberFormat="1" applyFont="1" applyBorder="1" applyAlignment="1">
      <alignment horizontal="center" vertical="center"/>
    </xf>
    <xf numFmtId="182" fontId="33" fillId="0" borderId="30" xfId="54" applyNumberFormat="1" applyFont="1" applyBorder="1" applyAlignment="1">
      <alignment horizontal="center" vertical="center"/>
    </xf>
    <xf numFmtId="198" fontId="33" fillId="0" borderId="31" xfId="54" applyNumberFormat="1" applyFont="1" applyBorder="1" applyAlignment="1">
      <alignment vertical="center" shrinkToFit="1"/>
    </xf>
    <xf numFmtId="182" fontId="33" fillId="0" borderId="104" xfId="54" applyNumberFormat="1" applyFont="1" applyBorder="1" applyAlignment="1">
      <alignment horizontal="center" vertical="center"/>
    </xf>
    <xf numFmtId="182" fontId="33" fillId="0" borderId="24" xfId="54" applyNumberFormat="1" applyFont="1" applyBorder="1" applyAlignment="1">
      <alignment horizontal="center" vertical="center"/>
    </xf>
    <xf numFmtId="182" fontId="33" fillId="0" borderId="138" xfId="54" applyNumberFormat="1" applyFont="1" applyBorder="1" applyAlignment="1">
      <alignment horizontal="center" vertical="center"/>
    </xf>
    <xf numFmtId="182" fontId="33" fillId="0" borderId="137" xfId="54" applyNumberFormat="1" applyFont="1" applyBorder="1" applyAlignment="1">
      <alignment horizontal="center" vertical="center"/>
    </xf>
    <xf numFmtId="182" fontId="33" fillId="0" borderId="146" xfId="54" applyNumberFormat="1" applyFont="1" applyBorder="1" applyAlignment="1">
      <alignment horizontal="center" vertical="center"/>
    </xf>
    <xf numFmtId="198" fontId="33" fillId="0" borderId="197" xfId="3" applyNumberFormat="1" applyFont="1" applyBorder="1" applyAlignment="1">
      <alignment vertical="center" shrinkToFit="1"/>
    </xf>
    <xf numFmtId="201" fontId="33" fillId="0" borderId="196" xfId="3" applyNumberFormat="1" applyFont="1" applyBorder="1" applyAlignment="1">
      <alignment vertical="center" shrinkToFit="1"/>
    </xf>
    <xf numFmtId="0" fontId="36" fillId="0" borderId="139" xfId="54" applyFont="1" applyBorder="1" applyAlignment="1">
      <alignment horizontal="center" vertical="center"/>
    </xf>
    <xf numFmtId="177" fontId="36" fillId="0" borderId="139" xfId="54" applyNumberFormat="1" applyFont="1" applyBorder="1">
      <alignment vertical="center"/>
    </xf>
    <xf numFmtId="9" fontId="36" fillId="0" borderId="139" xfId="54" applyNumberFormat="1" applyFont="1" applyBorder="1">
      <alignment vertical="center"/>
    </xf>
    <xf numFmtId="177" fontId="36" fillId="0" borderId="140" xfId="54" applyNumberFormat="1" applyFont="1" applyBorder="1">
      <alignment vertical="center"/>
    </xf>
    <xf numFmtId="0" fontId="36" fillId="0" borderId="0" xfId="54" applyFont="1" applyAlignment="1">
      <alignment horizontal="center" vertical="center"/>
    </xf>
    <xf numFmtId="177" fontId="36" fillId="0" borderId="0" xfId="54" applyNumberFormat="1" applyFont="1">
      <alignment vertical="center"/>
    </xf>
    <xf numFmtId="9" fontId="36" fillId="0" borderId="0" xfId="54" applyNumberFormat="1" applyFont="1">
      <alignment vertical="center"/>
    </xf>
    <xf numFmtId="177" fontId="36" fillId="0" borderId="0" xfId="52" applyNumberFormat="1" applyFont="1" applyBorder="1" applyProtection="1">
      <alignment vertical="center"/>
    </xf>
    <xf numFmtId="182" fontId="34" fillId="5" borderId="124" xfId="54" applyNumberFormat="1" applyFont="1" applyFill="1" applyBorder="1" applyAlignment="1" applyProtection="1">
      <alignment horizontal="center" vertical="center"/>
      <protection locked="0"/>
    </xf>
    <xf numFmtId="0" fontId="36" fillId="0" borderId="0" xfId="0" applyFont="1" applyAlignment="1">
      <alignment horizontal="distributed" vertical="center"/>
    </xf>
    <xf numFmtId="0" fontId="44" fillId="0" borderId="0" xfId="0" applyFont="1" applyAlignment="1">
      <alignment horizontal="center" vertical="center"/>
    </xf>
    <xf numFmtId="0" fontId="33" fillId="0" borderId="0" xfId="0" applyFont="1" applyAlignment="1">
      <alignment horizontal="left" vertical="center" wrapText="1"/>
    </xf>
    <xf numFmtId="0" fontId="33" fillId="0" borderId="0" xfId="0" applyFont="1" applyAlignment="1">
      <alignment horizontal="distributed" vertical="center" wrapText="1"/>
    </xf>
    <xf numFmtId="0" fontId="33" fillId="0" borderId="4" xfId="0" applyFont="1" applyBorder="1" applyAlignment="1">
      <alignment horizontal="center" vertical="center"/>
    </xf>
    <xf numFmtId="0" fontId="33" fillId="0" borderId="2" xfId="0" applyFont="1" applyBorder="1" applyAlignment="1">
      <alignment horizontal="left" vertical="center"/>
    </xf>
    <xf numFmtId="0" fontId="36" fillId="0" borderId="0" xfId="0" applyFont="1" applyAlignment="1"/>
    <xf numFmtId="0" fontId="36" fillId="0" borderId="34" xfId="0" applyFont="1" applyBorder="1" applyAlignment="1">
      <alignment horizontal="center" vertical="center"/>
    </xf>
    <xf numFmtId="0" fontId="33" fillId="0" borderId="2" xfId="3" applyFont="1" applyBorder="1" applyAlignment="1">
      <alignment horizontal="left" vertical="center"/>
    </xf>
    <xf numFmtId="0" fontId="33" fillId="0" borderId="4" xfId="3" applyFont="1" applyBorder="1" applyAlignment="1">
      <alignment horizontal="left" vertical="center"/>
    </xf>
    <xf numFmtId="178" fontId="36" fillId="0" borderId="1" xfId="0" applyNumberFormat="1" applyFont="1" applyBorder="1" applyAlignment="1">
      <alignment vertical="center" shrinkToFit="1"/>
    </xf>
    <xf numFmtId="178" fontId="36" fillId="30" borderId="79" xfId="0" applyNumberFormat="1" applyFont="1" applyFill="1" applyBorder="1" applyAlignment="1">
      <alignment vertical="center" shrinkToFit="1"/>
    </xf>
    <xf numFmtId="178" fontId="36" fillId="30" borderId="32" xfId="0" applyNumberFormat="1" applyFont="1" applyFill="1" applyBorder="1" applyAlignment="1">
      <alignment vertical="center" shrinkToFit="1"/>
    </xf>
    <xf numFmtId="0" fontId="34" fillId="0" borderId="4" xfId="3" applyFont="1" applyBorder="1" applyAlignment="1">
      <alignment horizontal="left" vertical="center"/>
    </xf>
    <xf numFmtId="178" fontId="36" fillId="30" borderId="33" xfId="0" applyNumberFormat="1" applyFont="1" applyFill="1" applyBorder="1" applyAlignment="1">
      <alignment vertical="center" shrinkToFit="1"/>
    </xf>
    <xf numFmtId="0" fontId="37" fillId="0" borderId="0" xfId="0" applyFont="1">
      <alignment vertical="center"/>
    </xf>
    <xf numFmtId="0" fontId="33" fillId="0" borderId="4" xfId="0" applyFont="1" applyBorder="1" applyAlignment="1">
      <alignment horizontal="left" vertical="center" wrapText="1"/>
    </xf>
    <xf numFmtId="0" fontId="33" fillId="0" borderId="4" xfId="49" applyFont="1" applyBorder="1" applyAlignment="1">
      <alignment horizontal="center" vertical="center"/>
    </xf>
    <xf numFmtId="0" fontId="33" fillId="0" borderId="3" xfId="49" applyFont="1" applyBorder="1" applyAlignment="1">
      <alignment horizontal="center" vertical="center"/>
    </xf>
    <xf numFmtId="0" fontId="36" fillId="0" borderId="4" xfId="0" applyFont="1" applyBorder="1" applyAlignment="1">
      <alignment horizontal="left" vertical="center" shrinkToFit="1"/>
    </xf>
    <xf numFmtId="2" fontId="36" fillId="0" borderId="1" xfId="0" applyNumberFormat="1" applyFont="1" applyBorder="1" applyAlignment="1">
      <alignment horizontal="right" vertical="center"/>
    </xf>
    <xf numFmtId="0" fontId="36" fillId="30" borderId="1" xfId="0" applyFont="1" applyFill="1" applyBorder="1" applyAlignment="1">
      <alignment horizontal="center" vertical="center"/>
    </xf>
    <xf numFmtId="0" fontId="33" fillId="29" borderId="3" xfId="49" applyFont="1" applyFill="1" applyBorder="1" applyAlignment="1">
      <alignment horizontal="center" vertical="center"/>
    </xf>
    <xf numFmtId="0" fontId="33" fillId="29" borderId="4" xfId="49" applyFont="1" applyFill="1" applyBorder="1" applyAlignment="1">
      <alignment horizontal="center" vertical="center"/>
    </xf>
    <xf numFmtId="0" fontId="42" fillId="0" borderId="16" xfId="1" applyFont="1" applyBorder="1">
      <alignment vertical="center"/>
    </xf>
    <xf numFmtId="0" fontId="54" fillId="0" borderId="0" xfId="3" applyFont="1" applyAlignment="1">
      <alignment vertical="center" wrapText="1"/>
    </xf>
    <xf numFmtId="0" fontId="57" fillId="4" borderId="13" xfId="3" applyFont="1" applyFill="1" applyBorder="1" applyAlignment="1">
      <alignment horizontal="center" vertical="center"/>
    </xf>
    <xf numFmtId="0" fontId="42" fillId="0" borderId="12" xfId="1" applyFont="1" applyBorder="1">
      <alignment vertical="center"/>
    </xf>
    <xf numFmtId="195" fontId="33" fillId="0" borderId="0" xfId="1" applyNumberFormat="1" applyFont="1">
      <alignment vertical="center"/>
    </xf>
    <xf numFmtId="0" fontId="33" fillId="0" borderId="97" xfId="54" applyFont="1" applyBorder="1" applyAlignment="1">
      <alignment horizontal="center" vertical="center"/>
    </xf>
    <xf numFmtId="0" fontId="62" fillId="0" borderId="0" xfId="1" applyFont="1">
      <alignment vertical="center"/>
    </xf>
    <xf numFmtId="0" fontId="33" fillId="0" borderId="30" xfId="1" applyFont="1" applyBorder="1" applyAlignment="1">
      <alignment horizontal="center" vertical="center"/>
    </xf>
    <xf numFmtId="0" fontId="33" fillId="44" borderId="0" xfId="1" applyFont="1" applyFill="1">
      <alignment vertical="center"/>
    </xf>
    <xf numFmtId="0" fontId="33" fillId="37" borderId="0" xfId="1" applyFont="1" applyFill="1">
      <alignment vertical="center"/>
    </xf>
    <xf numFmtId="0" fontId="33" fillId="37" borderId="0" xfId="3" applyFont="1" applyFill="1">
      <alignment vertical="center"/>
    </xf>
    <xf numFmtId="0" fontId="33" fillId="0" borderId="0" xfId="0" applyFont="1">
      <alignment vertical="center"/>
    </xf>
    <xf numFmtId="198" fontId="33" fillId="0" borderId="125" xfId="54" applyNumberFormat="1" applyFont="1" applyBorder="1" applyAlignment="1">
      <alignment vertical="center" shrinkToFit="1"/>
    </xf>
    <xf numFmtId="0" fontId="33" fillId="37" borderId="0" xfId="54" applyFont="1" applyFill="1">
      <alignment vertical="center"/>
    </xf>
    <xf numFmtId="198" fontId="33" fillId="0" borderId="159" xfId="3" applyNumberFormat="1" applyFont="1" applyBorder="1" applyAlignment="1">
      <alignment vertical="center" shrinkToFit="1"/>
    </xf>
    <xf numFmtId="0" fontId="36" fillId="0" borderId="34" xfId="0" applyFont="1" applyBorder="1" applyAlignment="1">
      <alignment horizontal="center" vertical="center" shrinkToFit="1"/>
    </xf>
    <xf numFmtId="177" fontId="36" fillId="0" borderId="1" xfId="0" applyNumberFormat="1" applyFont="1" applyBorder="1" applyAlignment="1">
      <alignment vertical="center" shrinkToFit="1"/>
    </xf>
    <xf numFmtId="182" fontId="33" fillId="5" borderId="124" xfId="54" applyNumberFormat="1" applyFont="1" applyFill="1" applyBorder="1" applyAlignment="1" applyProtection="1">
      <alignment horizontal="center" vertical="center"/>
      <protection locked="0"/>
    </xf>
    <xf numFmtId="0" fontId="30" fillId="0" borderId="0" xfId="0" applyFont="1">
      <alignment vertical="center"/>
    </xf>
    <xf numFmtId="0" fontId="36" fillId="0" borderId="4" xfId="0" applyFont="1" applyBorder="1" applyAlignment="1">
      <alignment horizontal="left" vertical="center"/>
    </xf>
    <xf numFmtId="0" fontId="43" fillId="0" borderId="56" xfId="0" applyFont="1" applyBorder="1">
      <alignment vertical="center"/>
    </xf>
    <xf numFmtId="0" fontId="43" fillId="0" borderId="70" xfId="0" applyFont="1" applyBorder="1">
      <alignment vertical="center"/>
    </xf>
    <xf numFmtId="0" fontId="33" fillId="0" borderId="56" xfId="0" applyFont="1" applyBorder="1" applyAlignment="1">
      <alignment vertical="center" wrapText="1"/>
    </xf>
    <xf numFmtId="0" fontId="33" fillId="0" borderId="70" xfId="0" applyFont="1" applyBorder="1" applyAlignment="1">
      <alignment vertical="center" wrapText="1"/>
    </xf>
    <xf numFmtId="0" fontId="43" fillId="0" borderId="4" xfId="0" applyFont="1" applyBorder="1" applyAlignment="1">
      <alignment horizontal="center" vertical="center"/>
    </xf>
    <xf numFmtId="0" fontId="40" fillId="0" borderId="1" xfId="0" applyFont="1" applyBorder="1" applyProtection="1">
      <alignment vertical="center"/>
      <protection locked="0"/>
    </xf>
    <xf numFmtId="0" fontId="70" fillId="0" borderId="0" xfId="0" applyFont="1">
      <alignment vertical="center"/>
    </xf>
    <xf numFmtId="0" fontId="36" fillId="2" borderId="1" xfId="0" applyFont="1" applyFill="1" applyBorder="1">
      <alignment vertical="center"/>
    </xf>
    <xf numFmtId="0" fontId="36" fillId="2" borderId="34" xfId="0" applyFont="1" applyFill="1" applyBorder="1">
      <alignment vertical="center"/>
    </xf>
    <xf numFmtId="180" fontId="33" fillId="0" borderId="29" xfId="3" applyNumberFormat="1" applyFont="1" applyBorder="1">
      <alignment vertical="center"/>
    </xf>
    <xf numFmtId="180" fontId="33" fillId="0" borderId="112" xfId="3" applyNumberFormat="1" applyFont="1" applyBorder="1">
      <alignment vertical="center"/>
    </xf>
    <xf numFmtId="180" fontId="33" fillId="5" borderId="67" xfId="54" applyNumberFormat="1" applyFont="1" applyFill="1" applyBorder="1" applyAlignment="1" applyProtection="1">
      <alignment vertical="center" shrinkToFit="1"/>
      <protection locked="0"/>
    </xf>
    <xf numFmtId="180" fontId="33" fillId="0" borderId="74" xfId="3" applyNumberFormat="1" applyFont="1" applyBorder="1">
      <alignment vertical="center"/>
    </xf>
    <xf numFmtId="180" fontId="33" fillId="0" borderId="121" xfId="3" applyNumberFormat="1" applyFont="1" applyBorder="1" applyAlignment="1">
      <alignment vertical="center" shrinkToFit="1"/>
    </xf>
    <xf numFmtId="180" fontId="33" fillId="0" borderId="29" xfId="3" applyNumberFormat="1" applyFont="1" applyBorder="1" applyAlignment="1">
      <alignment vertical="center" shrinkToFit="1"/>
    </xf>
    <xf numFmtId="180" fontId="33" fillId="5" borderId="112" xfId="54" applyNumberFormat="1" applyFont="1" applyFill="1" applyBorder="1" applyAlignment="1" applyProtection="1">
      <alignment vertical="center" shrinkToFit="1"/>
      <protection locked="0"/>
    </xf>
    <xf numFmtId="180" fontId="33" fillId="0" borderId="74" xfId="3" applyNumberFormat="1" applyFont="1" applyBorder="1" applyAlignment="1">
      <alignment vertical="center" shrinkToFit="1"/>
    </xf>
    <xf numFmtId="180" fontId="33" fillId="0" borderId="94" xfId="3" applyNumberFormat="1" applyFont="1" applyBorder="1" applyAlignment="1">
      <alignment vertical="center" shrinkToFit="1"/>
    </xf>
    <xf numFmtId="180" fontId="33" fillId="0" borderId="95" xfId="3" applyNumberFormat="1" applyFont="1" applyBorder="1" applyAlignment="1">
      <alignment vertical="center" shrinkToFit="1"/>
    </xf>
    <xf numFmtId="180" fontId="33" fillId="0" borderId="96" xfId="3" applyNumberFormat="1" applyFont="1" applyBorder="1" applyAlignment="1">
      <alignment vertical="center" shrinkToFit="1"/>
    </xf>
    <xf numFmtId="180" fontId="33" fillId="0" borderId="180" xfId="3" applyNumberFormat="1" applyFont="1" applyBorder="1" applyAlignment="1">
      <alignment vertical="center" shrinkToFit="1"/>
    </xf>
    <xf numFmtId="180" fontId="33" fillId="0" borderId="57" xfId="3" applyNumberFormat="1" applyFont="1" applyBorder="1" applyAlignment="1">
      <alignment vertical="center" shrinkToFit="1"/>
    </xf>
    <xf numFmtId="180" fontId="36" fillId="0" borderId="195" xfId="54" applyNumberFormat="1" applyFont="1" applyBorder="1" applyAlignment="1">
      <alignment vertical="center" shrinkToFit="1"/>
    </xf>
    <xf numFmtId="180" fontId="36" fillId="0" borderId="161" xfId="54" applyNumberFormat="1" applyFont="1" applyBorder="1" applyAlignment="1">
      <alignment vertical="center" shrinkToFit="1"/>
    </xf>
    <xf numFmtId="177" fontId="33" fillId="0" borderId="126" xfId="3" applyNumberFormat="1" applyFont="1" applyBorder="1" applyAlignment="1">
      <alignment vertical="center" shrinkToFit="1"/>
    </xf>
    <xf numFmtId="177" fontId="33" fillId="0" borderId="129" xfId="3" applyNumberFormat="1" applyFont="1" applyBorder="1" applyAlignment="1">
      <alignment vertical="center" shrinkToFit="1"/>
    </xf>
    <xf numFmtId="177" fontId="33" fillId="0" borderId="131" xfId="3" applyNumberFormat="1" applyFont="1" applyBorder="1" applyAlignment="1">
      <alignment vertical="center" shrinkToFit="1"/>
    </xf>
    <xf numFmtId="177" fontId="33" fillId="0" borderId="135" xfId="3" applyNumberFormat="1" applyFont="1" applyBorder="1" applyAlignment="1">
      <alignment vertical="center" shrinkToFit="1"/>
    </xf>
    <xf numFmtId="177" fontId="33" fillId="0" borderId="98" xfId="3" applyNumberFormat="1" applyFont="1" applyBorder="1" applyAlignment="1">
      <alignment vertical="center" shrinkToFit="1"/>
    </xf>
    <xf numFmtId="177" fontId="33" fillId="0" borderId="153" xfId="3" applyNumberFormat="1" applyFont="1" applyBorder="1" applyAlignment="1">
      <alignment vertical="center" shrinkToFit="1"/>
    </xf>
    <xf numFmtId="177" fontId="33" fillId="0" borderId="158" xfId="3" applyNumberFormat="1" applyFont="1" applyBorder="1" applyAlignment="1">
      <alignment vertical="center" shrinkToFit="1"/>
    </xf>
    <xf numFmtId="180" fontId="34" fillId="5" borderId="67" xfId="54" applyNumberFormat="1" applyFont="1" applyFill="1" applyBorder="1" applyAlignment="1" applyProtection="1">
      <alignment vertical="center" shrinkToFit="1"/>
      <protection locked="0"/>
    </xf>
    <xf numFmtId="180" fontId="34" fillId="5" borderId="112" xfId="54" applyNumberFormat="1" applyFont="1" applyFill="1" applyBorder="1" applyAlignment="1" applyProtection="1">
      <alignment vertical="center" shrinkToFit="1"/>
      <protection locked="0"/>
    </xf>
    <xf numFmtId="180" fontId="33" fillId="0" borderId="1" xfId="3" applyNumberFormat="1" applyFont="1" applyBorder="1" applyAlignment="1">
      <alignment vertical="center" shrinkToFit="1"/>
    </xf>
    <xf numFmtId="180" fontId="33" fillId="0" borderId="195" xfId="54" applyNumberFormat="1" applyFont="1" applyBorder="1" applyAlignment="1">
      <alignment vertical="center" shrinkToFit="1"/>
    </xf>
    <xf numFmtId="180" fontId="33" fillId="0" borderId="161" xfId="54" applyNumberFormat="1" applyFont="1" applyBorder="1" applyAlignment="1">
      <alignment vertical="center" shrinkToFit="1"/>
    </xf>
    <xf numFmtId="0" fontId="36" fillId="5" borderId="1" xfId="0" applyFont="1" applyFill="1" applyBorder="1" applyProtection="1">
      <alignment vertical="center"/>
      <protection locked="0"/>
    </xf>
    <xf numFmtId="49" fontId="36" fillId="5" borderId="1" xfId="0" applyNumberFormat="1" applyFont="1" applyFill="1" applyBorder="1" applyProtection="1">
      <alignment vertical="center"/>
      <protection locked="0"/>
    </xf>
    <xf numFmtId="0" fontId="36" fillId="5" borderId="1" xfId="51" applyFont="1" applyFill="1" applyBorder="1" applyProtection="1">
      <alignment vertical="center"/>
      <protection locked="0"/>
    </xf>
    <xf numFmtId="0" fontId="36" fillId="0" borderId="0" xfId="0" applyFont="1">
      <alignment vertical="center"/>
    </xf>
    <xf numFmtId="2" fontId="33" fillId="5" borderId="2" xfId="0" applyNumberFormat="1" applyFont="1" applyFill="1" applyBorder="1" applyAlignment="1" applyProtection="1">
      <alignment horizontal="center" vertical="center" wrapText="1"/>
      <protection locked="0"/>
    </xf>
    <xf numFmtId="2" fontId="33" fillId="0" borderId="3" xfId="0" applyNumberFormat="1" applyFont="1" applyBorder="1" applyAlignment="1" applyProtection="1">
      <alignment horizontal="center" vertical="center" wrapText="1"/>
      <protection locked="0"/>
    </xf>
    <xf numFmtId="0" fontId="33" fillId="29" borderId="1" xfId="49" applyFont="1" applyFill="1" applyBorder="1" applyAlignment="1">
      <alignment horizontal="center" vertical="center" wrapText="1"/>
    </xf>
    <xf numFmtId="0" fontId="33" fillId="5" borderId="2" xfId="0" applyFont="1" applyFill="1" applyBorder="1" applyAlignment="1" applyProtection="1">
      <alignment vertical="center" wrapText="1"/>
      <protection locked="0"/>
    </xf>
    <xf numFmtId="0" fontId="33" fillId="5" borderId="3" xfId="0" applyFont="1" applyFill="1" applyBorder="1" applyAlignment="1" applyProtection="1">
      <alignment vertical="center" wrapText="1"/>
      <protection locked="0"/>
    </xf>
    <xf numFmtId="0" fontId="33" fillId="5" borderId="4" xfId="0" applyFont="1" applyFill="1" applyBorder="1" applyAlignment="1" applyProtection="1">
      <alignment vertical="center" wrapText="1"/>
      <protection locked="0"/>
    </xf>
    <xf numFmtId="0" fontId="33" fillId="29" borderId="7" xfId="49" applyFont="1" applyFill="1" applyBorder="1" applyAlignment="1">
      <alignment horizontal="center" vertical="top" wrapText="1"/>
    </xf>
    <xf numFmtId="0" fontId="33" fillId="29" borderId="8" xfId="49" applyFont="1" applyFill="1" applyBorder="1" applyAlignment="1">
      <alignment horizontal="center" vertical="top"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xf>
    <xf numFmtId="0" fontId="33" fillId="0" borderId="4" xfId="0" applyFont="1" applyBorder="1" applyAlignment="1">
      <alignment horizontal="center" vertical="center"/>
    </xf>
    <xf numFmtId="0" fontId="33" fillId="29" borderId="2" xfId="49" applyFont="1" applyFill="1" applyBorder="1" applyAlignment="1">
      <alignment horizontal="center" vertical="center" wrapText="1"/>
    </xf>
    <xf numFmtId="0" fontId="33" fillId="0" borderId="3"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36" xfId="0" applyFont="1" applyBorder="1" applyAlignment="1">
      <alignment horizontal="center" vertical="center" wrapText="1"/>
    </xf>
    <xf numFmtId="0" fontId="33" fillId="0" borderId="6"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37" xfId="0" applyFont="1" applyBorder="1" applyAlignment="1">
      <alignment horizontal="center" vertical="center" wrapText="1"/>
    </xf>
    <xf numFmtId="0" fontId="33" fillId="0" borderId="8" xfId="0" applyFont="1" applyBorder="1" applyAlignment="1">
      <alignment horizontal="center" vertical="center" wrapText="1"/>
    </xf>
    <xf numFmtId="0" fontId="33" fillId="29" borderId="1" xfId="49" applyFont="1" applyFill="1" applyBorder="1" applyAlignment="1">
      <alignment horizontal="center" vertical="center"/>
    </xf>
    <xf numFmtId="186" fontId="33" fillId="5" borderId="2" xfId="0" applyNumberFormat="1" applyFont="1" applyFill="1" applyBorder="1" applyAlignment="1" applyProtection="1">
      <alignment horizontal="center" vertical="center" wrapText="1"/>
      <protection locked="0"/>
    </xf>
    <xf numFmtId="186" fontId="33" fillId="5" borderId="3" xfId="0" applyNumberFormat="1" applyFont="1" applyFill="1" applyBorder="1" applyAlignment="1" applyProtection="1">
      <alignment horizontal="center" vertical="center" wrapText="1"/>
      <protection locked="0"/>
    </xf>
    <xf numFmtId="0" fontId="33" fillId="5" borderId="2" xfId="0" applyFont="1" applyFill="1" applyBorder="1" applyAlignment="1" applyProtection="1">
      <alignment horizontal="center" vertical="center" wrapText="1"/>
      <protection locked="0"/>
    </xf>
    <xf numFmtId="0" fontId="33" fillId="5" borderId="3" xfId="0" applyFont="1" applyFill="1" applyBorder="1" applyAlignment="1" applyProtection="1">
      <alignment horizontal="center" vertical="center" wrapText="1"/>
      <protection locked="0"/>
    </xf>
    <xf numFmtId="2" fontId="33" fillId="0" borderId="2" xfId="0" applyNumberFormat="1" applyFont="1" applyBorder="1" applyAlignment="1">
      <alignment horizontal="center" vertical="center" wrapText="1"/>
    </xf>
    <xf numFmtId="2" fontId="33" fillId="0" borderId="3" xfId="0" applyNumberFormat="1" applyFont="1" applyBorder="1" applyAlignment="1">
      <alignment horizontal="center" vertical="center" wrapText="1"/>
    </xf>
    <xf numFmtId="0" fontId="33" fillId="29" borderId="1" xfId="2" applyFont="1" applyFill="1" applyBorder="1" applyAlignment="1">
      <alignment horizontal="center" vertical="center"/>
    </xf>
    <xf numFmtId="0" fontId="33" fillId="0" borderId="4" xfId="0" applyFont="1" applyBorder="1" applyAlignment="1">
      <alignment horizontal="center" vertical="center" wrapText="1"/>
    </xf>
    <xf numFmtId="186" fontId="33" fillId="0" borderId="2" xfId="0" applyNumberFormat="1" applyFont="1" applyBorder="1" applyAlignment="1">
      <alignment horizontal="center" vertical="center" wrapText="1"/>
    </xf>
    <xf numFmtId="186" fontId="33" fillId="0" borderId="3" xfId="0" applyNumberFormat="1" applyFont="1" applyBorder="1" applyAlignment="1">
      <alignment horizontal="center" vertical="center" wrapText="1"/>
    </xf>
    <xf numFmtId="0" fontId="31" fillId="0" borderId="0" xfId="0" applyFont="1" applyAlignment="1">
      <alignment horizontal="center" vertical="center"/>
    </xf>
    <xf numFmtId="0" fontId="33" fillId="0" borderId="1" xfId="0" applyFont="1" applyBorder="1" applyAlignment="1">
      <alignment horizontal="distributed" vertical="center" wrapText="1"/>
    </xf>
    <xf numFmtId="0" fontId="33" fillId="0" borderId="1" xfId="0" applyFont="1" applyBorder="1" applyAlignment="1">
      <alignment horizontal="left" vertical="center" wrapText="1"/>
    </xf>
    <xf numFmtId="0" fontId="36" fillId="0" borderId="0" xfId="0" applyFont="1" applyAlignment="1">
      <alignment horizontal="center" vertical="center"/>
    </xf>
    <xf numFmtId="0" fontId="36" fillId="0" borderId="2" xfId="0" applyFont="1" applyBorder="1" applyAlignment="1">
      <alignment horizontal="center" vertical="center"/>
    </xf>
    <xf numFmtId="0" fontId="36" fillId="0" borderId="4" xfId="0" applyFont="1" applyBorder="1" applyAlignment="1">
      <alignment horizontal="center" vertical="center"/>
    </xf>
    <xf numFmtId="0" fontId="36" fillId="0" borderId="1" xfId="1" applyFont="1" applyBorder="1" applyAlignment="1">
      <alignment horizontal="left" vertical="center" shrinkToFit="1"/>
    </xf>
    <xf numFmtId="0" fontId="36" fillId="0" borderId="1" xfId="0" applyFont="1" applyBorder="1" applyAlignment="1">
      <alignment horizontal="center" vertical="center"/>
    </xf>
    <xf numFmtId="0" fontId="53" fillId="4" borderId="15" xfId="3" applyFont="1" applyFill="1" applyBorder="1" applyAlignment="1">
      <alignment horizontal="center" vertical="center"/>
    </xf>
    <xf numFmtId="0" fontId="53" fillId="4" borderId="106" xfId="3" applyFont="1" applyFill="1" applyBorder="1" applyAlignment="1">
      <alignment horizontal="center" vertical="center"/>
    </xf>
    <xf numFmtId="0" fontId="53" fillId="4" borderId="107" xfId="3" applyFont="1" applyFill="1" applyBorder="1" applyAlignment="1">
      <alignment horizontal="center" vertical="center"/>
    </xf>
    <xf numFmtId="0" fontId="53" fillId="4" borderId="109" xfId="3" applyFont="1" applyFill="1" applyBorder="1" applyAlignment="1">
      <alignment horizontal="center" vertical="center"/>
    </xf>
    <xf numFmtId="0" fontId="53" fillId="4" borderId="37" xfId="3" applyFont="1" applyFill="1" applyBorder="1" applyAlignment="1">
      <alignment horizontal="center" vertical="center"/>
    </xf>
    <xf numFmtId="0" fontId="53" fillId="4" borderId="8" xfId="3" applyFont="1" applyFill="1" applyBorder="1" applyAlignment="1">
      <alignment horizontal="center" vertical="center"/>
    </xf>
    <xf numFmtId="0" fontId="49" fillId="3" borderId="0" xfId="3" applyFont="1" applyFill="1" applyAlignment="1">
      <alignment horizontal="center" vertical="center"/>
    </xf>
    <xf numFmtId="176" fontId="53" fillId="4" borderId="108" xfId="3" applyNumberFormat="1" applyFont="1" applyFill="1" applyBorder="1" applyAlignment="1">
      <alignment horizontal="center" vertical="center" wrapText="1"/>
    </xf>
    <xf numFmtId="176" fontId="53" fillId="4" borderId="102" xfId="3" applyNumberFormat="1" applyFont="1" applyFill="1" applyBorder="1" applyAlignment="1">
      <alignment horizontal="center" vertical="center" wrapText="1"/>
    </xf>
    <xf numFmtId="176" fontId="53" fillId="4" borderId="59" xfId="3" applyNumberFormat="1" applyFont="1" applyFill="1" applyBorder="1" applyAlignment="1">
      <alignment horizontal="center" vertical="center" wrapText="1"/>
    </xf>
    <xf numFmtId="176" fontId="53" fillId="4" borderId="103" xfId="3" applyNumberFormat="1" applyFont="1" applyFill="1" applyBorder="1" applyAlignment="1">
      <alignment horizontal="center" vertical="center" wrapText="1"/>
    </xf>
    <xf numFmtId="176" fontId="53" fillId="4" borderId="59" xfId="3" applyNumberFormat="1" applyFont="1" applyFill="1" applyBorder="1" applyAlignment="1">
      <alignment horizontal="center" vertical="center"/>
    </xf>
    <xf numFmtId="176" fontId="53" fillId="4" borderId="103" xfId="3" applyNumberFormat="1" applyFont="1" applyFill="1" applyBorder="1" applyAlignment="1">
      <alignment horizontal="center" vertical="center"/>
    </xf>
    <xf numFmtId="0" fontId="33" fillId="0" borderId="34" xfId="54" applyFont="1" applyBorder="1" applyAlignment="1">
      <alignment horizontal="center" vertical="center" wrapText="1" shrinkToFit="1"/>
    </xf>
    <xf numFmtId="0" fontId="33" fillId="0" borderId="55" xfId="54" applyFont="1" applyBorder="1" applyAlignment="1">
      <alignment horizontal="center" vertical="center" wrapText="1" shrinkToFit="1"/>
    </xf>
    <xf numFmtId="176" fontId="53" fillId="4" borderId="60" xfId="3" applyNumberFormat="1" applyFont="1" applyFill="1" applyBorder="1" applyAlignment="1">
      <alignment horizontal="center" vertical="center"/>
    </xf>
    <xf numFmtId="176" fontId="53" fillId="4" borderId="110" xfId="3" applyNumberFormat="1" applyFont="1" applyFill="1" applyBorder="1" applyAlignment="1">
      <alignment horizontal="center" vertical="center"/>
    </xf>
    <xf numFmtId="0" fontId="53" fillId="4" borderId="34" xfId="3" applyFont="1" applyFill="1" applyBorder="1" applyAlignment="1">
      <alignment horizontal="center" vertical="center" wrapText="1"/>
    </xf>
    <xf numFmtId="0" fontId="53" fillId="4" borderId="55" xfId="3" applyFont="1" applyFill="1" applyBorder="1" applyAlignment="1">
      <alignment horizontal="center" vertical="center" wrapText="1"/>
    </xf>
    <xf numFmtId="0" fontId="53" fillId="4" borderId="58" xfId="3" applyFont="1" applyFill="1" applyBorder="1" applyAlignment="1">
      <alignment horizontal="center" vertical="center" wrapText="1"/>
    </xf>
    <xf numFmtId="0" fontId="53" fillId="4" borderId="111" xfId="3" applyFont="1" applyFill="1" applyBorder="1" applyAlignment="1">
      <alignment horizontal="center" vertical="center" wrapText="1"/>
    </xf>
    <xf numFmtId="0" fontId="53" fillId="4" borderId="61" xfId="3" applyFont="1" applyFill="1" applyBorder="1" applyAlignment="1">
      <alignment horizontal="center" vertical="center" wrapText="1"/>
    </xf>
    <xf numFmtId="0" fontId="57" fillId="45" borderId="183" xfId="54" applyFont="1" applyFill="1" applyBorder="1" applyAlignment="1">
      <alignment horizontal="center" vertical="center"/>
    </xf>
    <xf numFmtId="0" fontId="57" fillId="45" borderId="55" xfId="54" applyFont="1" applyFill="1" applyBorder="1" applyAlignment="1">
      <alignment horizontal="center" vertical="center"/>
    </xf>
    <xf numFmtId="0" fontId="33" fillId="0" borderId="184" xfId="54" applyFont="1" applyBorder="1" applyAlignment="1">
      <alignment horizontal="center" vertical="center"/>
    </xf>
    <xf numFmtId="0" fontId="33" fillId="0" borderId="189" xfId="54" applyFont="1" applyBorder="1" applyAlignment="1">
      <alignment horizontal="center" vertical="center"/>
    </xf>
    <xf numFmtId="0" fontId="33" fillId="0" borderId="7" xfId="54" applyFont="1" applyBorder="1" applyAlignment="1">
      <alignment horizontal="center" vertical="center"/>
    </xf>
    <xf numFmtId="0" fontId="33" fillId="0" borderId="37" xfId="54" applyFont="1" applyBorder="1" applyAlignment="1">
      <alignment horizontal="center" vertical="center"/>
    </xf>
    <xf numFmtId="0" fontId="33" fillId="0" borderId="179" xfId="54" applyFont="1" applyBorder="1" applyAlignment="1">
      <alignment horizontal="center" vertical="center"/>
    </xf>
    <xf numFmtId="0" fontId="33" fillId="0" borderId="182" xfId="54" applyFont="1" applyBorder="1" applyAlignment="1">
      <alignment horizontal="center" vertical="center"/>
    </xf>
    <xf numFmtId="180" fontId="33" fillId="0" borderId="190" xfId="54" applyNumberFormat="1" applyFont="1" applyBorder="1">
      <alignment vertical="center"/>
    </xf>
    <xf numFmtId="0" fontId="32" fillId="0" borderId="191" xfId="0" applyFont="1" applyBorder="1">
      <alignment vertical="center"/>
    </xf>
    <xf numFmtId="0" fontId="33" fillId="0" borderId="5" xfId="54" applyFont="1" applyBorder="1" applyAlignment="1">
      <alignment horizontal="center" vertical="center" wrapText="1"/>
    </xf>
    <xf numFmtId="0" fontId="33" fillId="0" borderId="6" xfId="54" applyFont="1" applyBorder="1" applyAlignment="1">
      <alignment horizontal="center" vertical="center" wrapText="1"/>
    </xf>
    <xf numFmtId="0" fontId="33" fillId="0" borderId="7" xfId="54" applyFont="1" applyBorder="1" applyAlignment="1">
      <alignment horizontal="center" vertical="center" wrapText="1"/>
    </xf>
    <xf numFmtId="0" fontId="33" fillId="0" borderId="8" xfId="54" applyFont="1" applyBorder="1" applyAlignment="1">
      <alignment horizontal="center" vertical="center" wrapText="1"/>
    </xf>
    <xf numFmtId="0" fontId="41" fillId="0" borderId="51" xfId="1" applyFont="1" applyBorder="1">
      <alignment vertical="center"/>
    </xf>
    <xf numFmtId="0" fontId="41" fillId="0" borderId="40" xfId="1" applyFont="1" applyBorder="1">
      <alignment vertical="center"/>
    </xf>
    <xf numFmtId="0" fontId="33" fillId="0" borderId="34" xfId="54" applyFont="1" applyBorder="1" applyAlignment="1">
      <alignment horizontal="center" vertical="center" wrapText="1"/>
    </xf>
    <xf numFmtId="0" fontId="33" fillId="0" borderId="55" xfId="54" applyFont="1" applyBorder="1" applyAlignment="1">
      <alignment horizontal="center" vertical="center" wrapText="1"/>
    </xf>
    <xf numFmtId="0" fontId="33" fillId="0" borderId="34" xfId="54" applyFont="1" applyBorder="1" applyAlignment="1">
      <alignment horizontal="center" vertical="center"/>
    </xf>
    <xf numFmtId="0" fontId="33" fillId="0" borderId="55" xfId="54" applyFont="1" applyBorder="1" applyAlignment="1">
      <alignment horizontal="center" vertical="center"/>
    </xf>
    <xf numFmtId="0" fontId="36" fillId="0" borderId="183" xfId="54" applyFont="1" applyBorder="1" applyAlignment="1">
      <alignment horizontal="center" vertical="center" wrapText="1" shrinkToFit="1"/>
    </xf>
    <xf numFmtId="0" fontId="36" fillId="0" borderId="55" xfId="54" applyFont="1" applyBorder="1" applyAlignment="1">
      <alignment horizontal="center" vertical="center" wrapText="1" shrinkToFit="1"/>
    </xf>
    <xf numFmtId="0" fontId="33" fillId="0" borderId="34" xfId="0" applyFont="1" applyBorder="1" applyAlignment="1">
      <alignment horizontal="center" vertical="center" wrapText="1"/>
    </xf>
    <xf numFmtId="0" fontId="33" fillId="0" borderId="55" xfId="0" applyFont="1" applyBorder="1" applyAlignment="1">
      <alignment horizontal="center" vertical="center"/>
    </xf>
    <xf numFmtId="0" fontId="33" fillId="0" borderId="2" xfId="54" applyFont="1" applyBorder="1" applyAlignment="1">
      <alignment vertical="center" shrinkToFit="1"/>
    </xf>
    <xf numFmtId="0" fontId="33" fillId="0" borderId="4" xfId="54" applyFont="1" applyBorder="1" applyAlignment="1">
      <alignment vertical="center" shrinkToFit="1"/>
    </xf>
    <xf numFmtId="177" fontId="33" fillId="0" borderId="34" xfId="54" applyNumberFormat="1" applyFont="1" applyBorder="1" applyAlignment="1">
      <alignment horizontal="center" vertical="center"/>
    </xf>
    <xf numFmtId="177" fontId="33" fillId="0" borderId="55" xfId="54" applyNumberFormat="1" applyFont="1" applyBorder="1" applyAlignment="1">
      <alignment horizontal="center" vertical="center"/>
    </xf>
    <xf numFmtId="0" fontId="38" fillId="5" borderId="25" xfId="3" applyFont="1" applyFill="1" applyBorder="1" applyAlignment="1" applyProtection="1">
      <alignment vertical="center" shrinkToFit="1"/>
      <protection locked="0"/>
    </xf>
    <xf numFmtId="0" fontId="38" fillId="5" borderId="27" xfId="3" applyFont="1" applyFill="1" applyBorder="1" applyAlignment="1" applyProtection="1">
      <alignment vertical="center" shrinkToFit="1"/>
      <protection locked="0"/>
    </xf>
    <xf numFmtId="0" fontId="38" fillId="5" borderId="28" xfId="3" applyFont="1" applyFill="1" applyBorder="1" applyAlignment="1" applyProtection="1">
      <alignment vertical="center" shrinkToFit="1"/>
      <protection locked="0"/>
    </xf>
    <xf numFmtId="0" fontId="38" fillId="0" borderId="25" xfId="3" applyFont="1" applyBorder="1" applyAlignment="1">
      <alignment vertical="center" shrinkToFit="1"/>
    </xf>
    <xf numFmtId="0" fontId="38" fillId="0" borderId="27" xfId="3" applyFont="1" applyBorder="1" applyAlignment="1">
      <alignment vertical="center" shrinkToFit="1"/>
    </xf>
    <xf numFmtId="0" fontId="38" fillId="0" borderId="28" xfId="3" applyFont="1" applyBorder="1" applyAlignment="1">
      <alignment vertical="center" shrinkToFit="1"/>
    </xf>
    <xf numFmtId="0" fontId="29" fillId="0" borderId="0" xfId="0" applyFont="1" applyAlignment="1">
      <alignment horizontal="center" vertical="center"/>
    </xf>
    <xf numFmtId="0" fontId="36" fillId="5" borderId="174" xfId="54" applyFont="1" applyFill="1" applyBorder="1" applyAlignment="1" applyProtection="1">
      <alignment horizontal="center" vertical="center"/>
      <protection locked="0"/>
    </xf>
    <xf numFmtId="0" fontId="36" fillId="5" borderId="14" xfId="54" applyFont="1" applyFill="1" applyBorder="1" applyAlignment="1" applyProtection="1">
      <alignment horizontal="center" vertical="center"/>
      <protection locked="0"/>
    </xf>
    <xf numFmtId="49" fontId="36" fillId="5" borderId="2" xfId="56" applyNumberFormat="1" applyFont="1" applyFill="1" applyBorder="1" applyAlignment="1" applyProtection="1">
      <alignment horizontal="center" vertical="center"/>
      <protection locked="0"/>
    </xf>
    <xf numFmtId="49" fontId="36" fillId="5" borderId="12" xfId="56" applyNumberFormat="1" applyFont="1" applyFill="1" applyBorder="1" applyAlignment="1" applyProtection="1">
      <alignment horizontal="center" vertical="center"/>
      <protection locked="0"/>
    </xf>
    <xf numFmtId="0" fontId="33" fillId="5" borderId="53" xfId="3" applyFont="1" applyFill="1" applyBorder="1" applyAlignment="1" applyProtection="1">
      <alignment horizontal="center" vertical="center"/>
      <protection locked="0"/>
    </xf>
    <xf numFmtId="0" fontId="33" fillId="5" borderId="27" xfId="3" applyFont="1" applyFill="1" applyBorder="1" applyAlignment="1" applyProtection="1">
      <alignment horizontal="center" vertical="center"/>
      <protection locked="0"/>
    </xf>
    <xf numFmtId="0" fontId="33" fillId="5" borderId="28" xfId="3" applyFont="1" applyFill="1" applyBorder="1" applyAlignment="1" applyProtection="1">
      <alignment horizontal="center" vertical="center"/>
      <protection locked="0"/>
    </xf>
    <xf numFmtId="182" fontId="33" fillId="5" borderId="29" xfId="3" applyNumberFormat="1" applyFont="1" applyFill="1" applyBorder="1" applyAlignment="1" applyProtection="1">
      <alignment vertical="center" shrinkToFit="1"/>
      <protection locked="0"/>
    </xf>
    <xf numFmtId="182" fontId="33" fillId="5" borderId="164" xfId="3" applyNumberFormat="1" applyFont="1" applyFill="1" applyBorder="1" applyAlignment="1" applyProtection="1">
      <alignment vertical="center" shrinkToFit="1"/>
      <protection locked="0"/>
    </xf>
    <xf numFmtId="182" fontId="42" fillId="0" borderId="74" xfId="3" applyNumberFormat="1" applyFont="1" applyBorder="1" applyAlignment="1">
      <alignment vertical="center" shrinkToFit="1"/>
    </xf>
    <xf numFmtId="182" fontId="42" fillId="0" borderId="167" xfId="3" applyNumberFormat="1" applyFont="1" applyBorder="1" applyAlignment="1">
      <alignment vertical="center" shrinkToFit="1"/>
    </xf>
    <xf numFmtId="0" fontId="33" fillId="0" borderId="72" xfId="3" applyFont="1" applyBorder="1" applyAlignment="1">
      <alignment horizontal="center" vertical="center"/>
    </xf>
    <xf numFmtId="0" fontId="33" fillId="0" borderId="117" xfId="3" applyFont="1" applyBorder="1" applyAlignment="1">
      <alignment horizontal="center" vertical="center"/>
    </xf>
    <xf numFmtId="0" fontId="33" fillId="0" borderId="73" xfId="3" applyFont="1" applyBorder="1" applyAlignment="1">
      <alignment horizontal="center" vertical="center"/>
    </xf>
    <xf numFmtId="182" fontId="33" fillId="5" borderId="67" xfId="3" applyNumberFormat="1" applyFont="1" applyFill="1" applyBorder="1" applyAlignment="1" applyProtection="1">
      <alignment vertical="center" shrinkToFit="1"/>
      <protection locked="0"/>
    </xf>
    <xf numFmtId="182" fontId="33" fillId="5" borderId="166" xfId="3" applyNumberFormat="1" applyFont="1" applyFill="1" applyBorder="1" applyAlignment="1" applyProtection="1">
      <alignment vertical="center" shrinkToFit="1"/>
      <protection locked="0"/>
    </xf>
    <xf numFmtId="0" fontId="33" fillId="5" borderId="65" xfId="3" applyFont="1" applyFill="1" applyBorder="1" applyAlignment="1" applyProtection="1">
      <alignment horizontal="center" vertical="center"/>
      <protection locked="0"/>
    </xf>
    <xf numFmtId="0" fontId="33" fillId="5" borderId="66" xfId="3" applyFont="1" applyFill="1" applyBorder="1" applyAlignment="1" applyProtection="1">
      <alignment horizontal="center" vertical="center"/>
      <protection locked="0"/>
    </xf>
    <xf numFmtId="0" fontId="33" fillId="5" borderId="71" xfId="3" applyFont="1" applyFill="1" applyBorder="1" applyAlignment="1" applyProtection="1">
      <alignment horizontal="center" vertical="center"/>
      <protection locked="0"/>
    </xf>
    <xf numFmtId="49" fontId="36" fillId="5" borderId="170" xfId="54" applyNumberFormat="1" applyFont="1" applyFill="1" applyBorder="1" applyAlignment="1" applyProtection="1">
      <alignment horizontal="center" vertical="center"/>
      <protection locked="0"/>
    </xf>
    <xf numFmtId="49" fontId="36" fillId="5" borderId="10" xfId="54" applyNumberFormat="1" applyFont="1" applyFill="1" applyBorder="1" applyAlignment="1" applyProtection="1">
      <alignment horizontal="center" vertical="center"/>
      <protection locked="0"/>
    </xf>
    <xf numFmtId="0" fontId="36" fillId="0" borderId="171" xfId="54" applyFont="1" applyBorder="1" applyAlignment="1">
      <alignment horizontal="center" vertical="center"/>
    </xf>
    <xf numFmtId="0" fontId="36" fillId="0" borderId="172" xfId="54" applyFont="1" applyBorder="1" applyAlignment="1">
      <alignment horizontal="center" vertical="center"/>
    </xf>
    <xf numFmtId="0" fontId="36" fillId="0" borderId="173" xfId="54" applyFont="1" applyBorder="1" applyAlignment="1">
      <alignment horizontal="center" vertical="center"/>
    </xf>
    <xf numFmtId="0" fontId="36" fillId="0" borderId="13" xfId="54" applyFont="1" applyBorder="1" applyAlignment="1">
      <alignment horizontal="center" vertical="center"/>
    </xf>
    <xf numFmtId="0" fontId="36" fillId="0" borderId="3" xfId="54" applyFont="1" applyBorder="1" applyAlignment="1">
      <alignment horizontal="center" vertical="center"/>
    </xf>
    <xf numFmtId="0" fontId="36" fillId="0" borderId="4" xfId="54" applyFont="1" applyBorder="1" applyAlignment="1">
      <alignment horizontal="center" vertical="center"/>
    </xf>
    <xf numFmtId="0" fontId="33" fillId="0" borderId="25" xfId="54" applyFont="1" applyBorder="1" applyAlignment="1">
      <alignment vertical="center" shrinkToFit="1"/>
    </xf>
    <xf numFmtId="0" fontId="33" fillId="0" borderId="27" xfId="54" applyFont="1" applyBorder="1" applyAlignment="1">
      <alignment vertical="center" shrinkToFit="1"/>
    </xf>
    <xf numFmtId="0" fontId="33" fillId="0" borderId="28" xfId="54" applyFont="1" applyBorder="1" applyAlignment="1">
      <alignment vertical="center" shrinkToFit="1"/>
    </xf>
    <xf numFmtId="0" fontId="33" fillId="0" borderId="118" xfId="54" applyFont="1" applyBorder="1" applyAlignment="1">
      <alignment horizontal="center" vertical="center" textRotation="255" wrapText="1"/>
    </xf>
    <xf numFmtId="0" fontId="33" fillId="0" borderId="97" xfId="54" applyFont="1" applyBorder="1" applyAlignment="1">
      <alignment horizontal="center" vertical="center" textRotation="255"/>
    </xf>
    <xf numFmtId="0" fontId="33" fillId="0" borderId="141" xfId="54" applyFont="1" applyBorder="1" applyAlignment="1">
      <alignment horizontal="center" vertical="center" textRotation="255"/>
    </xf>
    <xf numFmtId="0" fontId="33" fillId="5" borderId="29" xfId="3" applyFont="1" applyFill="1" applyBorder="1" applyProtection="1">
      <alignment vertical="center"/>
      <protection locked="0"/>
    </xf>
    <xf numFmtId="0" fontId="33" fillId="5" borderId="27" xfId="3" applyFont="1" applyFill="1" applyBorder="1" applyProtection="1">
      <alignment vertical="center"/>
      <protection locked="0"/>
    </xf>
    <xf numFmtId="0" fontId="33" fillId="5" borderId="28" xfId="3" applyFont="1" applyFill="1" applyBorder="1" applyProtection="1">
      <alignment vertical="center"/>
      <protection locked="0"/>
    </xf>
    <xf numFmtId="0" fontId="33" fillId="5" borderId="121" xfId="3" applyFont="1" applyFill="1" applyBorder="1" applyProtection="1">
      <alignment vertical="center"/>
      <protection locked="0"/>
    </xf>
    <xf numFmtId="0" fontId="33" fillId="5" borderId="175" xfId="3" applyFont="1" applyFill="1" applyBorder="1" applyProtection="1">
      <alignment vertical="center"/>
      <protection locked="0"/>
    </xf>
    <xf numFmtId="0" fontId="33" fillId="5" borderId="176" xfId="3" applyFont="1" applyFill="1" applyBorder="1" applyProtection="1">
      <alignment vertical="center"/>
      <protection locked="0"/>
    </xf>
    <xf numFmtId="0" fontId="53" fillId="4" borderId="78" xfId="3" applyFont="1" applyFill="1" applyBorder="1" applyAlignment="1">
      <alignment horizontal="center" vertical="center"/>
    </xf>
    <xf numFmtId="0" fontId="53" fillId="4" borderId="0" xfId="3" applyFont="1" applyFill="1" applyAlignment="1">
      <alignment horizontal="center" vertical="center"/>
    </xf>
    <xf numFmtId="0" fontId="53" fillId="4" borderId="70" xfId="3" applyFont="1" applyFill="1" applyBorder="1" applyAlignment="1">
      <alignment horizontal="center" vertical="center"/>
    </xf>
    <xf numFmtId="0" fontId="36" fillId="0" borderId="11" xfId="54" applyFont="1" applyBorder="1" applyAlignment="1">
      <alignment horizontal="center" vertical="center"/>
    </xf>
    <xf numFmtId="0" fontId="36" fillId="0" borderId="9" xfId="54" applyFont="1" applyBorder="1" applyAlignment="1">
      <alignment horizontal="center" vertical="center"/>
    </xf>
    <xf numFmtId="0" fontId="36" fillId="0" borderId="169" xfId="54" applyFont="1" applyBorder="1" applyAlignment="1">
      <alignment horizontal="center" vertical="center"/>
    </xf>
    <xf numFmtId="0" fontId="57" fillId="4" borderId="15" xfId="3" applyFont="1" applyFill="1" applyBorder="1" applyAlignment="1">
      <alignment horizontal="center" vertical="center"/>
    </xf>
    <xf numFmtId="0" fontId="57" fillId="4" borderId="106" xfId="3" applyFont="1" applyFill="1" applyBorder="1" applyAlignment="1">
      <alignment horizontal="center" vertical="center"/>
    </xf>
    <xf numFmtId="0" fontId="57" fillId="4" borderId="16" xfId="3" applyFont="1" applyFill="1" applyBorder="1" applyAlignment="1">
      <alignment horizontal="center" vertical="center"/>
    </xf>
    <xf numFmtId="0" fontId="57" fillId="4" borderId="19" xfId="3" applyFont="1" applyFill="1" applyBorder="1" applyAlignment="1">
      <alignment horizontal="center" vertical="center"/>
    </xf>
    <xf numFmtId="0" fontId="57" fillId="4" borderId="157" xfId="3" applyFont="1" applyFill="1" applyBorder="1" applyAlignment="1">
      <alignment horizontal="center" vertical="center"/>
    </xf>
    <xf numFmtId="0" fontId="57" fillId="4" borderId="21" xfId="3" applyFont="1" applyFill="1" applyBorder="1" applyAlignment="1">
      <alignment horizontal="center" vertical="center"/>
    </xf>
    <xf numFmtId="0" fontId="53" fillId="4" borderId="17" xfId="3" applyFont="1" applyFill="1" applyBorder="1" applyAlignment="1">
      <alignment horizontal="center" vertical="center" wrapText="1"/>
    </xf>
    <xf numFmtId="0" fontId="53" fillId="4" borderId="16" xfId="3" applyFont="1" applyFill="1" applyBorder="1" applyAlignment="1">
      <alignment horizontal="center" vertical="center" wrapText="1"/>
    </xf>
    <xf numFmtId="0" fontId="53" fillId="4" borderId="7" xfId="3" applyFont="1" applyFill="1" applyBorder="1" applyAlignment="1">
      <alignment horizontal="center" vertical="center" wrapText="1"/>
    </xf>
    <xf numFmtId="0" fontId="53" fillId="4" borderId="168" xfId="3" applyFont="1" applyFill="1" applyBorder="1" applyAlignment="1">
      <alignment horizontal="center" vertical="center" wrapText="1"/>
    </xf>
    <xf numFmtId="0" fontId="57" fillId="4" borderId="107" xfId="3" applyFont="1" applyFill="1" applyBorder="1" applyAlignment="1">
      <alignment horizontal="center" vertical="center"/>
    </xf>
    <xf numFmtId="0" fontId="57" fillId="4" borderId="109" xfId="3" applyFont="1" applyFill="1" applyBorder="1" applyAlignment="1">
      <alignment horizontal="center" vertical="center"/>
    </xf>
    <xf numFmtId="0" fontId="57" fillId="4" borderId="37" xfId="3" applyFont="1" applyFill="1" applyBorder="1" applyAlignment="1">
      <alignment horizontal="center" vertical="center"/>
    </xf>
    <xf numFmtId="0" fontId="57" fillId="4" borderId="8" xfId="3" applyFont="1" applyFill="1" applyBorder="1" applyAlignment="1">
      <alignment horizontal="center" vertical="center"/>
    </xf>
    <xf numFmtId="182" fontId="33" fillId="5" borderId="23" xfId="3" applyNumberFormat="1" applyFont="1" applyFill="1" applyBorder="1" applyAlignment="1" applyProtection="1">
      <alignment vertical="center" shrinkToFit="1"/>
      <protection locked="0"/>
    </xf>
    <xf numFmtId="182" fontId="33" fillId="5" borderId="163" xfId="3" applyNumberFormat="1" applyFont="1" applyFill="1" applyBorder="1" applyAlignment="1" applyProtection="1">
      <alignment vertical="center" shrinkToFit="1"/>
      <protection locked="0"/>
    </xf>
    <xf numFmtId="0" fontId="33" fillId="5" borderId="54" xfId="3" applyFont="1" applyFill="1" applyBorder="1" applyAlignment="1" applyProtection="1">
      <alignment horizontal="center" vertical="center"/>
      <protection locked="0"/>
    </xf>
    <xf numFmtId="0" fontId="33" fillId="5" borderId="80" xfId="3" applyFont="1" applyFill="1" applyBorder="1" applyAlignment="1" applyProtection="1">
      <alignment horizontal="center" vertical="center"/>
      <protection locked="0"/>
    </xf>
    <xf numFmtId="0" fontId="33" fillId="5" borderId="22" xfId="3" applyFont="1" applyFill="1" applyBorder="1" applyAlignment="1" applyProtection="1">
      <alignment horizontal="center" vertical="center"/>
      <protection locked="0"/>
    </xf>
    <xf numFmtId="182" fontId="33" fillId="5" borderId="121" xfId="3" applyNumberFormat="1" applyFont="1" applyFill="1" applyBorder="1" applyAlignment="1" applyProtection="1">
      <alignment vertical="center" shrinkToFit="1"/>
      <protection locked="0"/>
    </xf>
    <xf numFmtId="182" fontId="33" fillId="5" borderId="177" xfId="3" applyNumberFormat="1" applyFont="1" applyFill="1" applyBorder="1" applyAlignment="1" applyProtection="1">
      <alignment vertical="center" shrinkToFit="1"/>
      <protection locked="0"/>
    </xf>
    <xf numFmtId="182" fontId="42" fillId="0" borderId="74" xfId="3" applyNumberFormat="1" applyFont="1" applyBorder="1">
      <alignment vertical="center"/>
    </xf>
    <xf numFmtId="182" fontId="42" fillId="0" borderId="167" xfId="3" applyNumberFormat="1" applyFont="1" applyBorder="1">
      <alignment vertical="center"/>
    </xf>
    <xf numFmtId="0" fontId="33" fillId="0" borderId="19" xfId="3" applyFont="1" applyBorder="1" applyAlignment="1">
      <alignment horizontal="center" vertical="center"/>
    </xf>
    <xf numFmtId="0" fontId="33" fillId="0" borderId="157" xfId="3" applyFont="1" applyBorder="1" applyAlignment="1">
      <alignment horizontal="center" vertical="center"/>
    </xf>
    <xf numFmtId="0" fontId="33" fillId="0" borderId="64" xfId="3" applyFont="1" applyBorder="1" applyAlignment="1">
      <alignment horizontal="center" vertical="center"/>
    </xf>
    <xf numFmtId="0" fontId="53" fillId="4" borderId="20" xfId="3" applyFont="1" applyFill="1" applyBorder="1" applyAlignment="1">
      <alignment horizontal="center" vertical="center" wrapText="1"/>
    </xf>
    <xf numFmtId="0" fontId="53" fillId="4" borderId="21" xfId="3" applyFont="1" applyFill="1" applyBorder="1" applyAlignment="1">
      <alignment horizontal="center" vertical="center" wrapText="1"/>
    </xf>
    <xf numFmtId="0" fontId="57" fillId="4" borderId="78" xfId="3" applyFont="1" applyFill="1" applyBorder="1" applyAlignment="1">
      <alignment horizontal="center" vertical="center"/>
    </xf>
    <xf numFmtId="0" fontId="57" fillId="4" borderId="0" xfId="3" applyFont="1" applyFill="1" applyAlignment="1">
      <alignment horizontal="center" vertical="center"/>
    </xf>
    <xf numFmtId="0" fontId="57" fillId="4" borderId="70" xfId="3" applyFont="1" applyFill="1" applyBorder="1" applyAlignment="1">
      <alignment horizontal="center" vertical="center"/>
    </xf>
    <xf numFmtId="0" fontId="33" fillId="0" borderId="0" xfId="0" applyFont="1" applyAlignment="1">
      <alignment horizontal="left" vertical="center" wrapText="1"/>
    </xf>
    <xf numFmtId="0" fontId="36" fillId="0" borderId="0" xfId="0" applyFont="1" applyAlignment="1">
      <alignment vertical="center" wrapText="1"/>
    </xf>
    <xf numFmtId="0" fontId="33" fillId="0" borderId="2" xfId="0" applyFont="1" applyBorder="1" applyAlignment="1">
      <alignment horizontal="distributed" vertical="center" wrapText="1"/>
    </xf>
    <xf numFmtId="0" fontId="33" fillId="0" borderId="3" xfId="0" applyFont="1" applyBorder="1" applyAlignment="1">
      <alignment horizontal="distributed" vertical="center" wrapText="1"/>
    </xf>
    <xf numFmtId="0" fontId="33" fillId="0" borderId="4" xfId="0" applyFont="1" applyBorder="1" applyAlignment="1">
      <alignment horizontal="distributed" vertical="center" wrapText="1"/>
    </xf>
    <xf numFmtId="0" fontId="33" fillId="0" borderId="56" xfId="0" applyFont="1" applyBorder="1" applyAlignment="1">
      <alignment horizontal="center" vertical="center" wrapText="1"/>
    </xf>
    <xf numFmtId="0" fontId="33" fillId="0" borderId="0" xfId="0" applyFont="1" applyAlignment="1">
      <alignment horizontal="center" vertical="center" wrapText="1"/>
    </xf>
    <xf numFmtId="0" fontId="33" fillId="0" borderId="70" xfId="0" applyFont="1" applyBorder="1" applyAlignment="1">
      <alignment horizontal="center" vertical="center" wrapText="1"/>
    </xf>
    <xf numFmtId="0" fontId="33" fillId="0" borderId="2" xfId="0" applyFont="1" applyBorder="1" applyAlignment="1">
      <alignment horizontal="left" vertical="center"/>
    </xf>
    <xf numFmtId="0" fontId="33" fillId="0" borderId="4" xfId="0" applyFont="1" applyBorder="1" applyAlignment="1">
      <alignment horizontal="left" vertical="center"/>
    </xf>
    <xf numFmtId="0" fontId="33" fillId="0" borderId="2" xfId="0" applyFont="1" applyBorder="1" applyAlignment="1">
      <alignment horizontal="center" vertical="center"/>
    </xf>
    <xf numFmtId="0" fontId="33" fillId="0" borderId="5" xfId="0" applyFont="1" applyBorder="1" applyAlignment="1">
      <alignment horizontal="center" vertical="center"/>
    </xf>
    <xf numFmtId="0" fontId="33" fillId="0" borderId="6" xfId="0" applyFont="1" applyBorder="1" applyAlignment="1">
      <alignment horizontal="center" vertical="center"/>
    </xf>
    <xf numFmtId="0" fontId="33" fillId="0" borderId="7" xfId="0" applyFont="1" applyBorder="1" applyAlignment="1">
      <alignment horizontal="center" vertical="center"/>
    </xf>
    <xf numFmtId="0" fontId="33" fillId="0" borderId="8" xfId="0" applyFont="1" applyBorder="1" applyAlignment="1">
      <alignment horizontal="center" vertical="center"/>
    </xf>
    <xf numFmtId="0" fontId="36" fillId="0" borderId="0" xfId="0" applyFont="1" applyAlignment="1">
      <alignment horizontal="distributed" vertical="center"/>
    </xf>
    <xf numFmtId="0" fontId="33" fillId="0" borderId="34" xfId="0" applyFont="1" applyBorder="1" applyAlignment="1">
      <alignment horizontal="center" vertical="center" textRotation="255"/>
    </xf>
    <xf numFmtId="0" fontId="33" fillId="0" borderId="55" xfId="0" applyFont="1" applyBorder="1" applyAlignment="1">
      <alignment horizontal="center" vertical="center" textRotation="255"/>
    </xf>
    <xf numFmtId="0" fontId="33" fillId="0" borderId="36" xfId="0" applyFont="1" applyBorder="1" applyAlignment="1">
      <alignment horizontal="center" vertical="center"/>
    </xf>
    <xf numFmtId="0" fontId="33" fillId="0" borderId="37" xfId="0" applyFont="1" applyBorder="1" applyAlignment="1">
      <alignment horizontal="center" vertical="center"/>
    </xf>
    <xf numFmtId="0" fontId="33" fillId="0" borderId="5" xfId="0" applyFont="1" applyBorder="1" applyAlignment="1">
      <alignment horizontal="distributed" vertical="center"/>
    </xf>
    <xf numFmtId="0" fontId="33" fillId="0" borderId="36" xfId="0" applyFont="1" applyBorder="1" applyAlignment="1">
      <alignment horizontal="distributed" vertical="center"/>
    </xf>
    <xf numFmtId="0" fontId="33" fillId="0" borderId="6" xfId="0" applyFont="1" applyBorder="1" applyAlignment="1">
      <alignment horizontal="distributed" vertical="center"/>
    </xf>
    <xf numFmtId="0" fontId="33" fillId="0" borderId="56" xfId="0" applyFont="1" applyBorder="1" applyAlignment="1">
      <alignment horizontal="distributed" vertical="center"/>
    </xf>
    <xf numFmtId="0" fontId="33" fillId="0" borderId="0" xfId="0" applyFont="1" applyAlignment="1">
      <alignment horizontal="distributed" vertical="center"/>
    </xf>
    <xf numFmtId="0" fontId="33" fillId="0" borderId="70" xfId="0" applyFont="1" applyBorder="1" applyAlignment="1">
      <alignment horizontal="distributed" vertical="center"/>
    </xf>
    <xf numFmtId="0" fontId="33" fillId="0" borderId="7" xfId="0" applyFont="1" applyBorder="1" applyAlignment="1">
      <alignment horizontal="distributed" vertical="center"/>
    </xf>
    <xf numFmtId="0" fontId="33" fillId="0" borderId="37" xfId="0" applyFont="1" applyBorder="1" applyAlignment="1">
      <alignment horizontal="distributed" vertical="center"/>
    </xf>
    <xf numFmtId="0" fontId="33" fillId="0" borderId="8" xfId="0" applyFont="1" applyBorder="1" applyAlignment="1">
      <alignment horizontal="distributed" vertical="center"/>
    </xf>
    <xf numFmtId="0" fontId="36" fillId="0" borderId="1" xfId="0" applyFont="1" applyBorder="1">
      <alignment vertical="center"/>
    </xf>
    <xf numFmtId="0" fontId="33" fillId="0" borderId="1" xfId="0" applyFont="1" applyBorder="1" applyAlignment="1">
      <alignment horizontal="center" vertical="center"/>
    </xf>
    <xf numFmtId="0" fontId="36" fillId="0" borderId="1" xfId="0" applyFont="1" applyBorder="1" applyAlignment="1">
      <alignment horizontal="left" vertical="center" wrapText="1"/>
    </xf>
    <xf numFmtId="0" fontId="36" fillId="0" borderId="2" xfId="0" applyFont="1" applyBorder="1" applyAlignment="1">
      <alignment horizontal="left" vertical="center" wrapText="1"/>
    </xf>
    <xf numFmtId="0" fontId="36" fillId="0" borderId="3" xfId="0" applyFont="1" applyBorder="1" applyAlignment="1">
      <alignment horizontal="left" vertical="center" wrapText="1"/>
    </xf>
    <xf numFmtId="0" fontId="36" fillId="0" borderId="4" xfId="0" applyFont="1" applyBorder="1" applyAlignment="1">
      <alignment horizontal="left" vertical="center" wrapText="1"/>
    </xf>
    <xf numFmtId="0" fontId="36" fillId="32" borderId="55" xfId="0" applyFont="1" applyFill="1" applyBorder="1" applyAlignment="1">
      <alignment horizontal="center" vertical="center"/>
    </xf>
    <xf numFmtId="0" fontId="36" fillId="32" borderId="1" xfId="0" applyFont="1" applyFill="1" applyBorder="1" applyAlignment="1">
      <alignment horizontal="center" vertical="center"/>
    </xf>
    <xf numFmtId="2" fontId="36" fillId="0" borderId="2" xfId="0" applyNumberFormat="1" applyFont="1" applyBorder="1">
      <alignment vertical="center"/>
    </xf>
    <xf numFmtId="2" fontId="36" fillId="0" borderId="3" xfId="0" applyNumberFormat="1" applyFont="1" applyBorder="1">
      <alignment vertical="center"/>
    </xf>
    <xf numFmtId="0" fontId="36" fillId="0" borderId="2" xfId="0" applyFont="1" applyBorder="1" applyAlignment="1">
      <alignment horizontal="right" vertical="center"/>
    </xf>
    <xf numFmtId="0" fontId="36" fillId="0" borderId="4" xfId="0" applyFont="1" applyBorder="1" applyAlignment="1">
      <alignment horizontal="right" vertical="center"/>
    </xf>
    <xf numFmtId="0" fontId="36" fillId="32" borderId="2" xfId="0" applyFont="1" applyFill="1" applyBorder="1" applyAlignment="1">
      <alignment horizontal="center" vertical="center"/>
    </xf>
    <xf numFmtId="0" fontId="36" fillId="32" borderId="4" xfId="0" applyFont="1" applyFill="1" applyBorder="1" applyAlignment="1">
      <alignment horizontal="center" vertical="center"/>
    </xf>
    <xf numFmtId="0" fontId="33" fillId="32" borderId="1" xfId="0" applyFont="1" applyFill="1" applyBorder="1" applyAlignment="1">
      <alignment horizontal="distributed" vertical="center" wrapText="1"/>
    </xf>
    <xf numFmtId="0" fontId="33" fillId="32" borderId="5" xfId="0" applyFont="1" applyFill="1" applyBorder="1" applyAlignment="1">
      <alignment horizontal="distributed" vertical="center" wrapText="1"/>
    </xf>
    <xf numFmtId="0" fontId="33" fillId="32" borderId="36" xfId="0" applyFont="1" applyFill="1" applyBorder="1" applyAlignment="1">
      <alignment horizontal="distributed" vertical="center" wrapText="1"/>
    </xf>
    <xf numFmtId="0" fontId="33" fillId="32" borderId="6" xfId="0" applyFont="1" applyFill="1" applyBorder="1" applyAlignment="1">
      <alignment horizontal="distributed" vertical="center" wrapText="1"/>
    </xf>
    <xf numFmtId="0" fontId="33" fillId="32" borderId="56" xfId="0" applyFont="1" applyFill="1" applyBorder="1" applyAlignment="1">
      <alignment horizontal="distributed" vertical="center" wrapText="1"/>
    </xf>
    <xf numFmtId="0" fontId="33" fillId="32" borderId="0" xfId="0" applyFont="1" applyFill="1" applyAlignment="1">
      <alignment horizontal="distributed" vertical="center" wrapText="1"/>
    </xf>
    <xf numFmtId="0" fontId="33" fillId="32" borderId="70" xfId="0" applyFont="1" applyFill="1" applyBorder="1" applyAlignment="1">
      <alignment horizontal="distributed" vertical="center" wrapText="1"/>
    </xf>
    <xf numFmtId="0" fontId="33" fillId="32" borderId="7" xfId="0" applyFont="1" applyFill="1" applyBorder="1" applyAlignment="1">
      <alignment horizontal="distributed" vertical="center" wrapText="1"/>
    </xf>
    <xf numFmtId="0" fontId="33" fillId="32" borderId="37" xfId="0" applyFont="1" applyFill="1" applyBorder="1" applyAlignment="1">
      <alignment horizontal="distributed" vertical="center" wrapText="1"/>
    </xf>
    <xf numFmtId="0" fontId="33" fillId="32" borderId="8" xfId="0" applyFont="1" applyFill="1" applyBorder="1" applyAlignment="1">
      <alignment horizontal="distributed" vertical="center" wrapText="1"/>
    </xf>
    <xf numFmtId="186" fontId="36" fillId="0" borderId="2" xfId="0" applyNumberFormat="1" applyFont="1" applyBorder="1">
      <alignment vertical="center"/>
    </xf>
    <xf numFmtId="186" fontId="36" fillId="0" borderId="3" xfId="0" applyNumberFormat="1" applyFont="1" applyBorder="1">
      <alignment vertical="center"/>
    </xf>
    <xf numFmtId="0" fontId="33" fillId="32" borderId="2" xfId="0" applyFont="1" applyFill="1" applyBorder="1" applyAlignment="1">
      <alignment horizontal="distributed" vertical="center" wrapText="1"/>
    </xf>
    <xf numFmtId="0" fontId="33" fillId="32" borderId="3" xfId="0" applyFont="1" applyFill="1" applyBorder="1" applyAlignment="1">
      <alignment horizontal="distributed" vertical="center" wrapText="1"/>
    </xf>
    <xf numFmtId="0" fontId="33" fillId="32" borderId="4" xfId="0" applyFont="1" applyFill="1" applyBorder="1" applyAlignment="1">
      <alignment horizontal="distributed" vertical="center" wrapText="1"/>
    </xf>
    <xf numFmtId="0" fontId="33" fillId="32" borderId="184" xfId="0" applyFont="1" applyFill="1" applyBorder="1" applyAlignment="1">
      <alignment horizontal="center" vertical="center" wrapText="1"/>
    </xf>
    <xf numFmtId="0" fontId="33" fillId="32" borderId="189" xfId="0" applyFont="1" applyFill="1" applyBorder="1" applyAlignment="1">
      <alignment horizontal="center" vertical="center" wrapText="1"/>
    </xf>
    <xf numFmtId="0" fontId="33" fillId="32" borderId="6" xfId="0" applyFont="1" applyFill="1" applyBorder="1" applyAlignment="1">
      <alignment horizontal="center" vertical="center" wrapText="1"/>
    </xf>
    <xf numFmtId="0" fontId="33" fillId="32" borderId="56" xfId="0" applyFont="1" applyFill="1" applyBorder="1" applyAlignment="1">
      <alignment horizontal="center" vertical="center" wrapText="1"/>
    </xf>
    <xf numFmtId="0" fontId="33" fillId="32" borderId="0" xfId="0" applyFont="1" applyFill="1" applyAlignment="1">
      <alignment horizontal="center" vertical="center" wrapText="1"/>
    </xf>
    <xf numFmtId="0" fontId="33" fillId="32" borderId="70" xfId="0" applyFont="1" applyFill="1" applyBorder="1" applyAlignment="1">
      <alignment horizontal="center" vertical="center" wrapText="1"/>
    </xf>
    <xf numFmtId="0" fontId="33" fillId="32" borderId="7" xfId="0" applyFont="1" applyFill="1" applyBorder="1" applyAlignment="1">
      <alignment horizontal="center" vertical="center" wrapText="1"/>
    </xf>
    <xf numFmtId="0" fontId="33" fillId="32" borderId="37" xfId="0" applyFont="1" applyFill="1" applyBorder="1" applyAlignment="1">
      <alignment horizontal="center" vertical="center" wrapText="1"/>
    </xf>
    <xf numFmtId="0" fontId="33" fillId="32" borderId="8" xfId="0" applyFont="1" applyFill="1" applyBorder="1" applyAlignment="1">
      <alignment horizontal="center" vertical="center" wrapText="1"/>
    </xf>
    <xf numFmtId="0" fontId="36" fillId="0" borderId="6" xfId="0" applyFont="1" applyBorder="1" applyAlignment="1">
      <alignment horizontal="center" vertical="center" wrapText="1"/>
    </xf>
    <xf numFmtId="0" fontId="36" fillId="0" borderId="70" xfId="0" applyFont="1" applyBorder="1" applyAlignment="1">
      <alignment horizontal="center" vertical="center" wrapText="1"/>
    </xf>
    <xf numFmtId="0" fontId="36" fillId="0" borderId="8" xfId="0" applyFont="1" applyBorder="1" applyAlignment="1">
      <alignment horizontal="center" vertical="center" wrapText="1"/>
    </xf>
    <xf numFmtId="0" fontId="33" fillId="32" borderId="179" xfId="0" applyFont="1" applyFill="1" applyBorder="1" applyAlignment="1">
      <alignment horizontal="center" vertical="center" wrapText="1"/>
    </xf>
    <xf numFmtId="0" fontId="33" fillId="0" borderId="182" xfId="0" applyFont="1" applyBorder="1" applyAlignment="1">
      <alignment horizontal="center" vertical="center"/>
    </xf>
    <xf numFmtId="0" fontId="36" fillId="32" borderId="2" xfId="0" applyFont="1" applyFill="1" applyBorder="1" applyAlignment="1">
      <alignment horizontal="center" vertical="center" wrapText="1"/>
    </xf>
    <xf numFmtId="0" fontId="36" fillId="32" borderId="3" xfId="0" applyFont="1" applyFill="1" applyBorder="1" applyAlignment="1">
      <alignment horizontal="center" vertical="center"/>
    </xf>
    <xf numFmtId="0" fontId="36" fillId="32" borderId="3" xfId="0" applyFont="1" applyFill="1" applyBorder="1" applyAlignment="1">
      <alignment horizontal="center" vertical="center" wrapText="1"/>
    </xf>
    <xf numFmtId="0" fontId="36" fillId="32" borderId="4" xfId="0" applyFont="1" applyFill="1" applyBorder="1" applyAlignment="1">
      <alignment horizontal="center" vertical="center" wrapText="1"/>
    </xf>
    <xf numFmtId="0" fontId="36" fillId="32" borderId="5" xfId="0" applyFont="1" applyFill="1" applyBorder="1" applyAlignment="1">
      <alignment horizontal="center" vertical="center"/>
    </xf>
    <xf numFmtId="0" fontId="36" fillId="32" borderId="36" xfId="0" applyFont="1" applyFill="1" applyBorder="1" applyAlignment="1">
      <alignment horizontal="center" vertical="center"/>
    </xf>
    <xf numFmtId="0" fontId="36" fillId="32" borderId="6" xfId="0" applyFont="1" applyFill="1" applyBorder="1" applyAlignment="1">
      <alignment horizontal="center" vertical="center"/>
    </xf>
    <xf numFmtId="2" fontId="33" fillId="0" borderId="179" xfId="0" applyNumberFormat="1" applyFont="1" applyBorder="1">
      <alignment vertical="center"/>
    </xf>
    <xf numFmtId="2" fontId="33" fillId="0" borderId="181" xfId="0" applyNumberFormat="1" applyFont="1" applyBorder="1">
      <alignment vertical="center"/>
    </xf>
    <xf numFmtId="0" fontId="36" fillId="32" borderId="184" xfId="0" applyFont="1" applyFill="1" applyBorder="1" applyAlignment="1">
      <alignment horizontal="center" vertical="center" wrapText="1"/>
    </xf>
    <xf numFmtId="0" fontId="36" fillId="32" borderId="189" xfId="0" applyFont="1" applyFill="1" applyBorder="1" applyAlignment="1">
      <alignment horizontal="center" vertical="center" wrapText="1"/>
    </xf>
    <xf numFmtId="0" fontId="36" fillId="32" borderId="56" xfId="0" applyFont="1" applyFill="1" applyBorder="1" applyAlignment="1">
      <alignment horizontal="center" vertical="center" wrapText="1"/>
    </xf>
    <xf numFmtId="0" fontId="36" fillId="32" borderId="0" xfId="0" applyFont="1" applyFill="1" applyAlignment="1">
      <alignment horizontal="center" vertical="center" wrapText="1"/>
    </xf>
    <xf numFmtId="0" fontId="36" fillId="32" borderId="7" xfId="0" applyFont="1" applyFill="1" applyBorder="1" applyAlignment="1">
      <alignment horizontal="center" vertical="center" wrapText="1"/>
    </xf>
    <xf numFmtId="0" fontId="36" fillId="32" borderId="37" xfId="0" applyFont="1" applyFill="1" applyBorder="1" applyAlignment="1">
      <alignment horizontal="center" vertical="center" wrapText="1"/>
    </xf>
    <xf numFmtId="0" fontId="36" fillId="0" borderId="189" xfId="0" applyFont="1" applyBorder="1" applyAlignment="1">
      <alignment horizontal="center" vertical="center" wrapText="1"/>
    </xf>
    <xf numFmtId="0" fontId="36" fillId="0" borderId="0" xfId="0" applyFont="1" applyAlignment="1">
      <alignment horizontal="center" vertical="center" wrapText="1"/>
    </xf>
    <xf numFmtId="0" fontId="36" fillId="0" borderId="37" xfId="0" applyFont="1" applyBorder="1" applyAlignment="1">
      <alignment horizontal="center" vertical="center" wrapText="1"/>
    </xf>
    <xf numFmtId="1" fontId="36" fillId="0" borderId="3" xfId="50" applyNumberFormat="1" applyFont="1" applyBorder="1">
      <alignment vertical="center"/>
    </xf>
    <xf numFmtId="189" fontId="33" fillId="0" borderId="2" xfId="0" applyNumberFormat="1" applyFont="1" applyBorder="1" applyAlignment="1">
      <alignment vertical="center" wrapText="1"/>
    </xf>
    <xf numFmtId="189" fontId="33" fillId="0" borderId="3" xfId="0" applyNumberFormat="1" applyFont="1" applyBorder="1" applyAlignment="1">
      <alignment vertical="center" wrapText="1"/>
    </xf>
    <xf numFmtId="0" fontId="33" fillId="5" borderId="1" xfId="0" applyFont="1" applyFill="1" applyBorder="1" applyAlignment="1" applyProtection="1">
      <alignment horizontal="left" vertical="center" wrapText="1"/>
      <protection locked="0"/>
    </xf>
    <xf numFmtId="0" fontId="33" fillId="29" borderId="5" xfId="49" applyFont="1" applyFill="1" applyBorder="1" applyAlignment="1">
      <alignment horizontal="center" vertical="center" wrapText="1"/>
    </xf>
    <xf numFmtId="0" fontId="33" fillId="29" borderId="6" xfId="49" applyFont="1" applyFill="1" applyBorder="1" applyAlignment="1">
      <alignment horizontal="center" vertical="center" wrapText="1"/>
    </xf>
    <xf numFmtId="0" fontId="33" fillId="29" borderId="56" xfId="49" applyFont="1" applyFill="1" applyBorder="1" applyAlignment="1">
      <alignment horizontal="center" vertical="center" wrapText="1"/>
    </xf>
    <xf numFmtId="0" fontId="33" fillId="29" borderId="70" xfId="49" applyFont="1" applyFill="1" applyBorder="1" applyAlignment="1">
      <alignment horizontal="center" vertical="center" wrapText="1"/>
    </xf>
    <xf numFmtId="0" fontId="33" fillId="29" borderId="7" xfId="49" applyFont="1" applyFill="1" applyBorder="1" applyAlignment="1">
      <alignment horizontal="center" vertical="center" wrapText="1"/>
    </xf>
    <xf numFmtId="0" fontId="33" fillId="29" borderId="8" xfId="49" applyFont="1" applyFill="1" applyBorder="1" applyAlignment="1">
      <alignment horizontal="center" vertical="center" wrapText="1"/>
    </xf>
    <xf numFmtId="0" fontId="33" fillId="0" borderId="36" xfId="0" applyFont="1" applyBorder="1" applyAlignment="1">
      <alignment horizontal="distributed" vertical="center" wrapText="1"/>
    </xf>
    <xf numFmtId="0" fontId="33" fillId="0" borderId="37" xfId="0" applyFont="1" applyBorder="1" applyAlignment="1">
      <alignment horizontal="distributed" vertical="center" wrapText="1"/>
    </xf>
    <xf numFmtId="0" fontId="33" fillId="0" borderId="6" xfId="0" applyFont="1" applyBorder="1" applyAlignment="1">
      <alignment horizontal="left" vertical="center" wrapText="1"/>
    </xf>
    <xf numFmtId="0" fontId="33" fillId="0" borderId="8" xfId="0" applyFont="1" applyBorder="1" applyAlignment="1">
      <alignment horizontal="left" vertical="center" wrapText="1"/>
    </xf>
    <xf numFmtId="0" fontId="33" fillId="0" borderId="5" xfId="0" applyFont="1" applyBorder="1" applyAlignment="1">
      <alignment horizontal="distributed" vertical="center" wrapText="1"/>
    </xf>
    <xf numFmtId="0" fontId="33" fillId="0" borderId="7" xfId="0" applyFont="1" applyBorder="1" applyAlignment="1">
      <alignment horizontal="distributed" vertical="center" wrapText="1"/>
    </xf>
    <xf numFmtId="0" fontId="33" fillId="0" borderId="1" xfId="49" applyFont="1" applyBorder="1" applyAlignment="1">
      <alignment horizontal="center" vertical="center"/>
    </xf>
    <xf numFmtId="188" fontId="33" fillId="0" borderId="2" xfId="0" applyNumberFormat="1" applyFont="1" applyBorder="1" applyAlignment="1">
      <alignment horizontal="center" vertical="center" wrapText="1"/>
    </xf>
    <xf numFmtId="188" fontId="33" fillId="0" borderId="3" xfId="0" applyNumberFormat="1" applyFont="1" applyBorder="1" applyAlignment="1">
      <alignment horizontal="center" vertical="center" wrapText="1"/>
    </xf>
    <xf numFmtId="0" fontId="33" fillId="0" borderId="36" xfId="49" applyFont="1" applyBorder="1" applyAlignment="1">
      <alignment horizontal="center" vertical="center" wrapText="1"/>
    </xf>
    <xf numFmtId="0" fontId="33" fillId="0" borderId="6" xfId="49" applyFont="1" applyBorder="1" applyAlignment="1">
      <alignment horizontal="center" vertical="center" wrapText="1"/>
    </xf>
    <xf numFmtId="0" fontId="33" fillId="0" borderId="0" xfId="49" applyFont="1" applyAlignment="1">
      <alignment horizontal="center" vertical="center" wrapText="1"/>
    </xf>
    <xf numFmtId="0" fontId="33" fillId="0" borderId="70" xfId="49" applyFont="1" applyBorder="1" applyAlignment="1">
      <alignment horizontal="center" vertical="center" wrapText="1"/>
    </xf>
    <xf numFmtId="0" fontId="33" fillId="0" borderId="37" xfId="49" applyFont="1" applyBorder="1" applyAlignment="1">
      <alignment horizontal="center" vertical="center" wrapText="1"/>
    </xf>
    <xf numFmtId="0" fontId="33" fillId="0" borderId="8" xfId="49" applyFont="1" applyBorder="1" applyAlignment="1">
      <alignment horizontal="center" vertical="center" wrapText="1"/>
    </xf>
    <xf numFmtId="2" fontId="33" fillId="0" borderId="2" xfId="0" applyNumberFormat="1" applyFont="1" applyBorder="1" applyAlignment="1">
      <alignment vertical="center" wrapText="1"/>
    </xf>
    <xf numFmtId="2" fontId="33" fillId="0" borderId="3" xfId="0" applyNumberFormat="1" applyFont="1" applyBorder="1" applyAlignment="1">
      <alignmen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4" xfId="0" applyFont="1" applyBorder="1" applyAlignment="1">
      <alignment horizontal="left" vertical="center" wrapText="1"/>
    </xf>
    <xf numFmtId="0" fontId="33" fillId="0" borderId="1" xfId="49" applyFont="1" applyBorder="1" applyAlignment="1">
      <alignment horizontal="distributed" vertical="center" wrapText="1"/>
    </xf>
    <xf numFmtId="0" fontId="33" fillId="0" borderId="1" xfId="2" applyFont="1" applyBorder="1" applyAlignment="1">
      <alignment horizontal="distributed" vertical="center"/>
    </xf>
    <xf numFmtId="187" fontId="33" fillId="0" borderId="2" xfId="0" applyNumberFormat="1" applyFont="1" applyBorder="1" applyAlignment="1">
      <alignment horizontal="center" vertical="center" wrapText="1"/>
    </xf>
    <xf numFmtId="187" fontId="33" fillId="0" borderId="3" xfId="0" applyNumberFormat="1" applyFont="1" applyBorder="1" applyAlignment="1">
      <alignment horizontal="center" vertical="center" wrapText="1"/>
    </xf>
    <xf numFmtId="0" fontId="33" fillId="28" borderId="1" xfId="0" applyFont="1" applyFill="1" applyBorder="1" applyAlignment="1">
      <alignment horizontal="center" vertical="center"/>
    </xf>
    <xf numFmtId="0" fontId="36" fillId="5" borderId="1" xfId="0" applyFont="1" applyFill="1" applyBorder="1" applyAlignment="1" applyProtection="1">
      <alignment horizontal="left" vertical="center" wrapText="1"/>
      <protection locked="0"/>
    </xf>
    <xf numFmtId="0" fontId="33" fillId="0" borderId="1" xfId="0" applyFont="1" applyBorder="1" applyAlignment="1">
      <alignment horizontal="center" vertical="center" textRotation="255" wrapText="1"/>
    </xf>
    <xf numFmtId="0" fontId="33" fillId="0" borderId="1" xfId="0" applyFont="1" applyBorder="1" applyAlignment="1">
      <alignment horizontal="center" vertical="center" wrapText="1"/>
    </xf>
    <xf numFmtId="0" fontId="33" fillId="0" borderId="1" xfId="0" applyFont="1" applyBorder="1" applyAlignment="1">
      <alignment horizontal="center" vertical="center" textRotation="255"/>
    </xf>
    <xf numFmtId="0" fontId="36" fillId="0" borderId="3" xfId="0" applyFont="1" applyBorder="1" applyAlignment="1">
      <alignment horizontal="center" vertical="center"/>
    </xf>
    <xf numFmtId="0" fontId="42" fillId="0" borderId="51" xfId="1" applyFont="1" applyBorder="1">
      <alignment vertical="center"/>
    </xf>
    <xf numFmtId="0" fontId="42" fillId="0" borderId="40" xfId="1" applyFont="1" applyBorder="1">
      <alignment vertical="center"/>
    </xf>
    <xf numFmtId="206" fontId="53" fillId="4" borderId="58" xfId="3" applyNumberFormat="1" applyFont="1" applyFill="1" applyBorder="1" applyAlignment="1">
      <alignment horizontal="center" vertical="center" wrapText="1"/>
    </xf>
    <xf numFmtId="206" fontId="53" fillId="4" borderId="111" xfId="3" applyNumberFormat="1" applyFont="1" applyFill="1" applyBorder="1" applyAlignment="1">
      <alignment horizontal="center" vertical="center" wrapText="1"/>
    </xf>
    <xf numFmtId="0" fontId="36" fillId="0" borderId="34" xfId="54" applyFont="1" applyBorder="1" applyAlignment="1">
      <alignment horizontal="center" vertical="center" wrapText="1" shrinkToFit="1"/>
    </xf>
    <xf numFmtId="0" fontId="36" fillId="33" borderId="170" xfId="54" applyFont="1" applyFill="1" applyBorder="1" applyAlignment="1">
      <alignment horizontal="center" vertical="center"/>
    </xf>
    <xf numFmtId="0" fontId="36" fillId="33" borderId="10" xfId="54" applyFont="1" applyFill="1" applyBorder="1" applyAlignment="1">
      <alignment horizontal="center" vertical="center"/>
    </xf>
    <xf numFmtId="0" fontId="36" fillId="33" borderId="2" xfId="56" applyNumberFormat="1" applyFont="1" applyFill="1" applyBorder="1" applyAlignment="1" applyProtection="1">
      <alignment horizontal="center" vertical="center"/>
    </xf>
    <xf numFmtId="0" fontId="36" fillId="33" borderId="12" xfId="56" applyNumberFormat="1" applyFont="1" applyFill="1" applyBorder="1" applyAlignment="1" applyProtection="1">
      <alignment horizontal="center" vertical="center"/>
    </xf>
    <xf numFmtId="0" fontId="33" fillId="0" borderId="183" xfId="54" applyFont="1" applyBorder="1" applyAlignment="1">
      <alignment horizontal="center" vertical="center" wrapText="1" shrinkToFit="1"/>
    </xf>
    <xf numFmtId="0" fontId="36" fillId="0" borderId="184" xfId="54" applyFont="1" applyBorder="1" applyAlignment="1">
      <alignment horizontal="center" vertical="center"/>
    </xf>
    <xf numFmtId="0" fontId="36" fillId="0" borderId="189" xfId="54" applyFont="1" applyBorder="1" applyAlignment="1">
      <alignment horizontal="center" vertical="center"/>
    </xf>
    <xf numFmtId="0" fontId="36" fillId="0" borderId="7" xfId="54" applyFont="1" applyBorder="1" applyAlignment="1">
      <alignment horizontal="center" vertical="center"/>
    </xf>
    <xf numFmtId="0" fontId="36" fillId="0" borderId="37" xfId="54" applyFont="1" applyBorder="1" applyAlignment="1">
      <alignment horizontal="center" vertical="center"/>
    </xf>
    <xf numFmtId="176" fontId="62" fillId="4" borderId="108" xfId="3" applyNumberFormat="1" applyFont="1" applyFill="1" applyBorder="1" applyAlignment="1">
      <alignment horizontal="center" vertical="center" wrapText="1"/>
    </xf>
    <xf numFmtId="176" fontId="62" fillId="4" borderId="102" xfId="3" applyNumberFormat="1" applyFont="1" applyFill="1" applyBorder="1" applyAlignment="1">
      <alignment horizontal="center" vertical="center" wrapText="1"/>
    </xf>
    <xf numFmtId="176" fontId="62" fillId="4" borderId="59" xfId="3" applyNumberFormat="1" applyFont="1" applyFill="1" applyBorder="1" applyAlignment="1">
      <alignment horizontal="center" vertical="center" wrapText="1"/>
    </xf>
    <xf numFmtId="176" fontId="62" fillId="4" borderId="103" xfId="3" applyNumberFormat="1" applyFont="1" applyFill="1" applyBorder="1" applyAlignment="1">
      <alignment horizontal="center" vertical="center" wrapText="1"/>
    </xf>
    <xf numFmtId="0" fontId="62" fillId="4" borderId="15" xfId="3" applyFont="1" applyFill="1" applyBorder="1" applyAlignment="1">
      <alignment horizontal="center" vertical="center"/>
    </xf>
    <xf numFmtId="0" fontId="62" fillId="4" borderId="106" xfId="3" applyFont="1" applyFill="1" applyBorder="1" applyAlignment="1">
      <alignment horizontal="center" vertical="center"/>
    </xf>
    <xf numFmtId="0" fontId="62" fillId="4" borderId="107" xfId="3" applyFont="1" applyFill="1" applyBorder="1" applyAlignment="1">
      <alignment horizontal="center" vertical="center"/>
    </xf>
    <xf numFmtId="0" fontId="62" fillId="4" borderId="78" xfId="3" applyFont="1" applyFill="1" applyBorder="1" applyAlignment="1">
      <alignment horizontal="center" vertical="center"/>
    </xf>
    <xf numFmtId="0" fontId="62" fillId="4" borderId="0" xfId="3" applyFont="1" applyFill="1" applyAlignment="1">
      <alignment horizontal="center" vertical="center"/>
    </xf>
    <xf numFmtId="0" fontId="62" fillId="4" borderId="70" xfId="3" applyFont="1" applyFill="1" applyBorder="1" applyAlignment="1">
      <alignment horizontal="center" vertical="center"/>
    </xf>
    <xf numFmtId="0" fontId="33" fillId="0" borderId="1" xfId="0" applyFont="1" applyBorder="1" applyAlignment="1">
      <alignment horizontal="distributed" vertical="center"/>
    </xf>
    <xf numFmtId="0" fontId="31" fillId="0" borderId="0" xfId="0" applyFont="1" applyAlignment="1">
      <alignment horizontal="right" vertical="center"/>
    </xf>
    <xf numFmtId="0" fontId="31" fillId="0" borderId="0" xfId="0" applyFont="1" applyAlignment="1">
      <alignment horizontal="left" vertical="center"/>
    </xf>
    <xf numFmtId="0" fontId="36" fillId="0" borderId="2" xfId="0" applyFont="1" applyBorder="1">
      <alignment vertical="center"/>
    </xf>
    <xf numFmtId="0" fontId="36" fillId="0" borderId="4" xfId="0" applyFont="1" applyBorder="1">
      <alignment vertical="center"/>
    </xf>
    <xf numFmtId="2" fontId="36" fillId="0" borderId="2" xfId="0" applyNumberFormat="1" applyFont="1" applyBorder="1" applyAlignment="1">
      <alignment vertical="center" shrinkToFit="1"/>
    </xf>
    <xf numFmtId="2" fontId="36" fillId="0" borderId="3" xfId="0" applyNumberFormat="1" applyFont="1" applyBorder="1" applyAlignment="1">
      <alignment vertical="center" shrinkToFit="1"/>
    </xf>
    <xf numFmtId="0" fontId="36" fillId="0" borderId="189" xfId="0" applyFont="1" applyBorder="1" applyAlignment="1">
      <alignment vertical="center" wrapText="1"/>
    </xf>
    <xf numFmtId="0" fontId="36" fillId="0" borderId="37" xfId="0" applyFont="1" applyBorder="1" applyAlignment="1">
      <alignment vertical="center" wrapText="1"/>
    </xf>
    <xf numFmtId="0" fontId="36" fillId="0" borderId="6" xfId="0" applyFont="1" applyBorder="1" applyAlignment="1">
      <alignment vertical="center" wrapText="1"/>
    </xf>
    <xf numFmtId="0" fontId="36" fillId="0" borderId="70" xfId="0" applyFont="1" applyBorder="1" applyAlignment="1">
      <alignment vertical="center" wrapText="1"/>
    </xf>
    <xf numFmtId="0" fontId="36" fillId="0" borderId="8" xfId="0" applyFont="1" applyBorder="1" applyAlignment="1">
      <alignment vertical="center" wrapText="1"/>
    </xf>
    <xf numFmtId="0" fontId="36" fillId="0" borderId="0" xfId="0" applyFont="1" applyAlignment="1">
      <alignment horizontal="left" vertical="center" wrapText="1"/>
    </xf>
    <xf numFmtId="0" fontId="36" fillId="32" borderId="5" xfId="0" applyFont="1" applyFill="1" applyBorder="1" applyAlignment="1">
      <alignment horizontal="center" vertical="center" wrapText="1"/>
    </xf>
    <xf numFmtId="0" fontId="36" fillId="32" borderId="6" xfId="0" applyFont="1" applyFill="1" applyBorder="1" applyAlignment="1">
      <alignment horizontal="center" vertical="center" wrapText="1"/>
    </xf>
    <xf numFmtId="0" fontId="36" fillId="2" borderId="0" xfId="0" applyFont="1" applyFill="1" applyProtection="1">
      <alignment vertical="center"/>
      <protection locked="0"/>
    </xf>
    <xf numFmtId="0" fontId="36" fillId="2" borderId="0" xfId="0" applyFont="1" applyFill="1" applyAlignment="1" applyProtection="1">
      <alignment vertical="center" wrapText="1"/>
      <protection locked="0"/>
    </xf>
    <xf numFmtId="0" fontId="29" fillId="0" borderId="1" xfId="0" applyFont="1" applyBorder="1" applyAlignment="1">
      <alignment horizontal="center" vertical="center"/>
    </xf>
    <xf numFmtId="0" fontId="29" fillId="0" borderId="2" xfId="0" applyFont="1" applyBorder="1" applyAlignment="1">
      <alignment horizontal="center" vertical="center"/>
    </xf>
    <xf numFmtId="0" fontId="29" fillId="0" borderId="4" xfId="0" applyFont="1" applyBorder="1" applyAlignment="1">
      <alignment horizontal="center" vertical="center"/>
    </xf>
    <xf numFmtId="0" fontId="29" fillId="0" borderId="34" xfId="0" applyFont="1" applyBorder="1">
      <alignment vertical="center"/>
    </xf>
    <xf numFmtId="0" fontId="29" fillId="0" borderId="55" xfId="0" applyFont="1" applyBorder="1">
      <alignment vertical="center"/>
    </xf>
    <xf numFmtId="0" fontId="29" fillId="0" borderId="1" xfId="0" applyFont="1" applyBorder="1" applyAlignment="1">
      <alignment horizontal="center" vertical="center" wrapText="1"/>
    </xf>
    <xf numFmtId="0" fontId="29" fillId="0" borderId="1" xfId="0" applyFont="1" applyBorder="1">
      <alignment vertical="center"/>
    </xf>
    <xf numFmtId="0" fontId="33" fillId="29" borderId="86" xfId="3" applyFont="1" applyFill="1" applyBorder="1" applyAlignment="1">
      <alignment horizontal="center" vertical="center"/>
    </xf>
    <xf numFmtId="0" fontId="33" fillId="29" borderId="88" xfId="3" applyFont="1" applyFill="1" applyBorder="1" applyAlignment="1">
      <alignment horizontal="center" vertical="center"/>
    </xf>
    <xf numFmtId="0" fontId="33" fillId="29" borderId="90" xfId="3" applyFont="1" applyFill="1" applyBorder="1" applyAlignment="1">
      <alignment horizontal="center" vertical="center"/>
    </xf>
    <xf numFmtId="0" fontId="29" fillId="42" borderId="183" xfId="0" applyFont="1" applyFill="1" applyBorder="1" applyAlignment="1">
      <alignment horizontal="center" vertical="center" wrapText="1"/>
    </xf>
    <xf numFmtId="0" fontId="29" fillId="42" borderId="81" xfId="0" applyFont="1" applyFill="1" applyBorder="1" applyAlignment="1">
      <alignment horizontal="center" vertical="center" wrapText="1"/>
    </xf>
    <xf numFmtId="0" fontId="29" fillId="42" borderId="55" xfId="0" applyFont="1" applyFill="1" applyBorder="1" applyAlignment="1">
      <alignment horizontal="center" vertical="center" wrapText="1"/>
    </xf>
    <xf numFmtId="0" fontId="29" fillId="42" borderId="184" xfId="0" applyFont="1" applyFill="1" applyBorder="1" applyAlignment="1">
      <alignment horizontal="center" vertical="center" wrapText="1"/>
    </xf>
    <xf numFmtId="0" fontId="29" fillId="42" borderId="56" xfId="0" applyFont="1" applyFill="1" applyBorder="1" applyAlignment="1">
      <alignment horizontal="center" vertical="center" wrapText="1"/>
    </xf>
    <xf numFmtId="0" fontId="29" fillId="42" borderId="7" xfId="0" applyFont="1" applyFill="1" applyBorder="1" applyAlignment="1">
      <alignment horizontal="center" vertical="center" wrapText="1"/>
    </xf>
    <xf numFmtId="38" fontId="29" fillId="29" borderId="82" xfId="52" applyFont="1" applyFill="1" applyBorder="1" applyAlignment="1">
      <alignment horizontal="center" vertical="center" wrapText="1"/>
    </xf>
    <xf numFmtId="38" fontId="29" fillId="29" borderId="84" xfId="52" applyFont="1" applyFill="1" applyBorder="1" applyAlignment="1">
      <alignment horizontal="center" vertical="center" wrapText="1"/>
    </xf>
    <xf numFmtId="0" fontId="29" fillId="41" borderId="183" xfId="0" applyFont="1" applyFill="1" applyBorder="1" applyAlignment="1">
      <alignment horizontal="center" vertical="center" wrapText="1"/>
    </xf>
    <xf numFmtId="0" fontId="29" fillId="41" borderId="81" xfId="0" applyFont="1" applyFill="1" applyBorder="1" applyAlignment="1">
      <alignment horizontal="center" vertical="center" wrapText="1"/>
    </xf>
    <xf numFmtId="0" fontId="29" fillId="41" borderId="55" xfId="0" applyFont="1" applyFill="1" applyBorder="1" applyAlignment="1">
      <alignment horizontal="center" vertical="center" wrapText="1"/>
    </xf>
    <xf numFmtId="0" fontId="29" fillId="41" borderId="184" xfId="0" applyFont="1" applyFill="1" applyBorder="1" applyAlignment="1">
      <alignment horizontal="center" vertical="center" wrapText="1"/>
    </xf>
    <xf numFmtId="0" fontId="29" fillId="41" borderId="56" xfId="0" applyFont="1" applyFill="1" applyBorder="1" applyAlignment="1">
      <alignment horizontal="center" vertical="center" wrapText="1"/>
    </xf>
    <xf numFmtId="0" fontId="29" fillId="41" borderId="7" xfId="0" applyFont="1" applyFill="1" applyBorder="1" applyAlignment="1">
      <alignment horizontal="center" vertical="center" wrapText="1"/>
    </xf>
    <xf numFmtId="0" fontId="33" fillId="29" borderId="82" xfId="3" applyFont="1" applyFill="1" applyBorder="1" applyAlignment="1">
      <alignment horizontal="center" vertical="center" wrapText="1"/>
    </xf>
    <xf numFmtId="0" fontId="33" fillId="29" borderId="84" xfId="3" applyFont="1" applyFill="1" applyBorder="1" applyAlignment="1">
      <alignment horizontal="center" vertical="center" wrapText="1"/>
    </xf>
    <xf numFmtId="0" fontId="33" fillId="29" borderId="83" xfId="3" applyFont="1" applyFill="1" applyBorder="1" applyAlignment="1">
      <alignment horizontal="center" vertical="center" wrapText="1"/>
    </xf>
    <xf numFmtId="0" fontId="33" fillId="29" borderId="85" xfId="3" applyFont="1" applyFill="1" applyBorder="1" applyAlignment="1">
      <alignment horizontal="center" vertical="center" wrapText="1"/>
    </xf>
    <xf numFmtId="0" fontId="33" fillId="29" borderId="82" xfId="3" applyFont="1" applyFill="1" applyBorder="1" applyAlignment="1">
      <alignment horizontal="center" vertical="center"/>
    </xf>
    <xf numFmtId="0" fontId="33" fillId="29" borderId="87" xfId="3" applyFont="1" applyFill="1" applyBorder="1" applyAlignment="1">
      <alignment horizontal="center" vertical="center"/>
    </xf>
    <xf numFmtId="0" fontId="33" fillId="29" borderId="84" xfId="3" applyFont="1" applyFill="1" applyBorder="1" applyAlignment="1">
      <alignment horizontal="center" vertical="center"/>
    </xf>
    <xf numFmtId="0" fontId="33" fillId="29" borderId="83" xfId="3" applyFont="1" applyFill="1" applyBorder="1" applyAlignment="1">
      <alignment horizontal="center" vertical="center"/>
    </xf>
    <xf numFmtId="0" fontId="33" fillId="29" borderId="89" xfId="3" applyFont="1" applyFill="1" applyBorder="1" applyAlignment="1">
      <alignment horizontal="center" vertical="center"/>
    </xf>
    <xf numFmtId="0" fontId="33" fillId="29" borderId="85" xfId="3" applyFont="1" applyFill="1" applyBorder="1" applyAlignment="1">
      <alignment horizontal="center" vertical="center"/>
    </xf>
    <xf numFmtId="0" fontId="33" fillId="29" borderId="99" xfId="3" applyFont="1" applyFill="1" applyBorder="1" applyAlignment="1">
      <alignment horizontal="center" vertical="center" wrapText="1"/>
    </xf>
    <xf numFmtId="0" fontId="29" fillId="29" borderId="87" xfId="0" applyFont="1" applyFill="1" applyBorder="1" applyAlignment="1">
      <alignment horizontal="center" vertical="center" wrapText="1"/>
    </xf>
    <xf numFmtId="0" fontId="29" fillId="29" borderId="84" xfId="0" applyFont="1" applyFill="1" applyBorder="1" applyAlignment="1">
      <alignment horizontal="center" vertical="center" wrapText="1"/>
    </xf>
    <xf numFmtId="0" fontId="29" fillId="29" borderId="88" xfId="0" applyFont="1" applyFill="1" applyBorder="1" applyAlignment="1">
      <alignment horizontal="center" vertical="center" wrapText="1"/>
    </xf>
    <xf numFmtId="0" fontId="29" fillId="29" borderId="90" xfId="0" applyFont="1" applyFill="1" applyBorder="1" applyAlignment="1">
      <alignment horizontal="center" vertical="center" wrapText="1"/>
    </xf>
    <xf numFmtId="0" fontId="29" fillId="29" borderId="89" xfId="0" applyFont="1" applyFill="1" applyBorder="1" applyAlignment="1">
      <alignment horizontal="center" vertical="center" wrapText="1"/>
    </xf>
    <xf numFmtId="0" fontId="29" fillId="29" borderId="85" xfId="0" applyFont="1" applyFill="1" applyBorder="1" applyAlignment="1">
      <alignment horizontal="center" vertical="center" wrapText="1"/>
    </xf>
    <xf numFmtId="0" fontId="29" fillId="29" borderId="82" xfId="0" applyFont="1" applyFill="1" applyBorder="1" applyAlignment="1">
      <alignment horizontal="center" vertical="center"/>
    </xf>
    <xf numFmtId="0" fontId="29" fillId="29" borderId="87" xfId="0" applyFont="1" applyFill="1" applyBorder="1" applyAlignment="1">
      <alignment horizontal="center" vertical="center"/>
    </xf>
    <xf numFmtId="0" fontId="29" fillId="29" borderId="84" xfId="0" applyFont="1" applyFill="1" applyBorder="1" applyAlignment="1">
      <alignment horizontal="center" vertical="center"/>
    </xf>
    <xf numFmtId="0" fontId="29" fillId="29" borderId="83" xfId="0" applyFont="1" applyFill="1" applyBorder="1" applyAlignment="1">
      <alignment horizontal="center" vertical="center"/>
    </xf>
    <xf numFmtId="0" fontId="29" fillId="29" borderId="89" xfId="0" applyFont="1" applyFill="1" applyBorder="1" applyAlignment="1">
      <alignment horizontal="center" vertical="center"/>
    </xf>
    <xf numFmtId="0" fontId="29" fillId="29" borderId="85" xfId="0" applyFont="1" applyFill="1" applyBorder="1" applyAlignment="1">
      <alignment horizontal="center" vertical="center"/>
    </xf>
    <xf numFmtId="38" fontId="29" fillId="43" borderId="183" xfId="52" applyFont="1" applyFill="1" applyBorder="1" applyAlignment="1">
      <alignment horizontal="center" vertical="center"/>
    </xf>
    <xf numFmtId="38" fontId="29" fillId="43" borderId="81" xfId="52" applyFont="1" applyFill="1" applyBorder="1" applyAlignment="1">
      <alignment horizontal="center" vertical="center"/>
    </xf>
    <xf numFmtId="38" fontId="29" fillId="43" borderId="55" xfId="52" applyFont="1" applyFill="1" applyBorder="1" applyAlignment="1">
      <alignment horizontal="center" vertical="center"/>
    </xf>
    <xf numFmtId="38" fontId="29" fillId="30" borderId="183" xfId="52" applyFont="1" applyFill="1" applyBorder="1" applyAlignment="1">
      <alignment horizontal="center" vertical="center" wrapText="1"/>
    </xf>
    <xf numFmtId="38" fontId="29" fillId="30" borderId="81" xfId="52" applyFont="1" applyFill="1" applyBorder="1" applyAlignment="1">
      <alignment horizontal="center" vertical="center" wrapText="1"/>
    </xf>
    <xf numFmtId="38" fontId="29" fillId="30" borderId="55" xfId="52" applyFont="1" applyFill="1" applyBorder="1" applyAlignment="1">
      <alignment horizontal="center" vertical="center" wrapText="1"/>
    </xf>
    <xf numFmtId="0" fontId="33" fillId="29" borderId="98" xfId="3" applyFont="1" applyFill="1" applyBorder="1" applyAlignment="1">
      <alignment horizontal="center" vertical="center" wrapText="1"/>
    </xf>
    <xf numFmtId="0" fontId="29" fillId="29" borderId="86" xfId="0" applyFont="1" applyFill="1" applyBorder="1" applyAlignment="1">
      <alignment horizontal="center" vertical="center" wrapText="1"/>
    </xf>
    <xf numFmtId="0" fontId="29" fillId="29" borderId="102" xfId="0" applyFont="1" applyFill="1" applyBorder="1" applyAlignment="1">
      <alignment horizontal="center" vertical="center"/>
    </xf>
    <xf numFmtId="0" fontId="29" fillId="29" borderId="105" xfId="0" applyFont="1" applyFill="1" applyBorder="1" applyAlignment="1">
      <alignment horizontal="center" vertical="center"/>
    </xf>
    <xf numFmtId="0" fontId="29" fillId="29" borderId="86" xfId="0" applyFont="1" applyFill="1" applyBorder="1">
      <alignment vertical="center"/>
    </xf>
    <xf numFmtId="0" fontId="29" fillId="29" borderId="103" xfId="0" applyFont="1" applyFill="1" applyBorder="1">
      <alignment vertical="center"/>
    </xf>
  </cellXfs>
  <cellStyles count="57">
    <cellStyle name="20% - アクセント 1 2" xfId="6" xr:uid="{00000000-0005-0000-0000-000000000000}"/>
    <cellStyle name="20% - アクセント 2 2" xfId="7" xr:uid="{00000000-0005-0000-0000-000001000000}"/>
    <cellStyle name="20% - アクセント 3 2" xfId="8" xr:uid="{00000000-0005-0000-0000-000002000000}"/>
    <cellStyle name="20% - アクセント 4 2" xfId="9" xr:uid="{00000000-0005-0000-0000-000003000000}"/>
    <cellStyle name="20% - アクセント 5 2" xfId="10" xr:uid="{00000000-0005-0000-0000-000004000000}"/>
    <cellStyle name="20% - アクセント 6 2" xfId="11" xr:uid="{00000000-0005-0000-0000-000005000000}"/>
    <cellStyle name="40% - アクセント 1 2" xfId="12" xr:uid="{00000000-0005-0000-0000-000006000000}"/>
    <cellStyle name="40% - アクセント 2 2" xfId="13" xr:uid="{00000000-0005-0000-0000-000007000000}"/>
    <cellStyle name="40% - アクセント 3 2" xfId="14" xr:uid="{00000000-0005-0000-0000-000008000000}"/>
    <cellStyle name="40% - アクセント 4 2" xfId="15" xr:uid="{00000000-0005-0000-0000-000009000000}"/>
    <cellStyle name="40% - アクセント 5 2" xfId="16" xr:uid="{00000000-0005-0000-0000-00000A000000}"/>
    <cellStyle name="40% - アクセント 6 2" xfId="17" xr:uid="{00000000-0005-0000-0000-00000B000000}"/>
    <cellStyle name="60% - アクセント 1 2" xfId="18" xr:uid="{00000000-0005-0000-0000-00000C000000}"/>
    <cellStyle name="60% - アクセント 2 2" xfId="19" xr:uid="{00000000-0005-0000-0000-00000D000000}"/>
    <cellStyle name="60% - アクセント 3 2" xfId="20" xr:uid="{00000000-0005-0000-0000-00000E000000}"/>
    <cellStyle name="60% - アクセント 4 2" xfId="21" xr:uid="{00000000-0005-0000-0000-00000F000000}"/>
    <cellStyle name="60% - アクセント 5 2" xfId="22" xr:uid="{00000000-0005-0000-0000-000010000000}"/>
    <cellStyle name="60% - アクセント 6 2" xfId="23" xr:uid="{00000000-0005-0000-0000-000011000000}"/>
    <cellStyle name="アクセント 1 2" xfId="24" xr:uid="{00000000-0005-0000-0000-000012000000}"/>
    <cellStyle name="アクセント 2 2" xfId="25" xr:uid="{00000000-0005-0000-0000-000013000000}"/>
    <cellStyle name="アクセント 3 2" xfId="26" xr:uid="{00000000-0005-0000-0000-000014000000}"/>
    <cellStyle name="アクセント 4 2" xfId="27" xr:uid="{00000000-0005-0000-0000-000015000000}"/>
    <cellStyle name="アクセント 5 2" xfId="28" xr:uid="{00000000-0005-0000-0000-000016000000}"/>
    <cellStyle name="アクセント 6 2" xfId="29" xr:uid="{00000000-0005-0000-0000-000017000000}"/>
    <cellStyle name="スタイル 1" xfId="30" xr:uid="{00000000-0005-0000-0000-000018000000}"/>
    <cellStyle name="タイトル 2" xfId="31" xr:uid="{00000000-0005-0000-0000-000019000000}"/>
    <cellStyle name="チェック セル 2" xfId="32" xr:uid="{00000000-0005-0000-0000-00001A000000}"/>
    <cellStyle name="どちらでもない 2" xfId="33" xr:uid="{00000000-0005-0000-0000-00001B000000}"/>
    <cellStyle name="パーセント" xfId="50" builtinId="5"/>
    <cellStyle name="ハイパーリンク" xfId="51" builtinId="8"/>
    <cellStyle name="ハイパーリンク 2" xfId="5" xr:uid="{00000000-0005-0000-0000-00001E000000}"/>
    <cellStyle name="メモ 2" xfId="34" xr:uid="{00000000-0005-0000-0000-00001F000000}"/>
    <cellStyle name="リンク セル 2" xfId="35" xr:uid="{00000000-0005-0000-0000-000020000000}"/>
    <cellStyle name="悪い 2" xfId="36" xr:uid="{00000000-0005-0000-0000-000021000000}"/>
    <cellStyle name="計算 2" xfId="37" xr:uid="{00000000-0005-0000-0000-000022000000}"/>
    <cellStyle name="警告文 2" xfId="38" xr:uid="{00000000-0005-0000-0000-000023000000}"/>
    <cellStyle name="桁区切り" xfId="52" builtinId="6"/>
    <cellStyle name="桁区切り 2" xfId="4" xr:uid="{00000000-0005-0000-0000-000024000000}"/>
    <cellStyle name="桁区切り 2 2" xfId="55" xr:uid="{28681902-9E38-4567-A461-DBDB139CFFC7}"/>
    <cellStyle name="桁区切り 2 2 2" xfId="56" xr:uid="{18D42361-E014-47E5-9EE6-94F38C38CB0E}"/>
    <cellStyle name="見出し 1 2" xfId="39" xr:uid="{00000000-0005-0000-0000-000025000000}"/>
    <cellStyle name="見出し 2 2" xfId="40" xr:uid="{00000000-0005-0000-0000-000026000000}"/>
    <cellStyle name="見出し 3 2" xfId="41" xr:uid="{00000000-0005-0000-0000-000027000000}"/>
    <cellStyle name="見出し 4 2" xfId="42" xr:uid="{00000000-0005-0000-0000-000028000000}"/>
    <cellStyle name="集計 2" xfId="43" xr:uid="{00000000-0005-0000-0000-000029000000}"/>
    <cellStyle name="出力 2" xfId="44" xr:uid="{00000000-0005-0000-0000-00002A000000}"/>
    <cellStyle name="説明文 2" xfId="45" xr:uid="{00000000-0005-0000-0000-00002B000000}"/>
    <cellStyle name="入力 2" xfId="46" xr:uid="{00000000-0005-0000-0000-00002C000000}"/>
    <cellStyle name="標準" xfId="0" builtinId="0"/>
    <cellStyle name="標準 2" xfId="1" xr:uid="{00000000-0005-0000-0000-00002E000000}"/>
    <cellStyle name="標準 2 2" xfId="3" xr:uid="{00000000-0005-0000-0000-00002F000000}"/>
    <cellStyle name="標準 2 3" xfId="54" xr:uid="{2BED2A8D-A0DE-4DBD-BEF3-3C7A935E0623}"/>
    <cellStyle name="標準 3" xfId="2" xr:uid="{00000000-0005-0000-0000-000030000000}"/>
    <cellStyle name="標準 3 2" xfId="53" xr:uid="{EC6A6530-0CF4-46A6-A9E4-3B81BE037A77}"/>
    <cellStyle name="標準 4" xfId="47" xr:uid="{00000000-0005-0000-0000-000031000000}"/>
    <cellStyle name="標準_01 地球温暖化対策計画書20090728" xfId="49" xr:uid="{00000000-0005-0000-0000-000032000000}"/>
    <cellStyle name="良い 2" xfId="48" xr:uid="{00000000-0005-0000-0000-000033000000}"/>
  </cellStyles>
  <dxfs count="116">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bgColor theme="0" tint="-0.24994659260841701"/>
        </patternFill>
      </fill>
    </dxf>
    <dxf>
      <fill>
        <patternFill>
          <bgColor theme="9" tint="0.59996337778862885"/>
        </patternFill>
      </fill>
    </dxf>
    <dxf>
      <fill>
        <patternFill>
          <bgColor theme="0" tint="-0.24994659260841701"/>
        </patternFill>
      </fill>
    </dxf>
    <dxf>
      <fill>
        <patternFill>
          <bgColor theme="9" tint="0.59996337778862885"/>
        </patternFill>
      </fill>
    </dxf>
    <dxf>
      <fill>
        <patternFill>
          <bgColor theme="0" tint="-0.24994659260841701"/>
        </patternFill>
      </fill>
    </dxf>
    <dxf>
      <fill>
        <patternFill>
          <bgColor theme="9" tint="0.59996337778862885"/>
        </patternFill>
      </fill>
    </dxf>
    <dxf>
      <fill>
        <patternFill>
          <bgColor theme="0"/>
        </patternFill>
      </fill>
    </dxf>
    <dxf>
      <fill>
        <patternFill>
          <bgColor theme="0"/>
        </patternFill>
      </fill>
    </dxf>
    <dxf>
      <fill>
        <patternFill>
          <bgColor theme="0"/>
        </patternFill>
      </fill>
    </dxf>
    <dxf>
      <fill>
        <patternFill>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bgColor theme="0"/>
        </patternFill>
      </fill>
    </dxf>
    <dxf>
      <fill>
        <patternFill>
          <bgColor theme="0"/>
        </patternFill>
      </fill>
    </dxf>
    <dxf>
      <fill>
        <patternFill>
          <bgColor theme="0"/>
        </patternFill>
      </fill>
    </dxf>
    <dxf>
      <fill>
        <patternFill>
          <fgColor indexed="64"/>
          <bgColor theme="0"/>
        </patternFill>
      </fill>
    </dxf>
    <dxf>
      <fill>
        <patternFill>
          <bgColor theme="0"/>
        </patternFill>
      </fill>
    </dxf>
    <dxf>
      <fill>
        <patternFill>
          <bgColor theme="0"/>
        </patternFill>
      </fill>
    </dxf>
    <dxf>
      <fill>
        <patternFill>
          <bgColor theme="1" tint="0.499984740745262"/>
        </patternFill>
      </fill>
    </dxf>
    <dxf>
      <fill>
        <patternFill>
          <fgColor indexed="64"/>
          <bgColor theme="0"/>
        </patternFill>
      </fill>
    </dxf>
    <dxf>
      <fill>
        <patternFill>
          <fgColor indexed="64"/>
          <bgColor theme="0"/>
        </patternFill>
      </fill>
    </dxf>
    <dxf>
      <fill>
        <patternFill>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bgColor theme="0"/>
        </patternFill>
      </fill>
    </dxf>
    <dxf>
      <fill>
        <patternFill>
          <bgColor theme="0"/>
        </patternFill>
      </fill>
    </dxf>
    <dxf>
      <fill>
        <patternFill>
          <fgColor indexed="64"/>
          <bgColor theme="0"/>
        </patternFill>
      </fill>
    </dxf>
    <dxf>
      <fill>
        <patternFill>
          <fgColor indexed="64"/>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bgColor theme="0" tint="-0.24994659260841701"/>
        </patternFill>
      </fill>
    </dxf>
    <dxf>
      <fill>
        <patternFill>
          <bgColor theme="9" tint="0.59996337778862885"/>
        </patternFill>
      </fill>
    </dxf>
    <dxf>
      <fill>
        <patternFill>
          <bgColor theme="0"/>
        </patternFill>
      </fill>
    </dxf>
    <dxf>
      <fill>
        <patternFill>
          <bgColor theme="9" tint="0.59996337778862885"/>
        </patternFill>
      </fill>
    </dxf>
    <dxf>
      <fill>
        <patternFill>
          <fgColor indexed="64"/>
          <bgColor theme="0"/>
        </patternFill>
      </fill>
    </dxf>
    <dxf>
      <fill>
        <patternFill>
          <bgColor theme="9" tint="0.59996337778862885"/>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tint="-0.499984740745262"/>
        </patternFill>
      </fill>
    </dxf>
    <dxf>
      <fill>
        <patternFill>
          <bgColor theme="0"/>
        </patternFill>
      </fill>
    </dxf>
    <dxf>
      <fill>
        <patternFill>
          <bgColor theme="0"/>
        </patternFill>
      </fill>
    </dxf>
    <dxf>
      <fill>
        <patternFill>
          <bgColor theme="9" tint="0.59996337778862885"/>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bgColor theme="0"/>
        </patternFill>
      </fill>
    </dxf>
    <dxf>
      <fill>
        <patternFill>
          <fgColor indexed="64"/>
          <bgColor theme="0"/>
        </patternFill>
      </fill>
    </dxf>
    <dxf>
      <fill>
        <patternFill>
          <fgColor indexed="64"/>
          <bgColor theme="0"/>
        </patternFill>
      </fill>
    </dxf>
    <dxf>
      <fill>
        <patternFill>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s>
  <tableStyles count="0" defaultTableStyle="TableStyleMedium2" defaultPivotStyle="PivotStyleLight16"/>
  <colors>
    <mruColors>
      <color rgb="FFCCECFF"/>
      <color rgb="FFF9EEED"/>
      <color rgb="FFFFCCCC"/>
      <color rgb="FFFF5050"/>
      <color rgb="FFCC00FF"/>
      <color rgb="FFFF3399"/>
      <color rgb="FFCC99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trlProps/ctrlProp1.xml><?xml version="1.0" encoding="utf-8"?>
<formControlPr xmlns="http://schemas.microsoft.com/office/spreadsheetml/2009/9/main" objectType="CheckBox" fmlaLink="$S$10" lockText="1" noThreeD="1"/>
</file>

<file path=xl/ctrlProps/ctrlProp2.xml><?xml version="1.0" encoding="utf-8"?>
<formControlPr xmlns="http://schemas.microsoft.com/office/spreadsheetml/2009/9/main" objectType="CheckBox" fmlaLink="$S$11" lockText="1" noThreeD="1"/>
</file>

<file path=xl/ctrlProps/ctrlProp3.xml><?xml version="1.0" encoding="utf-8"?>
<formControlPr xmlns="http://schemas.microsoft.com/office/spreadsheetml/2009/9/main" objectType="CheckBox" fmlaLink="$S$12" lockText="1" noThreeD="1"/>
</file>

<file path=xl/ctrlProps/ctrlProp4.xml><?xml version="1.0" encoding="utf-8"?>
<formControlPr xmlns="http://schemas.microsoft.com/office/spreadsheetml/2009/9/main" objectType="CheckBox" checked="Checked" fmlaLink="$S$13" lockText="1" noThreeD="1"/>
</file>

<file path=xl/ctrlProps/ctrlProp5.xml><?xml version="1.0" encoding="utf-8"?>
<formControlPr xmlns="http://schemas.microsoft.com/office/spreadsheetml/2009/9/main" objectType="CheckBox" fmlaLink="$S$3" lockText="1" noThreeD="1"/>
</file>

<file path=xl/drawings/_rels/drawing10.xml.rels><?xml version="1.0" encoding="UTF-8" standalone="yes"?>
<Relationships xmlns="http://schemas.openxmlformats.org/package/2006/relationships"><Relationship Id="rId3" Type="http://schemas.openxmlformats.org/officeDocument/2006/relationships/hyperlink" Target="#'&#22577;&#21578;&#26360;&#9313; &#31532;1&#24180;&#24230;(&#21462;&#32068;&#65289;'!C121"/><Relationship Id="rId2" Type="http://schemas.openxmlformats.org/officeDocument/2006/relationships/hyperlink" Target="#'&#22577;&#21578;&#26360;&#9313; &#31532;1&#24180;&#24230;(&#21462;&#32068;&#65289;'!F45"/><Relationship Id="rId1" Type="http://schemas.openxmlformats.org/officeDocument/2006/relationships/hyperlink" Target="#'&#22577;&#21578;&#26360;&#9313; &#31532;1&#24180;&#24230;(&#21462;&#32068;&#65289;'!F70"/><Relationship Id="rId4" Type="http://schemas.openxmlformats.org/officeDocument/2006/relationships/hyperlink" Target="#'&#22577;&#21578;&#26360;&#9313; &#31532;1&#24180;&#24230;(&#21462;&#32068;&#65289;'!C91"/></Relationships>
</file>

<file path=xl/drawings/_rels/drawing11.xml.rels><?xml version="1.0" encoding="UTF-8" standalone="yes"?>
<Relationships xmlns="http://schemas.openxmlformats.org/package/2006/relationships"><Relationship Id="rId3" Type="http://schemas.openxmlformats.org/officeDocument/2006/relationships/hyperlink" Target="#'&#22577;&#21578;&#26360;&#9313; &#31532;2&#24180;&#24230;(&#21462;&#32068;&#65289;'!G45"/><Relationship Id="rId2" Type="http://schemas.openxmlformats.org/officeDocument/2006/relationships/hyperlink" Target="#'&#22577;&#21578;&#26360;&#9313; &#31532;2&#24180;&#24230;(&#21462;&#32068;&#65289;'!C121"/><Relationship Id="rId1" Type="http://schemas.openxmlformats.org/officeDocument/2006/relationships/hyperlink" Target="#'&#22577;&#21578;&#26360;&#9313; &#31532;2&#24180;&#24230;(&#21462;&#32068;&#65289;'!C91"/><Relationship Id="rId4" Type="http://schemas.openxmlformats.org/officeDocument/2006/relationships/hyperlink" Target="#'&#22577;&#21578;&#26360;&#9313; &#31532;2&#24180;&#24230;(&#21462;&#32068;&#65289;'!G70"/></Relationships>
</file>

<file path=xl/drawings/_rels/drawing12.xml.rels><?xml version="1.0" encoding="UTF-8" standalone="yes"?>
<Relationships xmlns="http://schemas.openxmlformats.org/package/2006/relationships"><Relationship Id="rId3" Type="http://schemas.openxmlformats.org/officeDocument/2006/relationships/hyperlink" Target="#'&#22577;&#21578;&#26360;&#9313; &#31532;3&#24180;&#24230;(&#21462;&#32068;&#65289;'!G45"/><Relationship Id="rId2" Type="http://schemas.openxmlformats.org/officeDocument/2006/relationships/hyperlink" Target="#'&#22577;&#21578;&#26360;&#9313; &#31532;3&#24180;&#24230;(&#21462;&#32068;&#65289;'!C121"/><Relationship Id="rId1" Type="http://schemas.openxmlformats.org/officeDocument/2006/relationships/hyperlink" Target="#'&#22577;&#21578;&#26360;&#9313; &#31532;3&#24180;&#24230;(&#21462;&#32068;&#65289;'!C91"/><Relationship Id="rId4" Type="http://schemas.openxmlformats.org/officeDocument/2006/relationships/hyperlink" Target="#'&#22577;&#21578;&#26360;&#9313; &#31532;3&#24180;&#24230;(&#21462;&#32068;&#65289;'!G70"/></Relationships>
</file>

<file path=xl/drawings/_rels/drawing18.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106680</xdr:colOff>
          <xdr:row>9</xdr:row>
          <xdr:rowOff>0</xdr:rowOff>
        </xdr:from>
        <xdr:to>
          <xdr:col>4</xdr:col>
          <xdr:colOff>335280</xdr:colOff>
          <xdr:row>10</xdr:row>
          <xdr:rowOff>0</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0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10</xdr:row>
          <xdr:rowOff>30480</xdr:rowOff>
        </xdr:from>
        <xdr:to>
          <xdr:col>4</xdr:col>
          <xdr:colOff>335280</xdr:colOff>
          <xdr:row>11</xdr:row>
          <xdr:rowOff>0</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0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11</xdr:row>
          <xdr:rowOff>30480</xdr:rowOff>
        </xdr:from>
        <xdr:to>
          <xdr:col>4</xdr:col>
          <xdr:colOff>335280</xdr:colOff>
          <xdr:row>12</xdr:row>
          <xdr:rowOff>0</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0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12</xdr:row>
          <xdr:rowOff>30480</xdr:rowOff>
        </xdr:from>
        <xdr:to>
          <xdr:col>4</xdr:col>
          <xdr:colOff>335280</xdr:colOff>
          <xdr:row>13</xdr:row>
          <xdr:rowOff>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0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198120</xdr:colOff>
          <xdr:row>2</xdr:row>
          <xdr:rowOff>0</xdr:rowOff>
        </xdr:from>
        <xdr:to>
          <xdr:col>19</xdr:col>
          <xdr:colOff>30480</xdr:colOff>
          <xdr:row>2</xdr:row>
          <xdr:rowOff>236220</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000-00000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仮参加</a:t>
              </a:r>
            </a:p>
          </xdr:txBody>
        </xdr:sp>
        <xdr:clientData/>
      </xdr:twoCellAnchor>
    </mc:Choice>
    <mc:Fallback/>
  </mc:AlternateContent>
  <xdr:twoCellAnchor>
    <xdr:from>
      <xdr:col>15</xdr:col>
      <xdr:colOff>350520</xdr:colOff>
      <xdr:row>3</xdr:row>
      <xdr:rowOff>114300</xdr:rowOff>
    </xdr:from>
    <xdr:to>
      <xdr:col>31</xdr:col>
      <xdr:colOff>525780</xdr:colOff>
      <xdr:row>28</xdr:row>
      <xdr:rowOff>37172</xdr:rowOff>
    </xdr:to>
    <xdr:sp macro="" textlink="">
      <xdr:nvSpPr>
        <xdr:cNvPr id="4" name="テキスト ボックス 1_仮参加" hidden="1">
          <a:extLst>
            <a:ext uri="{FF2B5EF4-FFF2-40B4-BE49-F238E27FC236}">
              <a16:creationId xmlns:a16="http://schemas.microsoft.com/office/drawing/2014/main" id="{00000000-0008-0000-0000-000004000000}"/>
            </a:ext>
          </a:extLst>
        </xdr:cNvPr>
        <xdr:cNvSpPr txBox="1"/>
      </xdr:nvSpPr>
      <xdr:spPr>
        <a:xfrm>
          <a:off x="6903720" y="464820"/>
          <a:ext cx="7048500" cy="60569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FF0000"/>
              </a:solidFill>
              <a:latin typeface="Meiryo UI" panose="020B0604030504040204" pitchFamily="50" charset="-128"/>
              <a:ea typeface="Meiryo UI" panose="020B0604030504040204" pitchFamily="50" charset="-128"/>
            </a:rPr>
            <a:t>初年度は各シートの青色セルのみ入力ください。</a:t>
          </a:r>
          <a:endParaRPr kumimoji="1" lang="en-US" altLang="ja-JP" sz="1200">
            <a:solidFill>
              <a:srgbClr val="FF0000"/>
            </a:solidFill>
            <a:latin typeface="Meiryo UI" panose="020B0604030504040204" pitchFamily="50" charset="-128"/>
            <a:ea typeface="Meiryo UI" panose="020B0604030504040204" pitchFamily="50" charset="-128"/>
          </a:endParaRPr>
        </a:p>
        <a:p>
          <a:r>
            <a:rPr kumimoji="1" lang="en-US" altLang="ja-JP" sz="1200">
              <a:solidFill>
                <a:srgbClr val="FF0000"/>
              </a:solidFill>
              <a:latin typeface="Meiryo UI" panose="020B0604030504040204" pitchFamily="50" charset="-128"/>
              <a:ea typeface="Meiryo UI" panose="020B0604030504040204" pitchFamily="50" charset="-128"/>
            </a:rPr>
            <a:t>12</a:t>
          </a:r>
          <a:r>
            <a:rPr kumimoji="1" lang="ja-JP" altLang="en-US" sz="1200">
              <a:solidFill>
                <a:srgbClr val="FF0000"/>
              </a:solidFill>
              <a:latin typeface="Meiryo UI" panose="020B0604030504040204" pitchFamily="50" charset="-128"/>
              <a:ea typeface="Meiryo UI" panose="020B0604030504040204" pitchFamily="50" charset="-128"/>
            </a:rPr>
            <a:t>ヶ月分のエネルギー使用量データが揃ったら、計画書を改めてご提出ください。その際、</a:t>
          </a:r>
          <a:endParaRPr kumimoji="1" lang="en-US" altLang="ja-JP" sz="1200">
            <a:solidFill>
              <a:srgbClr val="FF0000"/>
            </a:solidFill>
            <a:latin typeface="Meiryo UI" panose="020B0604030504040204" pitchFamily="50" charset="-128"/>
            <a:ea typeface="Meiryo UI" panose="020B0604030504040204" pitchFamily="50" charset="-128"/>
          </a:endParaRPr>
        </a:p>
        <a:p>
          <a:r>
            <a:rPr kumimoji="1" lang="ja-JP" altLang="en-US" sz="1200">
              <a:solidFill>
                <a:srgbClr val="FF0000"/>
              </a:solidFill>
              <a:latin typeface="Meiryo UI" panose="020B0604030504040204" pitchFamily="50" charset="-128"/>
              <a:ea typeface="Meiryo UI" panose="020B0604030504040204" pitchFamily="50" charset="-128"/>
            </a:rPr>
            <a:t>各シートの橙色セルに入力ください。</a:t>
          </a:r>
          <a:endParaRPr kumimoji="1" lang="en-US" altLang="ja-JP" sz="1200">
            <a:solidFill>
              <a:srgbClr val="FF0000"/>
            </a:solidFill>
            <a:latin typeface="Meiryo UI" panose="020B0604030504040204" pitchFamily="50" charset="-128"/>
            <a:ea typeface="Meiryo UI" panose="020B0604030504040204" pitchFamily="50" charset="-128"/>
          </a:endParaRPr>
        </a:p>
        <a:p>
          <a:endParaRPr kumimoji="1" lang="en-US" altLang="ja-JP" sz="1200">
            <a:solidFill>
              <a:srgbClr val="FF0000"/>
            </a:solidFill>
            <a:latin typeface="Meiryo UI" panose="020B0604030504040204" pitchFamily="50" charset="-128"/>
            <a:ea typeface="Meiryo UI" panose="020B0604030504040204" pitchFamily="50" charset="-128"/>
          </a:endParaRPr>
        </a:p>
        <a:p>
          <a:r>
            <a:rPr kumimoji="1" lang="ja-JP" altLang="en-US" sz="1200">
              <a:solidFill>
                <a:sysClr val="windowText" lastClr="000000"/>
              </a:solidFill>
              <a:latin typeface="メイリオ" panose="020B0604030504040204" pitchFamily="50" charset="-128"/>
              <a:ea typeface="メイリオ" panose="020B0604030504040204" pitchFamily="50" charset="-128"/>
            </a:rPr>
            <a:t>＜シート名＞　　　　　　　　　＜セルアドレス＞　　　＜入力年度＞　＜セル色＞</a:t>
          </a:r>
          <a:endParaRPr kumimoji="1" lang="en-US" altLang="ja-JP" sz="1200">
            <a:solidFill>
              <a:sysClr val="windowText" lastClr="000000"/>
            </a:solidFill>
            <a:latin typeface="メイリオ" panose="020B0604030504040204" pitchFamily="50" charset="-128"/>
            <a:ea typeface="メイリオ" panose="020B0604030504040204" pitchFamily="50" charset="-128"/>
          </a:endParaRPr>
        </a:p>
        <a:p>
          <a:r>
            <a:rPr kumimoji="1" lang="ja-JP" altLang="en-US" sz="1200">
              <a:solidFill>
                <a:sysClr val="windowText" lastClr="000000"/>
              </a:solidFill>
              <a:latin typeface="メイリオ" panose="020B0604030504040204" pitchFamily="50" charset="-128"/>
              <a:ea typeface="メイリオ" panose="020B0604030504040204" pitchFamily="50" charset="-128"/>
            </a:rPr>
            <a:t>計画書①（事業所概要・目標）　</a:t>
          </a:r>
          <a:r>
            <a:rPr kumimoji="1" lang="en-US" altLang="ja-JP" sz="1200">
              <a:solidFill>
                <a:sysClr val="windowText" lastClr="000000"/>
              </a:solidFill>
              <a:latin typeface="メイリオ" panose="020B0604030504040204" pitchFamily="50" charset="-128"/>
              <a:ea typeface="メイリオ" panose="020B0604030504040204" pitchFamily="50" charset="-128"/>
            </a:rPr>
            <a:t>C28</a:t>
          </a:r>
          <a:r>
            <a:rPr kumimoji="1" lang="ja-JP" altLang="en-US" sz="1200">
              <a:solidFill>
                <a:sysClr val="windowText" lastClr="000000"/>
              </a:solidFill>
              <a:latin typeface="メイリオ" panose="020B0604030504040204" pitchFamily="50" charset="-128"/>
              <a:ea typeface="メイリオ" panose="020B0604030504040204" pitchFamily="50" charset="-128"/>
            </a:rPr>
            <a:t>　　　　　　　       　開始年度　　</a:t>
          </a:r>
          <a:r>
            <a:rPr kumimoji="1" lang="ja-JP" altLang="en-US" sz="1200" baseline="0">
              <a:solidFill>
                <a:sysClr val="windowText" lastClr="000000"/>
              </a:solidFill>
              <a:latin typeface="メイリオ" panose="020B0604030504040204" pitchFamily="50" charset="-128"/>
              <a:ea typeface="メイリオ" panose="020B0604030504040204" pitchFamily="50" charset="-128"/>
            </a:rPr>
            <a:t>  </a:t>
          </a:r>
          <a:r>
            <a:rPr kumimoji="1" lang="ja-JP" altLang="en-US" sz="1200">
              <a:solidFill>
                <a:sysClr val="windowText" lastClr="000000"/>
              </a:solidFill>
              <a:latin typeface="メイリオ" panose="020B0604030504040204" pitchFamily="50" charset="-128"/>
              <a:ea typeface="メイリオ" panose="020B0604030504040204" pitchFamily="50" charset="-128"/>
            </a:rPr>
            <a:t>青色</a:t>
          </a:r>
          <a:endParaRPr kumimoji="1" lang="en-US" altLang="ja-JP" sz="1200">
            <a:solidFill>
              <a:sysClr val="windowText" lastClr="000000"/>
            </a:solidFill>
            <a:latin typeface="メイリオ" panose="020B0604030504040204" pitchFamily="50" charset="-128"/>
            <a:ea typeface="メイリオ"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計画書② </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取組）                     </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E5</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F17                       </a:t>
          </a:r>
          <a:r>
            <a:rPr kumimoji="1" lang="ja-JP" altLang="en-US" sz="1200" baseline="0">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開始年度　　</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青色</a:t>
          </a:r>
          <a:endParaRPr lang="ja-JP" altLang="ja-JP" sz="1200">
            <a:solidFill>
              <a:sysClr val="windowText" lastClr="000000"/>
            </a:solidFill>
            <a:effectLst/>
            <a:latin typeface="メイリオ" panose="020B0604030504040204" pitchFamily="50" charset="-128"/>
            <a:ea typeface="メイリオ" panose="020B0604030504040204" pitchFamily="50" charset="-128"/>
          </a:endParaRPr>
        </a:p>
        <a:p>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計画書② </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取組）                 </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C39</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C58,E39</a:t>
          </a:r>
          <a:r>
            <a:rPr kumimoji="1" lang="ja-JP" altLang="en-US" sz="1200">
              <a:solidFill>
                <a:sysClr val="windowText" lastClr="000000"/>
              </a:solidFill>
              <a:effectLst/>
              <a:latin typeface="メイリオ" panose="020B0604030504040204" pitchFamily="50" charset="-128"/>
              <a:ea typeface="メイリオ" panose="020B0604030504040204" pitchFamily="50" charset="-128"/>
              <a:cs typeface="+mn-cs"/>
            </a:rPr>
            <a:t>～</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F58        </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開始年度　　</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青色</a:t>
          </a:r>
          <a:endPar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計画書② </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取組）                  </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C63</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F72</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en-US" altLang="ja-JP" sz="1200" baseline="0">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開始年度　　</a:t>
          </a:r>
          <a:r>
            <a:rPr kumimoji="1" lang="en-US" altLang="ja-JP" sz="1200">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ja-JP" altLang="ja-JP" sz="1200">
              <a:solidFill>
                <a:sysClr val="windowText" lastClr="000000"/>
              </a:solidFill>
              <a:effectLst/>
              <a:latin typeface="メイリオ" panose="020B0604030504040204" pitchFamily="50" charset="-128"/>
              <a:ea typeface="メイリオ" panose="020B0604030504040204" pitchFamily="50" charset="-128"/>
              <a:cs typeface="+mn-cs"/>
            </a:rPr>
            <a:t>青色</a:t>
          </a:r>
          <a:r>
            <a:rPr kumimoji="1" lang="ja-JP" altLang="en-US" sz="1200">
              <a:solidFill>
                <a:sysClr val="windowText" lastClr="000000"/>
              </a:solidFill>
              <a:latin typeface="メイリオ" panose="020B0604030504040204" pitchFamily="50" charset="-128"/>
              <a:ea typeface="メイリオ" panose="020B0604030504040204" pitchFamily="50" charset="-128"/>
            </a:rPr>
            <a:t>　　　　　　　　　　　　　　　　　　　　</a:t>
          </a:r>
          <a:endParaRPr kumimoji="1" lang="en-US" altLang="ja-JP" sz="1200">
            <a:solidFill>
              <a:sysClr val="windowText" lastClr="000000"/>
            </a:solidFill>
            <a:latin typeface="メイリオ" panose="020B0604030504040204" pitchFamily="50" charset="-128"/>
            <a:ea typeface="メイリオ" panose="020B0604030504040204" pitchFamily="50" charset="-128"/>
          </a:endParaRPr>
        </a:p>
        <a:p>
          <a:r>
            <a:rPr kumimoji="1" lang="ja-JP" altLang="ja-JP" sz="1200">
              <a:solidFill>
                <a:schemeClr val="dk1"/>
              </a:solidFill>
              <a:effectLst/>
              <a:latin typeface="メイリオ" panose="020B0604030504040204" pitchFamily="50" charset="-128"/>
              <a:ea typeface="メイリオ" panose="020B0604030504040204" pitchFamily="50" charset="-128"/>
              <a:cs typeface="+mn-cs"/>
            </a:rPr>
            <a:t>計画書③（任意記載）          </a:t>
          </a:r>
          <a:r>
            <a:rPr kumimoji="1" lang="en-US" altLang="ja-JP" sz="1200">
              <a:solidFill>
                <a:schemeClr val="dk1"/>
              </a:solidFill>
              <a:effectLst/>
              <a:latin typeface="メイリオ" panose="020B0604030504040204" pitchFamily="50" charset="-128"/>
              <a:ea typeface="メイリオ" panose="020B0604030504040204" pitchFamily="50" charset="-128"/>
              <a:cs typeface="+mn-cs"/>
            </a:rPr>
            <a:t>   </a:t>
          </a:r>
          <a:r>
            <a:rPr kumimoji="1" lang="ja-JP" altLang="ja-JP" sz="1200">
              <a:solidFill>
                <a:schemeClr val="dk1"/>
              </a:solidFill>
              <a:effectLst/>
              <a:latin typeface="メイリオ" panose="020B0604030504040204" pitchFamily="50" charset="-128"/>
              <a:ea typeface="メイリオ" panose="020B0604030504040204" pitchFamily="50" charset="-128"/>
              <a:cs typeface="+mn-cs"/>
            </a:rPr>
            <a:t>  </a:t>
          </a:r>
          <a:r>
            <a:rPr kumimoji="1" lang="en-US" altLang="ja-JP" sz="1200">
              <a:solidFill>
                <a:schemeClr val="dk1"/>
              </a:solidFill>
              <a:effectLst/>
              <a:latin typeface="メイリオ" panose="020B0604030504040204" pitchFamily="50" charset="-128"/>
              <a:ea typeface="メイリオ" panose="020B0604030504040204" pitchFamily="50" charset="-128"/>
              <a:cs typeface="+mn-cs"/>
            </a:rPr>
            <a:t>B17</a:t>
          </a:r>
          <a:r>
            <a:rPr kumimoji="1" lang="ja-JP" altLang="ja-JP" sz="1200">
              <a:solidFill>
                <a:schemeClr val="dk1"/>
              </a:solidFill>
              <a:effectLst/>
              <a:latin typeface="メイリオ" panose="020B0604030504040204" pitchFamily="50" charset="-128"/>
              <a:ea typeface="メイリオ" panose="020B0604030504040204" pitchFamily="50" charset="-128"/>
              <a:cs typeface="+mn-cs"/>
            </a:rPr>
            <a:t>～</a:t>
          </a:r>
          <a:r>
            <a:rPr kumimoji="1" lang="en-US" altLang="ja-JP" sz="1200">
              <a:solidFill>
                <a:schemeClr val="dk1"/>
              </a:solidFill>
              <a:effectLst/>
              <a:latin typeface="メイリオ" panose="020B0604030504040204" pitchFamily="50" charset="-128"/>
              <a:ea typeface="メイリオ" panose="020B0604030504040204" pitchFamily="50" charset="-128"/>
              <a:cs typeface="+mn-cs"/>
            </a:rPr>
            <a:t>D26</a:t>
          </a:r>
          <a:r>
            <a:rPr kumimoji="1" lang="ja-JP" altLang="ja-JP" sz="1200">
              <a:solidFill>
                <a:schemeClr val="dk1"/>
              </a:solidFill>
              <a:effectLst/>
              <a:latin typeface="メイリオ" panose="020B0604030504040204" pitchFamily="50" charset="-128"/>
              <a:ea typeface="メイリオ" panose="020B0604030504040204" pitchFamily="50" charset="-128"/>
              <a:cs typeface="+mn-cs"/>
            </a:rPr>
            <a:t>　　　　</a:t>
          </a:r>
          <a:r>
            <a:rPr kumimoji="1" lang="en-US" altLang="ja-JP" sz="1200">
              <a:solidFill>
                <a:schemeClr val="dk1"/>
              </a:solidFill>
              <a:effectLst/>
              <a:latin typeface="メイリオ" panose="020B0604030504040204" pitchFamily="50" charset="-128"/>
              <a:ea typeface="メイリオ" panose="020B0604030504040204" pitchFamily="50" charset="-128"/>
              <a:cs typeface="+mn-cs"/>
            </a:rPr>
            <a:t>   </a:t>
          </a:r>
          <a:r>
            <a:rPr kumimoji="1" lang="ja-JP" altLang="ja-JP" sz="1200">
              <a:solidFill>
                <a:schemeClr val="dk1"/>
              </a:solidFill>
              <a:effectLst/>
              <a:latin typeface="メイリオ" panose="020B0604030504040204" pitchFamily="50" charset="-128"/>
              <a:ea typeface="メイリオ" panose="020B0604030504040204" pitchFamily="50" charset="-128"/>
              <a:cs typeface="+mn-cs"/>
            </a:rPr>
            <a:t>　</a:t>
          </a:r>
          <a:r>
            <a:rPr kumimoji="1" lang="en-US" altLang="ja-JP" sz="1200">
              <a:solidFill>
                <a:schemeClr val="dk1"/>
              </a:solidFill>
              <a:effectLst/>
              <a:latin typeface="メイリオ" panose="020B0604030504040204" pitchFamily="50" charset="-128"/>
              <a:ea typeface="メイリオ" panose="020B0604030504040204" pitchFamily="50" charset="-128"/>
              <a:cs typeface="+mn-cs"/>
            </a:rPr>
            <a:t>  </a:t>
          </a:r>
          <a:r>
            <a:rPr kumimoji="1" lang="en-US" altLang="ja-JP" sz="1200" baseline="0">
              <a:solidFill>
                <a:schemeClr val="dk1"/>
              </a:solidFill>
              <a:effectLst/>
              <a:latin typeface="メイリオ" panose="020B0604030504040204" pitchFamily="50" charset="-128"/>
              <a:ea typeface="メイリオ" panose="020B0604030504040204" pitchFamily="50" charset="-128"/>
              <a:cs typeface="+mn-cs"/>
            </a:rPr>
            <a:t>  </a:t>
          </a:r>
          <a:r>
            <a:rPr kumimoji="1" lang="ja-JP" altLang="ja-JP" sz="1200">
              <a:solidFill>
                <a:schemeClr val="dk1"/>
              </a:solidFill>
              <a:effectLst/>
              <a:latin typeface="メイリオ" panose="020B0604030504040204" pitchFamily="50" charset="-128"/>
              <a:ea typeface="メイリオ" panose="020B0604030504040204" pitchFamily="50" charset="-128"/>
              <a:cs typeface="+mn-cs"/>
            </a:rPr>
            <a:t>開始年度　　</a:t>
          </a:r>
          <a:r>
            <a:rPr kumimoji="1" lang="en-US" altLang="ja-JP" sz="1200">
              <a:solidFill>
                <a:schemeClr val="dk1"/>
              </a:solidFill>
              <a:effectLst/>
              <a:latin typeface="メイリオ" panose="020B0604030504040204" pitchFamily="50" charset="-128"/>
              <a:ea typeface="メイリオ" panose="020B0604030504040204" pitchFamily="50" charset="-128"/>
              <a:cs typeface="+mn-cs"/>
            </a:rPr>
            <a:t>  </a:t>
          </a:r>
          <a:r>
            <a:rPr kumimoji="1" lang="ja-JP" altLang="ja-JP" sz="1200">
              <a:solidFill>
                <a:schemeClr val="dk1"/>
              </a:solidFill>
              <a:effectLst/>
              <a:latin typeface="メイリオ" panose="020B0604030504040204" pitchFamily="50" charset="-128"/>
              <a:ea typeface="メイリオ" panose="020B0604030504040204" pitchFamily="50" charset="-128"/>
              <a:cs typeface="+mn-cs"/>
            </a:rPr>
            <a:t>青色　</a:t>
          </a:r>
          <a:endParaRPr kumimoji="1" lang="en-US" altLang="ja-JP" sz="1200">
            <a:solidFill>
              <a:schemeClr val="dk1"/>
            </a:solidFill>
            <a:effectLst/>
            <a:latin typeface="メイリオ" panose="020B0604030504040204" pitchFamily="50" charset="-128"/>
            <a:ea typeface="メイリオ" panose="020B0604030504040204" pitchFamily="50" charset="-128"/>
            <a:cs typeface="+mn-cs"/>
          </a:endParaRPr>
        </a:p>
        <a:p>
          <a:endParaRPr kumimoji="1" lang="en-US" altLang="ja-JP" sz="1200">
            <a:solidFill>
              <a:schemeClr val="dk1"/>
            </a:solidFill>
            <a:effectLst/>
            <a:latin typeface="メイリオ" panose="020B0604030504040204" pitchFamily="50" charset="-128"/>
            <a:ea typeface="メイリオ"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200">
              <a:solidFill>
                <a:schemeClr val="dk1"/>
              </a:solidFill>
              <a:effectLst/>
              <a:latin typeface="メイリオ" panose="020B0604030504040204" pitchFamily="50" charset="-128"/>
              <a:ea typeface="メイリオ" panose="020B0604030504040204" pitchFamily="50" charset="-128"/>
              <a:cs typeface="+mn-cs"/>
            </a:rPr>
            <a:t>＜シート名＞　　　　　　　　　＜セルアドレス＞　　　＜入力年度＞　＜セル色＞</a:t>
          </a:r>
          <a:endParaRPr lang="ja-JP" altLang="ja-JP" sz="1200">
            <a:effectLst/>
            <a:latin typeface="メイリオ" panose="020B0604030504040204" pitchFamily="50" charset="-128"/>
            <a:ea typeface="メイリオ"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200">
              <a:solidFill>
                <a:schemeClr val="dk1"/>
              </a:solidFill>
              <a:effectLst/>
              <a:latin typeface="メイリオ" panose="020B0604030504040204" pitchFamily="50" charset="-128"/>
              <a:ea typeface="メイリオ" panose="020B0604030504040204" pitchFamily="50" charset="-128"/>
              <a:cs typeface="+mn-cs"/>
            </a:rPr>
            <a:t>計画書①（事業所概要・目標）　</a:t>
          </a:r>
          <a:r>
            <a:rPr kumimoji="1" lang="en-US" altLang="ja-JP" sz="1200">
              <a:solidFill>
                <a:schemeClr val="dk1"/>
              </a:solidFill>
              <a:effectLst/>
              <a:latin typeface="メイリオ" panose="020B0604030504040204" pitchFamily="50" charset="-128"/>
              <a:ea typeface="メイリオ" panose="020B0604030504040204" pitchFamily="50" charset="-128"/>
              <a:cs typeface="+mn-cs"/>
            </a:rPr>
            <a:t>H25,H27,M25,M27</a:t>
          </a:r>
          <a:r>
            <a:rPr kumimoji="1" lang="ja-JP" altLang="ja-JP" sz="1200">
              <a:solidFill>
                <a:schemeClr val="dk1"/>
              </a:solidFill>
              <a:effectLst/>
              <a:latin typeface="メイリオ" panose="020B0604030504040204" pitchFamily="50" charset="-128"/>
              <a:ea typeface="メイリオ" panose="020B0604030504040204" pitchFamily="50" charset="-128"/>
              <a:cs typeface="+mn-cs"/>
            </a:rPr>
            <a:t>　</a:t>
          </a:r>
          <a:r>
            <a:rPr kumimoji="1" lang="en-US" altLang="ja-JP" sz="1200">
              <a:solidFill>
                <a:schemeClr val="dk1"/>
              </a:solidFill>
              <a:effectLst/>
              <a:latin typeface="メイリオ" panose="020B0604030504040204" pitchFamily="50" charset="-128"/>
              <a:ea typeface="メイリオ" panose="020B0604030504040204" pitchFamily="50" charset="-128"/>
              <a:cs typeface="+mn-cs"/>
            </a:rPr>
            <a:t>      </a:t>
          </a:r>
          <a:r>
            <a:rPr kumimoji="1" lang="ja-JP" altLang="ja-JP" sz="1200">
              <a:solidFill>
                <a:schemeClr val="dk1"/>
              </a:solidFill>
              <a:effectLst/>
              <a:latin typeface="メイリオ" panose="020B0604030504040204" pitchFamily="50" charset="-128"/>
              <a:ea typeface="メイリオ" panose="020B0604030504040204" pitchFamily="50" charset="-128"/>
              <a:cs typeface="+mn-cs"/>
            </a:rPr>
            <a:t>次年度　　</a:t>
          </a:r>
          <a:r>
            <a:rPr kumimoji="1" lang="en-US" altLang="ja-JP" sz="1200">
              <a:solidFill>
                <a:schemeClr val="dk1"/>
              </a:solidFill>
              <a:effectLst/>
              <a:latin typeface="メイリオ" panose="020B0604030504040204" pitchFamily="50" charset="-128"/>
              <a:ea typeface="メイリオ" panose="020B0604030504040204" pitchFamily="50" charset="-128"/>
              <a:cs typeface="+mn-cs"/>
            </a:rPr>
            <a:t> </a:t>
          </a:r>
          <a:r>
            <a:rPr kumimoji="1" lang="ja-JP" altLang="ja-JP" sz="1200">
              <a:solidFill>
                <a:schemeClr val="dk1"/>
              </a:solidFill>
              <a:effectLst/>
              <a:latin typeface="メイリオ" panose="020B0604030504040204" pitchFamily="50" charset="-128"/>
              <a:ea typeface="メイリオ" panose="020B0604030504040204" pitchFamily="50" charset="-128"/>
              <a:cs typeface="+mn-cs"/>
            </a:rPr>
            <a:t>　橙色</a:t>
          </a:r>
          <a:endParaRPr lang="ja-JP" altLang="ja-JP" sz="1200">
            <a:effectLst/>
            <a:latin typeface="メイリオ" panose="020B0604030504040204" pitchFamily="50" charset="-128"/>
            <a:ea typeface="メイリオ"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200">
              <a:solidFill>
                <a:schemeClr val="dk1"/>
              </a:solidFill>
              <a:effectLst/>
              <a:latin typeface="メイリオ" panose="020B0604030504040204" pitchFamily="50" charset="-128"/>
              <a:ea typeface="メイリオ" panose="020B0604030504040204" pitchFamily="50" charset="-128"/>
              <a:cs typeface="+mn-cs"/>
            </a:rPr>
            <a:t>計画書③（任意記載）          </a:t>
          </a:r>
          <a:r>
            <a:rPr kumimoji="1" lang="en-US" altLang="ja-JP" sz="1200">
              <a:solidFill>
                <a:schemeClr val="dk1"/>
              </a:solidFill>
              <a:effectLst/>
              <a:latin typeface="メイリオ" panose="020B0604030504040204" pitchFamily="50" charset="-128"/>
              <a:ea typeface="メイリオ" panose="020B0604030504040204" pitchFamily="50" charset="-128"/>
              <a:cs typeface="+mn-cs"/>
            </a:rPr>
            <a:t>  </a:t>
          </a:r>
          <a:r>
            <a:rPr kumimoji="1" lang="ja-JP" altLang="ja-JP" sz="1200">
              <a:solidFill>
                <a:schemeClr val="dk1"/>
              </a:solidFill>
              <a:effectLst/>
              <a:latin typeface="メイリオ" panose="020B0604030504040204" pitchFamily="50" charset="-128"/>
              <a:ea typeface="メイリオ" panose="020B0604030504040204" pitchFamily="50" charset="-128"/>
              <a:cs typeface="+mn-cs"/>
            </a:rPr>
            <a:t>   </a:t>
          </a:r>
          <a:r>
            <a:rPr kumimoji="1" lang="en-US" altLang="ja-JP" sz="1200">
              <a:solidFill>
                <a:schemeClr val="dk1"/>
              </a:solidFill>
              <a:effectLst/>
              <a:latin typeface="メイリオ" panose="020B0604030504040204" pitchFamily="50" charset="-128"/>
              <a:ea typeface="メイリオ" panose="020B0604030504040204" pitchFamily="50" charset="-128"/>
              <a:cs typeface="+mn-cs"/>
            </a:rPr>
            <a:t>B4</a:t>
          </a:r>
          <a:r>
            <a:rPr kumimoji="1" lang="ja-JP" altLang="ja-JP" sz="1200">
              <a:solidFill>
                <a:schemeClr val="dk1"/>
              </a:solidFill>
              <a:effectLst/>
              <a:latin typeface="メイリオ" panose="020B0604030504040204" pitchFamily="50" charset="-128"/>
              <a:ea typeface="メイリオ" panose="020B0604030504040204" pitchFamily="50" charset="-128"/>
              <a:cs typeface="+mn-cs"/>
            </a:rPr>
            <a:t>～</a:t>
          </a:r>
          <a:r>
            <a:rPr kumimoji="1" lang="en-US" altLang="ja-JP" sz="1200">
              <a:solidFill>
                <a:schemeClr val="dk1"/>
              </a:solidFill>
              <a:effectLst/>
              <a:latin typeface="メイリオ" panose="020B0604030504040204" pitchFamily="50" charset="-128"/>
              <a:ea typeface="メイリオ" panose="020B0604030504040204" pitchFamily="50" charset="-128"/>
              <a:cs typeface="+mn-cs"/>
            </a:rPr>
            <a:t>D13</a:t>
          </a:r>
          <a:r>
            <a:rPr kumimoji="1" lang="ja-JP" altLang="ja-JP" sz="1200">
              <a:solidFill>
                <a:schemeClr val="dk1"/>
              </a:solidFill>
              <a:effectLst/>
              <a:latin typeface="メイリオ" panose="020B0604030504040204" pitchFamily="50" charset="-128"/>
              <a:ea typeface="メイリオ" panose="020B0604030504040204" pitchFamily="50" charset="-128"/>
              <a:cs typeface="+mn-cs"/>
            </a:rPr>
            <a:t>　　　　　</a:t>
          </a:r>
          <a:r>
            <a:rPr kumimoji="1" lang="en-US" altLang="ja-JP" sz="1200">
              <a:solidFill>
                <a:schemeClr val="dk1"/>
              </a:solidFill>
              <a:effectLst/>
              <a:latin typeface="メイリオ" panose="020B0604030504040204" pitchFamily="50" charset="-128"/>
              <a:ea typeface="メイリオ" panose="020B0604030504040204" pitchFamily="50" charset="-128"/>
              <a:cs typeface="+mn-cs"/>
            </a:rPr>
            <a:t>      </a:t>
          </a:r>
          <a:r>
            <a:rPr kumimoji="1" lang="en-US" altLang="ja-JP" sz="1200" baseline="0">
              <a:solidFill>
                <a:schemeClr val="dk1"/>
              </a:solidFill>
              <a:effectLst/>
              <a:latin typeface="メイリオ" panose="020B0604030504040204" pitchFamily="50" charset="-128"/>
              <a:ea typeface="メイリオ" panose="020B0604030504040204" pitchFamily="50" charset="-128"/>
              <a:cs typeface="+mn-cs"/>
            </a:rPr>
            <a:t>  </a:t>
          </a:r>
          <a:r>
            <a:rPr kumimoji="1" lang="ja-JP" altLang="ja-JP" sz="1200">
              <a:solidFill>
                <a:schemeClr val="dk1"/>
              </a:solidFill>
              <a:effectLst/>
              <a:latin typeface="メイリオ" panose="020B0604030504040204" pitchFamily="50" charset="-128"/>
              <a:ea typeface="メイリオ" panose="020B0604030504040204" pitchFamily="50" charset="-128"/>
              <a:cs typeface="+mn-cs"/>
            </a:rPr>
            <a:t>次年度　　</a:t>
          </a:r>
          <a:r>
            <a:rPr kumimoji="1" lang="en-US" altLang="ja-JP" sz="1200">
              <a:solidFill>
                <a:schemeClr val="dk1"/>
              </a:solidFill>
              <a:effectLst/>
              <a:latin typeface="メイリオ" panose="020B0604030504040204" pitchFamily="50" charset="-128"/>
              <a:ea typeface="メイリオ" panose="020B0604030504040204" pitchFamily="50" charset="-128"/>
              <a:cs typeface="+mn-cs"/>
            </a:rPr>
            <a:t> </a:t>
          </a:r>
          <a:r>
            <a:rPr kumimoji="1" lang="ja-JP" altLang="ja-JP" sz="1200">
              <a:solidFill>
                <a:schemeClr val="dk1"/>
              </a:solidFill>
              <a:effectLst/>
              <a:latin typeface="メイリオ" panose="020B0604030504040204" pitchFamily="50" charset="-128"/>
              <a:ea typeface="メイリオ" panose="020B0604030504040204" pitchFamily="50" charset="-128"/>
              <a:cs typeface="+mn-cs"/>
            </a:rPr>
            <a:t>　橙色　　　　　　　　　　　</a:t>
          </a:r>
          <a:endParaRPr kumimoji="1" lang="en-US" altLang="ja-JP" sz="1200">
            <a:solidFill>
              <a:sysClr val="windowText" lastClr="000000"/>
            </a:solidFill>
            <a:latin typeface="メイリオ" panose="020B0604030504040204" pitchFamily="50" charset="-128"/>
            <a:ea typeface="メイリオ"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latin typeface="メイリオ" panose="020B0604030504040204" pitchFamily="50" charset="-128"/>
              <a:ea typeface="メイリオ" panose="020B0604030504040204" pitchFamily="50" charset="-128"/>
            </a:rPr>
            <a:t>計算シート（基準年度）　      　</a:t>
          </a:r>
          <a:r>
            <a:rPr kumimoji="1" lang="en-US" altLang="ja-JP" sz="1200">
              <a:solidFill>
                <a:schemeClr val="dk1"/>
              </a:solidFill>
              <a:effectLst/>
              <a:latin typeface="メイリオ" panose="020B0604030504040204" pitchFamily="50" charset="-128"/>
              <a:ea typeface="メイリオ" panose="020B0604030504040204" pitchFamily="50" charset="-128"/>
              <a:cs typeface="+mn-cs"/>
            </a:rPr>
            <a:t>C3</a:t>
          </a:r>
          <a:r>
            <a:rPr kumimoji="1" lang="ja-JP" altLang="ja-JP" sz="1200">
              <a:solidFill>
                <a:schemeClr val="dk1"/>
              </a:solidFill>
              <a:effectLst/>
              <a:latin typeface="メイリオ" panose="020B0604030504040204" pitchFamily="50" charset="-128"/>
              <a:ea typeface="メイリオ" panose="020B0604030504040204" pitchFamily="50" charset="-128"/>
              <a:cs typeface="+mn-cs"/>
            </a:rPr>
            <a:t>～</a:t>
          </a:r>
          <a:r>
            <a:rPr kumimoji="1" lang="en-US" altLang="ja-JP" sz="1200">
              <a:solidFill>
                <a:schemeClr val="dk1"/>
              </a:solidFill>
              <a:effectLst/>
              <a:latin typeface="メイリオ" panose="020B0604030504040204" pitchFamily="50" charset="-128"/>
              <a:ea typeface="メイリオ" panose="020B0604030504040204" pitchFamily="50" charset="-128"/>
              <a:cs typeface="+mn-cs"/>
            </a:rPr>
            <a:t>N9,C12</a:t>
          </a:r>
          <a:r>
            <a:rPr kumimoji="1" lang="ja-JP" altLang="ja-JP" sz="1200">
              <a:solidFill>
                <a:schemeClr val="dk1"/>
              </a:solidFill>
              <a:effectLst/>
              <a:latin typeface="メイリオ" panose="020B0604030504040204" pitchFamily="50" charset="-128"/>
              <a:ea typeface="メイリオ" panose="020B0604030504040204" pitchFamily="50" charset="-128"/>
              <a:cs typeface="+mn-cs"/>
            </a:rPr>
            <a:t>～</a:t>
          </a:r>
          <a:r>
            <a:rPr kumimoji="1" lang="en-US" altLang="ja-JP" sz="1200">
              <a:solidFill>
                <a:schemeClr val="dk1"/>
              </a:solidFill>
              <a:effectLst/>
              <a:latin typeface="メイリオ" panose="020B0604030504040204" pitchFamily="50" charset="-128"/>
              <a:ea typeface="メイリオ" panose="020B0604030504040204" pitchFamily="50" charset="-128"/>
              <a:cs typeface="+mn-cs"/>
            </a:rPr>
            <a:t>N21</a:t>
          </a:r>
          <a:r>
            <a:rPr kumimoji="1" lang="ja-JP" altLang="ja-JP" sz="1200">
              <a:solidFill>
                <a:schemeClr val="dk1"/>
              </a:solidFill>
              <a:effectLst/>
              <a:latin typeface="メイリオ" panose="020B0604030504040204" pitchFamily="50" charset="-128"/>
              <a:ea typeface="メイリオ" panose="020B0604030504040204" pitchFamily="50" charset="-128"/>
              <a:cs typeface="+mn-cs"/>
            </a:rPr>
            <a:t>　</a:t>
          </a:r>
          <a:r>
            <a:rPr kumimoji="1" lang="en-US" altLang="ja-JP" sz="1200">
              <a:solidFill>
                <a:schemeClr val="dk1"/>
              </a:solidFill>
              <a:effectLst/>
              <a:latin typeface="メイリオ" panose="020B0604030504040204" pitchFamily="50" charset="-128"/>
              <a:ea typeface="メイリオ" panose="020B0604030504040204" pitchFamily="50" charset="-128"/>
              <a:cs typeface="+mn-cs"/>
            </a:rPr>
            <a:t> </a:t>
          </a:r>
          <a:r>
            <a:rPr kumimoji="1" lang="ja-JP" altLang="ja-JP" sz="1200">
              <a:solidFill>
                <a:schemeClr val="dk1"/>
              </a:solidFill>
              <a:effectLst/>
              <a:latin typeface="メイリオ" panose="020B0604030504040204" pitchFamily="50" charset="-128"/>
              <a:ea typeface="メイリオ" panose="020B0604030504040204" pitchFamily="50" charset="-128"/>
              <a:cs typeface="+mn-cs"/>
            </a:rPr>
            <a:t>　</a:t>
          </a:r>
          <a:r>
            <a:rPr kumimoji="1" lang="en-US" altLang="ja-JP" sz="1200" baseline="0">
              <a:solidFill>
                <a:schemeClr val="dk1"/>
              </a:solidFill>
              <a:effectLst/>
              <a:latin typeface="メイリオ" panose="020B0604030504040204" pitchFamily="50" charset="-128"/>
              <a:ea typeface="メイリオ" panose="020B0604030504040204" pitchFamily="50" charset="-128"/>
              <a:cs typeface="+mn-cs"/>
            </a:rPr>
            <a:t>   </a:t>
          </a:r>
          <a:r>
            <a:rPr kumimoji="1" lang="ja-JP" altLang="ja-JP" sz="1200">
              <a:solidFill>
                <a:schemeClr val="dk1"/>
              </a:solidFill>
              <a:effectLst/>
              <a:latin typeface="メイリオ" panose="020B0604030504040204" pitchFamily="50" charset="-128"/>
              <a:ea typeface="メイリオ" panose="020B0604030504040204" pitchFamily="50" charset="-128"/>
              <a:cs typeface="+mn-cs"/>
            </a:rPr>
            <a:t>次年度　　</a:t>
          </a:r>
          <a:r>
            <a:rPr kumimoji="1" lang="en-US" altLang="ja-JP" sz="1200">
              <a:solidFill>
                <a:schemeClr val="dk1"/>
              </a:solidFill>
              <a:effectLst/>
              <a:latin typeface="メイリオ" panose="020B0604030504040204" pitchFamily="50" charset="-128"/>
              <a:ea typeface="メイリオ" panose="020B0604030504040204" pitchFamily="50" charset="-128"/>
              <a:cs typeface="+mn-cs"/>
            </a:rPr>
            <a:t> </a:t>
          </a:r>
          <a:r>
            <a:rPr kumimoji="1" lang="ja-JP" altLang="ja-JP" sz="1200">
              <a:solidFill>
                <a:schemeClr val="dk1"/>
              </a:solidFill>
              <a:effectLst/>
              <a:latin typeface="メイリオ" panose="020B0604030504040204" pitchFamily="50" charset="-128"/>
              <a:ea typeface="メイリオ" panose="020B0604030504040204" pitchFamily="50" charset="-128"/>
              <a:cs typeface="+mn-cs"/>
            </a:rPr>
            <a:t>　橙色　　　　</a:t>
          </a:r>
          <a:endParaRPr kumimoji="1" lang="en-US" altLang="ja-JP" sz="1200">
            <a:solidFill>
              <a:sysClr val="windowText" lastClr="000000"/>
            </a:solidFill>
            <a:latin typeface="メイリオ" panose="020B0604030504040204" pitchFamily="50" charset="-128"/>
            <a:ea typeface="メイリオ" panose="020B0604030504040204" pitchFamily="50" charset="-128"/>
          </a:endParaRPr>
        </a:p>
        <a:p>
          <a:r>
            <a:rPr kumimoji="1" lang="ja-JP" altLang="en-US" sz="1200">
              <a:solidFill>
                <a:sysClr val="windowText" lastClr="000000"/>
              </a:solidFill>
              <a:latin typeface="メイリオ" panose="020B0604030504040204" pitchFamily="50" charset="-128"/>
              <a:ea typeface="メイリオ" panose="020B0604030504040204" pitchFamily="50" charset="-128"/>
            </a:rPr>
            <a:t>事業所排出量内訳 </a:t>
          </a:r>
          <a:r>
            <a:rPr kumimoji="1" lang="en-US" altLang="ja-JP" sz="1200">
              <a:solidFill>
                <a:sysClr val="windowText" lastClr="000000"/>
              </a:solidFill>
              <a:latin typeface="メイリオ" panose="020B0604030504040204" pitchFamily="50" charset="-128"/>
              <a:ea typeface="メイリオ" panose="020B0604030504040204" pitchFamily="50" charset="-128"/>
            </a:rPr>
            <a:t>(</a:t>
          </a:r>
          <a:r>
            <a:rPr kumimoji="1" lang="ja-JP" altLang="en-US" sz="1200">
              <a:solidFill>
                <a:sysClr val="windowText" lastClr="000000"/>
              </a:solidFill>
              <a:latin typeface="メイリオ" panose="020B0604030504040204" pitchFamily="50" charset="-128"/>
              <a:ea typeface="メイリオ" panose="020B0604030504040204" pitchFamily="50" charset="-128"/>
            </a:rPr>
            <a:t>基準年度</a:t>
          </a:r>
          <a:r>
            <a:rPr kumimoji="1" lang="en-US" altLang="ja-JP" sz="1200">
              <a:solidFill>
                <a:sysClr val="windowText" lastClr="000000"/>
              </a:solidFill>
              <a:latin typeface="メイリオ" panose="020B0604030504040204" pitchFamily="50" charset="-128"/>
              <a:ea typeface="メイリオ" panose="020B0604030504040204" pitchFamily="50" charset="-128"/>
            </a:rPr>
            <a:t>)     E12</a:t>
          </a:r>
          <a:r>
            <a:rPr kumimoji="1" lang="ja-JP" altLang="ja-JP" sz="1200">
              <a:solidFill>
                <a:schemeClr val="dk1"/>
              </a:solidFill>
              <a:effectLst/>
              <a:latin typeface="メイリオ" panose="020B0604030504040204" pitchFamily="50" charset="-128"/>
              <a:ea typeface="メイリオ" panose="020B0604030504040204" pitchFamily="50" charset="-128"/>
              <a:cs typeface="+mn-cs"/>
            </a:rPr>
            <a:t>～</a:t>
          </a:r>
          <a:r>
            <a:rPr kumimoji="1" lang="en-US" altLang="ja-JP" sz="1200">
              <a:solidFill>
                <a:schemeClr val="dk1"/>
              </a:solidFill>
              <a:effectLst/>
              <a:latin typeface="メイリオ" panose="020B0604030504040204" pitchFamily="50" charset="-128"/>
              <a:ea typeface="メイリオ" panose="020B0604030504040204" pitchFamily="50" charset="-128"/>
              <a:cs typeface="+mn-cs"/>
            </a:rPr>
            <a:t>F17,G5</a:t>
          </a:r>
          <a:r>
            <a:rPr kumimoji="1" lang="ja-JP" altLang="ja-JP" sz="1200">
              <a:solidFill>
                <a:schemeClr val="dk1"/>
              </a:solidFill>
              <a:effectLst/>
              <a:latin typeface="メイリオ" panose="020B0604030504040204" pitchFamily="50" charset="-128"/>
              <a:ea typeface="メイリオ" panose="020B0604030504040204" pitchFamily="50" charset="-128"/>
              <a:cs typeface="+mn-cs"/>
            </a:rPr>
            <a:t>～</a:t>
          </a:r>
          <a:r>
            <a:rPr kumimoji="1" lang="en-US" altLang="ja-JP" sz="1200">
              <a:solidFill>
                <a:schemeClr val="dk1"/>
              </a:solidFill>
              <a:effectLst/>
              <a:latin typeface="メイリオ" panose="020B0604030504040204" pitchFamily="50" charset="-128"/>
              <a:ea typeface="メイリオ" panose="020B0604030504040204" pitchFamily="50" charset="-128"/>
              <a:cs typeface="+mn-cs"/>
            </a:rPr>
            <a:t>G17</a:t>
          </a:r>
          <a:r>
            <a:rPr kumimoji="1" lang="ja-JP" altLang="ja-JP" sz="1200">
              <a:solidFill>
                <a:schemeClr val="dk1"/>
              </a:solidFill>
              <a:effectLst/>
              <a:latin typeface="メイリオ" panose="020B0604030504040204" pitchFamily="50" charset="-128"/>
              <a:ea typeface="メイリオ" panose="020B0604030504040204" pitchFamily="50" charset="-128"/>
              <a:cs typeface="+mn-cs"/>
            </a:rPr>
            <a:t>　　</a:t>
          </a:r>
          <a:r>
            <a:rPr kumimoji="1" lang="en-US" altLang="ja-JP" sz="1200">
              <a:solidFill>
                <a:schemeClr val="dk1"/>
              </a:solidFill>
              <a:effectLst/>
              <a:latin typeface="メイリオ" panose="020B0604030504040204" pitchFamily="50" charset="-128"/>
              <a:ea typeface="メイリオ" panose="020B0604030504040204" pitchFamily="50" charset="-128"/>
              <a:cs typeface="+mn-cs"/>
            </a:rPr>
            <a:t> </a:t>
          </a:r>
          <a:r>
            <a:rPr kumimoji="1" lang="en-US" altLang="ja-JP" sz="1200" baseline="0">
              <a:solidFill>
                <a:schemeClr val="dk1"/>
              </a:solidFill>
              <a:effectLst/>
              <a:latin typeface="メイリオ" panose="020B0604030504040204" pitchFamily="50" charset="-128"/>
              <a:ea typeface="メイリオ" panose="020B0604030504040204" pitchFamily="50" charset="-128"/>
              <a:cs typeface="+mn-cs"/>
            </a:rPr>
            <a:t>  </a:t>
          </a:r>
          <a:r>
            <a:rPr kumimoji="1" lang="ja-JP" altLang="ja-JP" sz="1200">
              <a:solidFill>
                <a:schemeClr val="dk1"/>
              </a:solidFill>
              <a:effectLst/>
              <a:latin typeface="メイリオ" panose="020B0604030504040204" pitchFamily="50" charset="-128"/>
              <a:ea typeface="メイリオ" panose="020B0604030504040204" pitchFamily="50" charset="-128"/>
              <a:cs typeface="+mn-cs"/>
            </a:rPr>
            <a:t>次年度　　</a:t>
          </a:r>
          <a:r>
            <a:rPr kumimoji="1" lang="en-US" altLang="ja-JP" sz="1200">
              <a:solidFill>
                <a:schemeClr val="dk1"/>
              </a:solidFill>
              <a:effectLst/>
              <a:latin typeface="メイリオ" panose="020B0604030504040204" pitchFamily="50" charset="-128"/>
              <a:ea typeface="メイリオ" panose="020B0604030504040204" pitchFamily="50" charset="-128"/>
              <a:cs typeface="+mn-cs"/>
            </a:rPr>
            <a:t> </a:t>
          </a:r>
          <a:r>
            <a:rPr kumimoji="1" lang="ja-JP" altLang="ja-JP" sz="1200">
              <a:solidFill>
                <a:schemeClr val="dk1"/>
              </a:solidFill>
              <a:effectLst/>
              <a:latin typeface="メイリオ" panose="020B0604030504040204" pitchFamily="50" charset="-128"/>
              <a:ea typeface="メイリオ" panose="020B0604030504040204" pitchFamily="50" charset="-128"/>
              <a:cs typeface="+mn-cs"/>
            </a:rPr>
            <a:t>　橙色　　　　</a:t>
          </a:r>
          <a:endParaRPr kumimoji="1" lang="en-US" altLang="ja-JP" sz="1200">
            <a:solidFill>
              <a:sysClr val="windowText" lastClr="000000"/>
            </a:solidFill>
            <a:latin typeface="メイリオ" panose="020B0604030504040204" pitchFamily="50" charset="-128"/>
            <a:ea typeface="メイリオ"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200">
              <a:solidFill>
                <a:schemeClr val="dk1"/>
              </a:solidFill>
              <a:effectLst/>
              <a:latin typeface="メイリオ" panose="020B0604030504040204" pitchFamily="50" charset="-128"/>
              <a:ea typeface="メイリオ" panose="020B0604030504040204" pitchFamily="50" charset="-128"/>
              <a:cs typeface="+mn-cs"/>
            </a:rPr>
            <a:t>事業所排出量内訳 </a:t>
          </a:r>
          <a:r>
            <a:rPr kumimoji="1" lang="en-US" altLang="ja-JP" sz="12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200">
              <a:solidFill>
                <a:schemeClr val="dk1"/>
              </a:solidFill>
              <a:effectLst/>
              <a:latin typeface="メイリオ" panose="020B0604030504040204" pitchFamily="50" charset="-128"/>
              <a:ea typeface="メイリオ" panose="020B0604030504040204" pitchFamily="50" charset="-128"/>
              <a:cs typeface="+mn-cs"/>
            </a:rPr>
            <a:t>基準年度</a:t>
          </a:r>
          <a:r>
            <a:rPr kumimoji="1" lang="en-US" altLang="ja-JP" sz="1200">
              <a:solidFill>
                <a:schemeClr val="dk1"/>
              </a:solidFill>
              <a:effectLst/>
              <a:latin typeface="メイリオ" panose="020B0604030504040204" pitchFamily="50" charset="-128"/>
              <a:ea typeface="メイリオ" panose="020B0604030504040204" pitchFamily="50" charset="-128"/>
              <a:cs typeface="+mn-cs"/>
            </a:rPr>
            <a:t>)     F29</a:t>
          </a:r>
          <a:r>
            <a:rPr kumimoji="1" lang="ja-JP" altLang="ja-JP" sz="1200">
              <a:solidFill>
                <a:schemeClr val="dk1"/>
              </a:solidFill>
              <a:effectLst/>
              <a:latin typeface="メイリオ" panose="020B0604030504040204" pitchFamily="50" charset="-128"/>
              <a:ea typeface="メイリオ" panose="020B0604030504040204" pitchFamily="50" charset="-128"/>
              <a:cs typeface="+mn-cs"/>
            </a:rPr>
            <a:t>～</a:t>
          </a:r>
          <a:r>
            <a:rPr kumimoji="1" lang="en-US" altLang="ja-JP" sz="1200">
              <a:solidFill>
                <a:schemeClr val="dk1"/>
              </a:solidFill>
              <a:effectLst/>
              <a:latin typeface="メイリオ" panose="020B0604030504040204" pitchFamily="50" charset="-128"/>
              <a:ea typeface="メイリオ" panose="020B0604030504040204" pitchFamily="50" charset="-128"/>
              <a:cs typeface="+mn-cs"/>
            </a:rPr>
            <a:t>F35,D40</a:t>
          </a:r>
          <a:r>
            <a:rPr kumimoji="1" lang="ja-JP" altLang="ja-JP" sz="1200">
              <a:solidFill>
                <a:schemeClr val="dk1"/>
              </a:solidFill>
              <a:effectLst/>
              <a:latin typeface="メイリオ" panose="020B0604030504040204" pitchFamily="50" charset="-128"/>
              <a:ea typeface="メイリオ" panose="020B0604030504040204" pitchFamily="50" charset="-128"/>
              <a:cs typeface="+mn-cs"/>
            </a:rPr>
            <a:t>～</a:t>
          </a:r>
          <a:r>
            <a:rPr kumimoji="1" lang="en-US" altLang="ja-JP" sz="1200">
              <a:solidFill>
                <a:schemeClr val="dk1"/>
              </a:solidFill>
              <a:effectLst/>
              <a:latin typeface="メイリオ" panose="020B0604030504040204" pitchFamily="50" charset="-128"/>
              <a:ea typeface="メイリオ" panose="020B0604030504040204" pitchFamily="50" charset="-128"/>
              <a:cs typeface="+mn-cs"/>
            </a:rPr>
            <a:t>D46</a:t>
          </a:r>
          <a:r>
            <a:rPr kumimoji="1" lang="ja-JP" altLang="ja-JP" sz="1200">
              <a:solidFill>
                <a:schemeClr val="dk1"/>
              </a:solidFill>
              <a:effectLst/>
              <a:latin typeface="メイリオ" panose="020B0604030504040204" pitchFamily="50" charset="-128"/>
              <a:ea typeface="メイリオ" panose="020B0604030504040204" pitchFamily="50" charset="-128"/>
              <a:cs typeface="+mn-cs"/>
            </a:rPr>
            <a:t>　　</a:t>
          </a:r>
          <a:r>
            <a:rPr kumimoji="1" lang="en-US" altLang="ja-JP" sz="1200" baseline="0">
              <a:solidFill>
                <a:schemeClr val="dk1"/>
              </a:solidFill>
              <a:effectLst/>
              <a:latin typeface="メイリオ" panose="020B0604030504040204" pitchFamily="50" charset="-128"/>
              <a:ea typeface="メイリオ" panose="020B0604030504040204" pitchFamily="50" charset="-128"/>
              <a:cs typeface="+mn-cs"/>
            </a:rPr>
            <a:t> </a:t>
          </a:r>
          <a:r>
            <a:rPr kumimoji="1" lang="ja-JP" altLang="ja-JP" sz="1200">
              <a:solidFill>
                <a:schemeClr val="dk1"/>
              </a:solidFill>
              <a:effectLst/>
              <a:latin typeface="メイリオ" panose="020B0604030504040204" pitchFamily="50" charset="-128"/>
              <a:ea typeface="メイリオ" panose="020B0604030504040204" pitchFamily="50" charset="-128"/>
              <a:cs typeface="+mn-cs"/>
            </a:rPr>
            <a:t>次年度　　</a:t>
          </a:r>
          <a:r>
            <a:rPr kumimoji="1" lang="en-US" altLang="ja-JP" sz="1200">
              <a:solidFill>
                <a:schemeClr val="dk1"/>
              </a:solidFill>
              <a:effectLst/>
              <a:latin typeface="メイリオ" panose="020B0604030504040204" pitchFamily="50" charset="-128"/>
              <a:ea typeface="メイリオ" panose="020B0604030504040204" pitchFamily="50" charset="-128"/>
              <a:cs typeface="+mn-cs"/>
            </a:rPr>
            <a:t> </a:t>
          </a:r>
          <a:r>
            <a:rPr kumimoji="1" lang="ja-JP" altLang="ja-JP" sz="1200">
              <a:solidFill>
                <a:schemeClr val="dk1"/>
              </a:solidFill>
              <a:effectLst/>
              <a:latin typeface="メイリオ" panose="020B0604030504040204" pitchFamily="50" charset="-128"/>
              <a:ea typeface="メイリオ" panose="020B0604030504040204" pitchFamily="50" charset="-128"/>
              <a:cs typeface="+mn-cs"/>
            </a:rPr>
            <a:t>　橙色　　　　</a:t>
          </a:r>
          <a:endParaRPr lang="ja-JP" altLang="ja-JP" sz="1200">
            <a:effectLst/>
            <a:latin typeface="メイリオ" panose="020B0604030504040204" pitchFamily="50" charset="-128"/>
            <a:ea typeface="メイリオ"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200">
              <a:solidFill>
                <a:schemeClr val="dk1"/>
              </a:solidFill>
              <a:effectLst/>
              <a:latin typeface="メイリオ" panose="020B0604030504040204" pitchFamily="50" charset="-128"/>
              <a:ea typeface="メイリオ" panose="020B0604030504040204" pitchFamily="50" charset="-128"/>
              <a:cs typeface="+mn-cs"/>
            </a:rPr>
            <a:t>事業所排出量内訳 </a:t>
          </a:r>
          <a:r>
            <a:rPr kumimoji="1" lang="en-US" altLang="ja-JP" sz="12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200">
              <a:solidFill>
                <a:schemeClr val="dk1"/>
              </a:solidFill>
              <a:effectLst/>
              <a:latin typeface="メイリオ" panose="020B0604030504040204" pitchFamily="50" charset="-128"/>
              <a:ea typeface="メイリオ" panose="020B0604030504040204" pitchFamily="50" charset="-128"/>
              <a:cs typeface="+mn-cs"/>
            </a:rPr>
            <a:t>基準年度</a:t>
          </a:r>
          <a:r>
            <a:rPr kumimoji="1" lang="en-US" altLang="ja-JP" sz="1200">
              <a:solidFill>
                <a:schemeClr val="dk1"/>
              </a:solidFill>
              <a:effectLst/>
              <a:latin typeface="メイリオ" panose="020B0604030504040204" pitchFamily="50" charset="-128"/>
              <a:ea typeface="メイリオ" panose="020B0604030504040204" pitchFamily="50" charset="-128"/>
              <a:cs typeface="+mn-cs"/>
            </a:rPr>
            <a:t>)     F40</a:t>
          </a:r>
          <a:r>
            <a:rPr kumimoji="1" lang="ja-JP" altLang="ja-JP" sz="1200">
              <a:solidFill>
                <a:schemeClr val="dk1"/>
              </a:solidFill>
              <a:effectLst/>
              <a:latin typeface="メイリオ" panose="020B0604030504040204" pitchFamily="50" charset="-128"/>
              <a:ea typeface="メイリオ" panose="020B0604030504040204" pitchFamily="50" charset="-128"/>
              <a:cs typeface="+mn-cs"/>
            </a:rPr>
            <a:t>～</a:t>
          </a:r>
          <a:r>
            <a:rPr kumimoji="1" lang="en-US" altLang="ja-JP" sz="1200">
              <a:solidFill>
                <a:schemeClr val="dk1"/>
              </a:solidFill>
              <a:effectLst/>
              <a:latin typeface="メイリオ" panose="020B0604030504040204" pitchFamily="50" charset="-128"/>
              <a:ea typeface="メイリオ" panose="020B0604030504040204" pitchFamily="50" charset="-128"/>
              <a:cs typeface="+mn-cs"/>
            </a:rPr>
            <a:t>F46,E51</a:t>
          </a:r>
          <a:r>
            <a:rPr kumimoji="1" lang="ja-JP" altLang="ja-JP" sz="1200">
              <a:solidFill>
                <a:schemeClr val="dk1"/>
              </a:solidFill>
              <a:effectLst/>
              <a:latin typeface="メイリオ" panose="020B0604030504040204" pitchFamily="50" charset="-128"/>
              <a:ea typeface="メイリオ" panose="020B0604030504040204" pitchFamily="50" charset="-128"/>
              <a:cs typeface="+mn-cs"/>
            </a:rPr>
            <a:t>～</a:t>
          </a:r>
          <a:r>
            <a:rPr kumimoji="1" lang="en-US" altLang="ja-JP" sz="1200">
              <a:solidFill>
                <a:schemeClr val="dk1"/>
              </a:solidFill>
              <a:effectLst/>
              <a:latin typeface="メイリオ" panose="020B0604030504040204" pitchFamily="50" charset="-128"/>
              <a:ea typeface="メイリオ" panose="020B0604030504040204" pitchFamily="50" charset="-128"/>
              <a:cs typeface="+mn-cs"/>
            </a:rPr>
            <a:t>E53 </a:t>
          </a:r>
          <a:r>
            <a:rPr kumimoji="1" lang="ja-JP" altLang="ja-JP" sz="1200">
              <a:solidFill>
                <a:schemeClr val="dk1"/>
              </a:solidFill>
              <a:effectLst/>
              <a:latin typeface="メイリオ" panose="020B0604030504040204" pitchFamily="50" charset="-128"/>
              <a:ea typeface="メイリオ" panose="020B0604030504040204" pitchFamily="50" charset="-128"/>
              <a:cs typeface="+mn-cs"/>
            </a:rPr>
            <a:t>　　</a:t>
          </a:r>
          <a:r>
            <a:rPr kumimoji="1" lang="en-US" altLang="ja-JP" sz="1200" baseline="0">
              <a:solidFill>
                <a:schemeClr val="dk1"/>
              </a:solidFill>
              <a:effectLst/>
              <a:latin typeface="メイリオ" panose="020B0604030504040204" pitchFamily="50" charset="-128"/>
              <a:ea typeface="メイリオ" panose="020B0604030504040204" pitchFamily="50" charset="-128"/>
              <a:cs typeface="+mn-cs"/>
            </a:rPr>
            <a:t> </a:t>
          </a:r>
          <a:r>
            <a:rPr kumimoji="1" lang="ja-JP" altLang="ja-JP" sz="1200">
              <a:solidFill>
                <a:schemeClr val="dk1"/>
              </a:solidFill>
              <a:effectLst/>
              <a:latin typeface="メイリオ" panose="020B0604030504040204" pitchFamily="50" charset="-128"/>
              <a:ea typeface="メイリオ" panose="020B0604030504040204" pitchFamily="50" charset="-128"/>
              <a:cs typeface="+mn-cs"/>
            </a:rPr>
            <a:t>次年度　　</a:t>
          </a:r>
          <a:r>
            <a:rPr kumimoji="1" lang="en-US" altLang="ja-JP" sz="1200">
              <a:solidFill>
                <a:schemeClr val="dk1"/>
              </a:solidFill>
              <a:effectLst/>
              <a:latin typeface="メイリオ" panose="020B0604030504040204" pitchFamily="50" charset="-128"/>
              <a:ea typeface="メイリオ" panose="020B0604030504040204" pitchFamily="50" charset="-128"/>
              <a:cs typeface="+mn-cs"/>
            </a:rPr>
            <a:t> </a:t>
          </a:r>
          <a:r>
            <a:rPr kumimoji="1" lang="ja-JP" altLang="ja-JP" sz="1200">
              <a:solidFill>
                <a:schemeClr val="dk1"/>
              </a:solidFill>
              <a:effectLst/>
              <a:latin typeface="メイリオ" panose="020B0604030504040204" pitchFamily="50" charset="-128"/>
              <a:ea typeface="メイリオ" panose="020B0604030504040204" pitchFamily="50" charset="-128"/>
              <a:cs typeface="+mn-cs"/>
            </a:rPr>
            <a:t>　橙色　　　　</a:t>
          </a:r>
          <a:endParaRPr lang="ja-JP" altLang="ja-JP" sz="1200">
            <a:effectLst/>
            <a:latin typeface="メイリオ" panose="020B0604030504040204" pitchFamily="50" charset="-128"/>
            <a:ea typeface="メイリオ"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200">
              <a:solidFill>
                <a:schemeClr val="dk1"/>
              </a:solidFill>
              <a:effectLst/>
              <a:latin typeface="メイリオ" panose="020B0604030504040204" pitchFamily="50" charset="-128"/>
              <a:ea typeface="メイリオ" panose="020B0604030504040204" pitchFamily="50" charset="-128"/>
              <a:cs typeface="+mn-cs"/>
            </a:rPr>
            <a:t>事業所排出量内訳 </a:t>
          </a:r>
          <a:r>
            <a:rPr kumimoji="1" lang="en-US" altLang="ja-JP" sz="12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200">
              <a:solidFill>
                <a:schemeClr val="dk1"/>
              </a:solidFill>
              <a:effectLst/>
              <a:latin typeface="メイリオ" panose="020B0604030504040204" pitchFamily="50" charset="-128"/>
              <a:ea typeface="メイリオ" panose="020B0604030504040204" pitchFamily="50" charset="-128"/>
              <a:cs typeface="+mn-cs"/>
            </a:rPr>
            <a:t>基準年度</a:t>
          </a:r>
          <a:r>
            <a:rPr kumimoji="1" lang="en-US" altLang="ja-JP" sz="1200">
              <a:solidFill>
                <a:schemeClr val="dk1"/>
              </a:solidFill>
              <a:effectLst/>
              <a:latin typeface="メイリオ" panose="020B0604030504040204" pitchFamily="50" charset="-128"/>
              <a:ea typeface="メイリオ" panose="020B0604030504040204" pitchFamily="50" charset="-128"/>
              <a:cs typeface="+mn-cs"/>
            </a:rPr>
            <a:t>)     M18</a:t>
          </a:r>
          <a:r>
            <a:rPr kumimoji="1" lang="ja-JP" altLang="ja-JP" sz="1200">
              <a:solidFill>
                <a:schemeClr val="dk1"/>
              </a:solidFill>
              <a:effectLst/>
              <a:latin typeface="メイリオ" panose="020B0604030504040204" pitchFamily="50" charset="-128"/>
              <a:ea typeface="メイリオ" panose="020B0604030504040204" pitchFamily="50" charset="-128"/>
              <a:cs typeface="+mn-cs"/>
            </a:rPr>
            <a:t>～</a:t>
          </a:r>
          <a:r>
            <a:rPr kumimoji="1" lang="en-US" altLang="ja-JP" sz="1200">
              <a:solidFill>
                <a:schemeClr val="dk1"/>
              </a:solidFill>
              <a:effectLst/>
              <a:latin typeface="メイリオ" panose="020B0604030504040204" pitchFamily="50" charset="-128"/>
              <a:ea typeface="メイリオ" panose="020B0604030504040204" pitchFamily="50" charset="-128"/>
              <a:cs typeface="+mn-cs"/>
            </a:rPr>
            <a:t>N22</a:t>
          </a:r>
          <a:r>
            <a:rPr kumimoji="1" lang="ja-JP" altLang="ja-JP" sz="1200">
              <a:solidFill>
                <a:schemeClr val="dk1"/>
              </a:solidFill>
              <a:effectLst/>
              <a:latin typeface="メイリオ" panose="020B0604030504040204" pitchFamily="50" charset="-128"/>
              <a:ea typeface="メイリオ" panose="020B0604030504040204" pitchFamily="50" charset="-128"/>
              <a:cs typeface="+mn-cs"/>
            </a:rPr>
            <a:t>　　</a:t>
          </a:r>
          <a:r>
            <a:rPr kumimoji="1" lang="en-US" altLang="ja-JP" sz="1200" baseline="0">
              <a:solidFill>
                <a:schemeClr val="dk1"/>
              </a:solidFill>
              <a:effectLst/>
              <a:latin typeface="メイリオ" panose="020B0604030504040204" pitchFamily="50" charset="-128"/>
              <a:ea typeface="メイリオ" panose="020B0604030504040204" pitchFamily="50" charset="-128"/>
              <a:cs typeface="+mn-cs"/>
            </a:rPr>
            <a:t>                </a:t>
          </a:r>
          <a:r>
            <a:rPr kumimoji="1" lang="ja-JP" altLang="ja-JP" sz="1200">
              <a:solidFill>
                <a:schemeClr val="dk1"/>
              </a:solidFill>
              <a:effectLst/>
              <a:latin typeface="メイリオ" panose="020B0604030504040204" pitchFamily="50" charset="-128"/>
              <a:ea typeface="メイリオ" panose="020B0604030504040204" pitchFamily="50" charset="-128"/>
              <a:cs typeface="+mn-cs"/>
            </a:rPr>
            <a:t>次年度　　</a:t>
          </a:r>
          <a:r>
            <a:rPr kumimoji="1" lang="en-US" altLang="ja-JP" sz="1200">
              <a:solidFill>
                <a:schemeClr val="dk1"/>
              </a:solidFill>
              <a:effectLst/>
              <a:latin typeface="メイリオ" panose="020B0604030504040204" pitchFamily="50" charset="-128"/>
              <a:ea typeface="メイリオ" panose="020B0604030504040204" pitchFamily="50" charset="-128"/>
              <a:cs typeface="+mn-cs"/>
            </a:rPr>
            <a:t> </a:t>
          </a:r>
          <a:r>
            <a:rPr kumimoji="1" lang="ja-JP" altLang="ja-JP" sz="1200">
              <a:solidFill>
                <a:schemeClr val="dk1"/>
              </a:solidFill>
              <a:effectLst/>
              <a:latin typeface="メイリオ" panose="020B0604030504040204" pitchFamily="50" charset="-128"/>
              <a:ea typeface="メイリオ" panose="020B0604030504040204" pitchFamily="50" charset="-128"/>
              <a:cs typeface="+mn-cs"/>
            </a:rPr>
            <a:t>　橙色　　　　</a:t>
          </a:r>
          <a:endParaRPr kumimoji="1" lang="en-US" altLang="ja-JP" sz="1200">
            <a:solidFill>
              <a:schemeClr val="dk1"/>
            </a:solidFill>
            <a:effectLst/>
            <a:latin typeface="メイリオ" panose="020B0604030504040204" pitchFamily="50" charset="-128"/>
            <a:ea typeface="メイリオ"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200">
              <a:solidFill>
                <a:schemeClr val="dk1"/>
              </a:solidFill>
              <a:effectLst/>
              <a:latin typeface="メイリオ" panose="020B0604030504040204" pitchFamily="50" charset="-128"/>
              <a:ea typeface="メイリオ" panose="020B0604030504040204" pitchFamily="50" charset="-128"/>
              <a:cs typeface="+mn-cs"/>
            </a:rPr>
            <a:t>事業所排出量内訳 </a:t>
          </a:r>
          <a:r>
            <a:rPr kumimoji="1" lang="en-US" altLang="ja-JP" sz="12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200">
              <a:solidFill>
                <a:schemeClr val="dk1"/>
              </a:solidFill>
              <a:effectLst/>
              <a:latin typeface="メイリオ" panose="020B0604030504040204" pitchFamily="50" charset="-128"/>
              <a:ea typeface="メイリオ" panose="020B0604030504040204" pitchFamily="50" charset="-128"/>
              <a:cs typeface="+mn-cs"/>
            </a:rPr>
            <a:t>基準年度</a:t>
          </a:r>
          <a:r>
            <a:rPr kumimoji="1" lang="en-US" altLang="ja-JP" sz="1200">
              <a:solidFill>
                <a:schemeClr val="dk1"/>
              </a:solidFill>
              <a:effectLst/>
              <a:latin typeface="メイリオ" panose="020B0604030504040204" pitchFamily="50" charset="-128"/>
              <a:ea typeface="メイリオ" panose="020B0604030504040204" pitchFamily="50" charset="-128"/>
              <a:cs typeface="+mn-cs"/>
            </a:rPr>
            <a:t>)     N31,O31,P31</a:t>
          </a:r>
          <a:r>
            <a:rPr kumimoji="1" lang="ja-JP" altLang="ja-JP" sz="1200">
              <a:solidFill>
                <a:schemeClr val="dk1"/>
              </a:solidFill>
              <a:effectLst/>
              <a:latin typeface="メイリオ" panose="020B0604030504040204" pitchFamily="50" charset="-128"/>
              <a:ea typeface="メイリオ" panose="020B0604030504040204" pitchFamily="50" charset="-128"/>
              <a:cs typeface="+mn-cs"/>
            </a:rPr>
            <a:t>　　</a:t>
          </a:r>
          <a:r>
            <a:rPr kumimoji="1" lang="en-US" altLang="ja-JP" sz="1200" baseline="0">
              <a:solidFill>
                <a:schemeClr val="dk1"/>
              </a:solidFill>
              <a:effectLst/>
              <a:latin typeface="メイリオ" panose="020B0604030504040204" pitchFamily="50" charset="-128"/>
              <a:ea typeface="メイリオ" panose="020B0604030504040204" pitchFamily="50" charset="-128"/>
              <a:cs typeface="+mn-cs"/>
            </a:rPr>
            <a:t>            </a:t>
          </a:r>
          <a:r>
            <a:rPr kumimoji="1" lang="ja-JP" altLang="ja-JP" sz="1200">
              <a:solidFill>
                <a:schemeClr val="dk1"/>
              </a:solidFill>
              <a:effectLst/>
              <a:latin typeface="メイリオ" panose="020B0604030504040204" pitchFamily="50" charset="-128"/>
              <a:ea typeface="メイリオ" panose="020B0604030504040204" pitchFamily="50" charset="-128"/>
              <a:cs typeface="+mn-cs"/>
            </a:rPr>
            <a:t>次年度　　</a:t>
          </a:r>
          <a:r>
            <a:rPr kumimoji="1" lang="en-US" altLang="ja-JP" sz="1200">
              <a:solidFill>
                <a:schemeClr val="dk1"/>
              </a:solidFill>
              <a:effectLst/>
              <a:latin typeface="メイリオ" panose="020B0604030504040204" pitchFamily="50" charset="-128"/>
              <a:ea typeface="メイリオ" panose="020B0604030504040204" pitchFamily="50" charset="-128"/>
              <a:cs typeface="+mn-cs"/>
            </a:rPr>
            <a:t> </a:t>
          </a:r>
          <a:r>
            <a:rPr kumimoji="1" lang="ja-JP" altLang="ja-JP" sz="1200">
              <a:solidFill>
                <a:schemeClr val="dk1"/>
              </a:solidFill>
              <a:effectLst/>
              <a:latin typeface="メイリオ" panose="020B0604030504040204" pitchFamily="50" charset="-128"/>
              <a:ea typeface="メイリオ" panose="020B0604030504040204" pitchFamily="50" charset="-128"/>
              <a:cs typeface="+mn-cs"/>
            </a:rPr>
            <a:t>　橙色　　　　</a:t>
          </a:r>
          <a:endParaRPr lang="ja-JP" altLang="ja-JP" sz="1200">
            <a:effectLst/>
            <a:latin typeface="メイリオ" panose="020B0604030504040204" pitchFamily="50" charset="-128"/>
            <a:ea typeface="メイリオ" panose="020B0604030504040204" pitchFamily="50" charset="-128"/>
          </a:endParaRPr>
        </a:p>
        <a:p>
          <a:r>
            <a:rPr kumimoji="1" lang="ja-JP" altLang="ja-JP" sz="1200">
              <a:solidFill>
                <a:schemeClr val="dk1"/>
              </a:solidFill>
              <a:effectLst/>
              <a:latin typeface="メイリオ" panose="020B0604030504040204" pitchFamily="50" charset="-128"/>
              <a:ea typeface="メイリオ" panose="020B0604030504040204" pitchFamily="50" charset="-128"/>
              <a:cs typeface="+mn-cs"/>
            </a:rPr>
            <a:t>事業所排出量内訳 </a:t>
          </a:r>
          <a:r>
            <a:rPr kumimoji="1" lang="en-US" altLang="ja-JP" sz="12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200">
              <a:solidFill>
                <a:schemeClr val="dk1"/>
              </a:solidFill>
              <a:effectLst/>
              <a:latin typeface="メイリオ" panose="020B0604030504040204" pitchFamily="50" charset="-128"/>
              <a:ea typeface="メイリオ" panose="020B0604030504040204" pitchFamily="50" charset="-128"/>
              <a:cs typeface="+mn-cs"/>
            </a:rPr>
            <a:t>基準年度</a:t>
          </a:r>
          <a:r>
            <a:rPr kumimoji="1" lang="en-US" altLang="ja-JP" sz="1200">
              <a:solidFill>
                <a:schemeClr val="dk1"/>
              </a:solidFill>
              <a:effectLst/>
              <a:latin typeface="メイリオ" panose="020B0604030504040204" pitchFamily="50" charset="-128"/>
              <a:ea typeface="メイリオ" panose="020B0604030504040204" pitchFamily="50" charset="-128"/>
              <a:cs typeface="+mn-cs"/>
            </a:rPr>
            <a:t>)     M34</a:t>
          </a:r>
          <a:r>
            <a:rPr kumimoji="1" lang="ja-JP" altLang="ja-JP" sz="1200">
              <a:solidFill>
                <a:schemeClr val="dk1"/>
              </a:solidFill>
              <a:effectLst/>
              <a:latin typeface="メイリオ" panose="020B0604030504040204" pitchFamily="50" charset="-128"/>
              <a:ea typeface="メイリオ" panose="020B0604030504040204" pitchFamily="50" charset="-128"/>
              <a:cs typeface="+mn-cs"/>
            </a:rPr>
            <a:t>～</a:t>
          </a:r>
          <a:r>
            <a:rPr kumimoji="1" lang="en-US" altLang="ja-JP" sz="1200">
              <a:solidFill>
                <a:schemeClr val="dk1"/>
              </a:solidFill>
              <a:effectLst/>
              <a:latin typeface="メイリオ" panose="020B0604030504040204" pitchFamily="50" charset="-128"/>
              <a:ea typeface="メイリオ" panose="020B0604030504040204" pitchFamily="50" charset="-128"/>
              <a:cs typeface="+mn-cs"/>
            </a:rPr>
            <a:t>O43</a:t>
          </a:r>
          <a:r>
            <a:rPr kumimoji="1" lang="ja-JP" altLang="ja-JP" sz="1200">
              <a:solidFill>
                <a:schemeClr val="dk1"/>
              </a:solidFill>
              <a:effectLst/>
              <a:latin typeface="メイリオ" panose="020B0604030504040204" pitchFamily="50" charset="-128"/>
              <a:ea typeface="メイリオ" panose="020B0604030504040204" pitchFamily="50" charset="-128"/>
              <a:cs typeface="+mn-cs"/>
            </a:rPr>
            <a:t>　　</a:t>
          </a:r>
          <a:r>
            <a:rPr kumimoji="1" lang="en-US" altLang="ja-JP" sz="1200">
              <a:solidFill>
                <a:schemeClr val="dk1"/>
              </a:solidFill>
              <a:effectLst/>
              <a:latin typeface="メイリオ" panose="020B0604030504040204" pitchFamily="50" charset="-128"/>
              <a:ea typeface="メイリオ" panose="020B0604030504040204" pitchFamily="50" charset="-128"/>
              <a:cs typeface="+mn-cs"/>
            </a:rPr>
            <a:t>               </a:t>
          </a:r>
          <a:r>
            <a:rPr kumimoji="1" lang="en-US" altLang="ja-JP" sz="1200" baseline="0">
              <a:solidFill>
                <a:schemeClr val="dk1"/>
              </a:solidFill>
              <a:effectLst/>
              <a:latin typeface="メイリオ" panose="020B0604030504040204" pitchFamily="50" charset="-128"/>
              <a:ea typeface="メイリオ" panose="020B0604030504040204" pitchFamily="50" charset="-128"/>
              <a:cs typeface="+mn-cs"/>
            </a:rPr>
            <a:t> </a:t>
          </a:r>
          <a:r>
            <a:rPr kumimoji="1" lang="ja-JP" altLang="ja-JP" sz="1200">
              <a:solidFill>
                <a:schemeClr val="dk1"/>
              </a:solidFill>
              <a:effectLst/>
              <a:latin typeface="メイリオ" panose="020B0604030504040204" pitchFamily="50" charset="-128"/>
              <a:ea typeface="メイリオ" panose="020B0604030504040204" pitchFamily="50" charset="-128"/>
              <a:cs typeface="+mn-cs"/>
            </a:rPr>
            <a:t>次年度　　</a:t>
          </a:r>
          <a:r>
            <a:rPr kumimoji="1" lang="en-US" altLang="ja-JP" sz="1200">
              <a:solidFill>
                <a:schemeClr val="dk1"/>
              </a:solidFill>
              <a:effectLst/>
              <a:latin typeface="メイリオ" panose="020B0604030504040204" pitchFamily="50" charset="-128"/>
              <a:ea typeface="メイリオ" panose="020B0604030504040204" pitchFamily="50" charset="-128"/>
              <a:cs typeface="+mn-cs"/>
            </a:rPr>
            <a:t> </a:t>
          </a:r>
          <a:r>
            <a:rPr kumimoji="1" lang="ja-JP" altLang="ja-JP" sz="1200">
              <a:solidFill>
                <a:schemeClr val="dk1"/>
              </a:solidFill>
              <a:effectLst/>
              <a:latin typeface="メイリオ" panose="020B0604030504040204" pitchFamily="50" charset="-128"/>
              <a:ea typeface="メイリオ" panose="020B0604030504040204" pitchFamily="50" charset="-128"/>
              <a:cs typeface="+mn-cs"/>
            </a:rPr>
            <a:t>　橙色　　</a:t>
          </a:r>
          <a:endParaRPr kumimoji="1" lang="ja-JP" altLang="en-US" sz="1200">
            <a:latin typeface="メイリオ" panose="020B0604030504040204" pitchFamily="50" charset="-128"/>
            <a:ea typeface="メイリオ" panose="020B0604030504040204" pitchFamily="50" charset="-128"/>
          </a:endParaRPr>
        </a:p>
      </xdr:txBody>
    </xdr:sp>
    <xdr:clientData/>
  </xdr:twoCellAnchor>
  <xdr:twoCellAnchor>
    <xdr:from>
      <xdr:col>21</xdr:col>
      <xdr:colOff>273423</xdr:colOff>
      <xdr:row>1</xdr:row>
      <xdr:rowOff>92785</xdr:rowOff>
    </xdr:from>
    <xdr:to>
      <xdr:col>33</xdr:col>
      <xdr:colOff>393999</xdr:colOff>
      <xdr:row>43</xdr:row>
      <xdr:rowOff>109484</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8655423" y="92785"/>
          <a:ext cx="6384216" cy="101817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a:solidFill>
                <a:schemeClr val="dk1"/>
              </a:solidFill>
              <a:effectLst/>
              <a:latin typeface="メイリオ" panose="020B0604030504040204" pitchFamily="50" charset="-128"/>
              <a:ea typeface="メイリオ" panose="020B0604030504040204" pitchFamily="50" charset="-128"/>
              <a:cs typeface="+mn-cs"/>
            </a:rPr>
            <a:t>本様式は、第二計画期間（</a:t>
          </a:r>
          <a:r>
            <a:rPr lang="en-US" altLang="ja-JP" sz="1100">
              <a:solidFill>
                <a:schemeClr val="dk1"/>
              </a:solidFill>
              <a:effectLst/>
              <a:latin typeface="メイリオ" panose="020B0604030504040204" pitchFamily="50" charset="-128"/>
              <a:ea typeface="メイリオ" panose="020B0604030504040204" pitchFamily="50" charset="-128"/>
              <a:cs typeface="+mn-cs"/>
            </a:rPr>
            <a:t>2023</a:t>
          </a:r>
          <a:r>
            <a:rPr lang="ja-JP" altLang="en-US" sz="1100">
              <a:solidFill>
                <a:schemeClr val="dk1"/>
              </a:solidFill>
              <a:effectLst/>
              <a:latin typeface="メイリオ" panose="020B0604030504040204" pitchFamily="50" charset="-128"/>
              <a:ea typeface="メイリオ" panose="020B0604030504040204" pitchFamily="50" charset="-128"/>
              <a:cs typeface="+mn-cs"/>
            </a:rPr>
            <a:t>年～</a:t>
          </a:r>
          <a:r>
            <a:rPr lang="en-US" altLang="ja-JP" sz="1100">
              <a:solidFill>
                <a:schemeClr val="dk1"/>
              </a:solidFill>
              <a:effectLst/>
              <a:latin typeface="メイリオ" panose="020B0604030504040204" pitchFamily="50" charset="-128"/>
              <a:ea typeface="メイリオ" panose="020B0604030504040204" pitchFamily="50" charset="-128"/>
              <a:cs typeface="+mn-cs"/>
            </a:rPr>
            <a:t>2025</a:t>
          </a:r>
          <a:r>
            <a:rPr lang="ja-JP" altLang="en-US" sz="1100">
              <a:solidFill>
                <a:schemeClr val="dk1"/>
              </a:solidFill>
              <a:effectLst/>
              <a:latin typeface="メイリオ" panose="020B0604030504040204" pitchFamily="50" charset="-128"/>
              <a:ea typeface="メイリオ" panose="020B0604030504040204" pitchFamily="50" charset="-128"/>
              <a:cs typeface="+mn-cs"/>
            </a:rPr>
            <a:t>年参加事業者）の計画書・報告書支援ツールです。</a:t>
          </a:r>
          <a:endParaRPr lang="en-US" altLang="ja-JP" sz="1100">
            <a:solidFill>
              <a:schemeClr val="dk1"/>
            </a:solidFill>
            <a:effectLst/>
            <a:latin typeface="メイリオ" panose="020B0604030504040204" pitchFamily="50" charset="-128"/>
            <a:ea typeface="メイリオ" panose="020B0604030504040204" pitchFamily="50" charset="-128"/>
            <a:cs typeface="+mn-cs"/>
          </a:endParaRPr>
        </a:p>
        <a:p>
          <a:r>
            <a:rPr lang="ja-JP" altLang="en-US" sz="1100">
              <a:solidFill>
                <a:schemeClr val="dk1"/>
              </a:solidFill>
              <a:effectLst/>
              <a:latin typeface="メイリオ" panose="020B0604030504040204" pitchFamily="50" charset="-128"/>
              <a:ea typeface="メイリオ" panose="020B0604030504040204" pitchFamily="50" charset="-128"/>
              <a:cs typeface="+mn-cs"/>
            </a:rPr>
            <a:t>報告年度によって記入するシートは異なります。</a:t>
          </a:r>
          <a:endParaRPr lang="en-US" altLang="ja-JP" sz="1100">
            <a:solidFill>
              <a:schemeClr val="dk1"/>
            </a:solidFill>
            <a:effectLst/>
            <a:latin typeface="メイリオ" panose="020B0604030504040204" pitchFamily="50" charset="-128"/>
            <a:ea typeface="メイリオ" panose="020B0604030504040204" pitchFamily="50" charset="-128"/>
            <a:cs typeface="+mn-cs"/>
          </a:endParaRPr>
        </a:p>
        <a:p>
          <a:r>
            <a:rPr lang="ja-JP" altLang="en-US" sz="1100">
              <a:solidFill>
                <a:schemeClr val="dk1"/>
              </a:solidFill>
              <a:effectLst/>
              <a:latin typeface="メイリオ" panose="020B0604030504040204" pitchFamily="50" charset="-128"/>
              <a:ea typeface="メイリオ" panose="020B0604030504040204" pitchFamily="50" charset="-128"/>
              <a:cs typeface="+mn-cs"/>
            </a:rPr>
            <a:t>下記のとおり、該当</a:t>
          </a:r>
          <a:r>
            <a:rPr lang="ja-JP" altLang="ja-JP" sz="1100">
              <a:solidFill>
                <a:schemeClr val="dk1"/>
              </a:solidFill>
              <a:effectLst/>
              <a:latin typeface="メイリオ" panose="020B0604030504040204" pitchFamily="50" charset="-128"/>
              <a:ea typeface="メイリオ" panose="020B0604030504040204" pitchFamily="50" charset="-128"/>
              <a:cs typeface="+mn-cs"/>
            </a:rPr>
            <a:t>年度の入力シート</a:t>
          </a:r>
          <a:r>
            <a:rPr lang="ja-JP" altLang="en-US" sz="1100">
              <a:solidFill>
                <a:schemeClr val="dk1"/>
              </a:solidFill>
              <a:effectLst/>
              <a:latin typeface="メイリオ" panose="020B0604030504040204" pitchFamily="50" charset="-128"/>
              <a:ea typeface="メイリオ" panose="020B0604030504040204" pitchFamily="50" charset="-128"/>
              <a:cs typeface="+mn-cs"/>
            </a:rPr>
            <a:t>に必要事項をご記入ください。</a:t>
          </a:r>
          <a:endParaRPr lang="en-US" altLang="ja-JP" sz="1100">
            <a:solidFill>
              <a:schemeClr val="dk1"/>
            </a:solidFill>
            <a:effectLst/>
            <a:latin typeface="メイリオ" panose="020B0604030504040204" pitchFamily="50" charset="-128"/>
            <a:ea typeface="メイリオ" panose="020B0604030504040204" pitchFamily="50" charset="-128"/>
            <a:cs typeface="+mn-cs"/>
          </a:endParaRPr>
        </a:p>
        <a:p>
          <a:r>
            <a:rPr lang="ja-JP" altLang="en-US" sz="1100">
              <a:solidFill>
                <a:schemeClr val="dk1"/>
              </a:solidFill>
              <a:effectLst/>
              <a:latin typeface="メイリオ" panose="020B0604030504040204" pitchFamily="50" charset="-128"/>
              <a:ea typeface="メイリオ" panose="020B0604030504040204" pitchFamily="50" charset="-128"/>
              <a:cs typeface="+mn-cs"/>
            </a:rPr>
            <a:t>（</a:t>
          </a:r>
          <a:r>
            <a:rPr lang="ja-JP" altLang="en-US" sz="1100">
              <a:solidFill>
                <a:srgbClr val="FF0000"/>
              </a:solidFill>
              <a:effectLst/>
              <a:latin typeface="メイリオ" panose="020B0604030504040204" pitchFamily="50" charset="-128"/>
              <a:ea typeface="メイリオ" panose="020B0604030504040204" pitchFamily="50" charset="-128"/>
              <a:cs typeface="+mn-cs"/>
            </a:rPr>
            <a:t>過年度に報告した温室効果ガス排出量や取組内容は、変更しないでください</a:t>
          </a:r>
          <a:r>
            <a:rPr lang="ja-JP" altLang="en-US" sz="1100">
              <a:solidFill>
                <a:schemeClr val="dk1"/>
              </a:solidFill>
              <a:effectLst/>
              <a:latin typeface="メイリオ" panose="020B0604030504040204" pitchFamily="50" charset="-128"/>
              <a:ea typeface="メイリオ" panose="020B0604030504040204" pitchFamily="50" charset="-128"/>
              <a:cs typeface="+mn-cs"/>
            </a:rPr>
            <a:t>）。</a:t>
          </a:r>
          <a:endParaRPr lang="ja-JP" altLang="ja-JP" sz="1100">
            <a:solidFill>
              <a:schemeClr val="dk1"/>
            </a:solidFill>
            <a:effectLst/>
            <a:latin typeface="メイリオ" panose="020B0604030504040204" pitchFamily="50" charset="-128"/>
            <a:ea typeface="メイリオ" panose="020B0604030504040204" pitchFamily="50" charset="-128"/>
            <a:cs typeface="+mn-cs"/>
          </a:endParaRPr>
        </a:p>
        <a:p>
          <a:r>
            <a:rPr lang="en-US" altLang="ja-JP" sz="1100">
              <a:solidFill>
                <a:schemeClr val="dk1"/>
              </a:solidFill>
              <a:effectLst/>
              <a:latin typeface="メイリオ" panose="020B0604030504040204" pitchFamily="50" charset="-128"/>
              <a:ea typeface="メイリオ" panose="020B0604030504040204" pitchFamily="50" charset="-128"/>
              <a:cs typeface="+mn-cs"/>
            </a:rPr>
            <a:t> </a:t>
          </a:r>
          <a:endParaRPr lang="ja-JP" altLang="ja-JP" sz="1100">
            <a:solidFill>
              <a:schemeClr val="dk1"/>
            </a:solidFill>
            <a:effectLst/>
            <a:latin typeface="メイリオ" panose="020B0604030504040204" pitchFamily="50" charset="-128"/>
            <a:ea typeface="メイリオ" panose="020B0604030504040204" pitchFamily="50" charset="-128"/>
            <a:cs typeface="+mn-cs"/>
          </a:endParaRPr>
        </a:p>
        <a:p>
          <a:r>
            <a:rPr lang="ja-JP" altLang="en-US" sz="1100" b="1" cap="all">
              <a:solidFill>
                <a:schemeClr val="dk1"/>
              </a:solidFill>
              <a:effectLst/>
              <a:latin typeface="メイリオ" panose="020B0604030504040204" pitchFamily="50" charset="-128"/>
              <a:ea typeface="メイリオ" panose="020B0604030504040204" pitchFamily="50" charset="-128"/>
              <a:cs typeface="+mn-cs"/>
            </a:rPr>
            <a:t>●</a:t>
          </a:r>
          <a:r>
            <a:rPr lang="ja-JP" altLang="ja-JP" sz="1100" b="1" cap="all">
              <a:solidFill>
                <a:schemeClr val="dk1"/>
              </a:solidFill>
              <a:effectLst/>
              <a:latin typeface="メイリオ" panose="020B0604030504040204" pitchFamily="50" charset="-128"/>
              <a:ea typeface="メイリオ" panose="020B0604030504040204" pitchFamily="50" charset="-128"/>
              <a:cs typeface="+mn-cs"/>
            </a:rPr>
            <a:t>基準年度</a:t>
          </a:r>
          <a:endParaRPr lang="ja-JP" altLang="ja-JP" sz="1100">
            <a:solidFill>
              <a:schemeClr val="dk1"/>
            </a:solidFill>
            <a:effectLst/>
            <a:latin typeface="メイリオ" panose="020B0604030504040204" pitchFamily="50" charset="-128"/>
            <a:ea typeface="メイリオ" panose="020B0604030504040204" pitchFamily="50" charset="-128"/>
            <a:cs typeface="+mn-cs"/>
          </a:endParaRPr>
        </a:p>
        <a:p>
          <a:r>
            <a:rPr lang="ja-JP" altLang="ja-JP" sz="1100">
              <a:solidFill>
                <a:schemeClr val="dk1"/>
              </a:solidFill>
              <a:effectLst/>
              <a:latin typeface="メイリオ" panose="020B0604030504040204" pitchFamily="50" charset="-128"/>
              <a:ea typeface="メイリオ" panose="020B0604030504040204" pitchFamily="50" charset="-128"/>
              <a:cs typeface="+mn-cs"/>
            </a:rPr>
            <a:t>はじめに</a:t>
          </a:r>
        </a:p>
        <a:p>
          <a:r>
            <a:rPr lang="ja-JP" altLang="ja-JP" sz="1100">
              <a:solidFill>
                <a:schemeClr val="dk1"/>
              </a:solidFill>
              <a:effectLst/>
              <a:latin typeface="メイリオ" panose="020B0604030504040204" pitchFamily="50" charset="-128"/>
              <a:ea typeface="メイリオ" panose="020B0604030504040204" pitchFamily="50" charset="-128"/>
              <a:cs typeface="+mn-cs"/>
            </a:rPr>
            <a:t>計画書①（事業所概要・目標）</a:t>
          </a:r>
        </a:p>
        <a:p>
          <a:r>
            <a:rPr lang="ja-JP" altLang="ja-JP" sz="1100">
              <a:solidFill>
                <a:schemeClr val="dk1"/>
              </a:solidFill>
              <a:effectLst/>
              <a:latin typeface="メイリオ" panose="020B0604030504040204" pitchFamily="50" charset="-128"/>
              <a:ea typeface="メイリオ" panose="020B0604030504040204" pitchFamily="50" charset="-128"/>
              <a:cs typeface="+mn-cs"/>
            </a:rPr>
            <a:t>計画書②</a:t>
          </a:r>
          <a:r>
            <a:rPr lang="en-US" altLang="ja-JP" sz="1100">
              <a:solidFill>
                <a:schemeClr val="dk1"/>
              </a:solidFill>
              <a:effectLst/>
              <a:latin typeface="メイリオ" panose="020B0604030504040204" pitchFamily="50" charset="-128"/>
              <a:ea typeface="メイリオ" panose="020B0604030504040204" pitchFamily="50" charset="-128"/>
              <a:cs typeface="+mn-cs"/>
            </a:rPr>
            <a:t> (</a:t>
          </a:r>
          <a:r>
            <a:rPr lang="ja-JP" altLang="ja-JP" sz="1100">
              <a:solidFill>
                <a:schemeClr val="dk1"/>
              </a:solidFill>
              <a:effectLst/>
              <a:latin typeface="メイリオ" panose="020B0604030504040204" pitchFamily="50" charset="-128"/>
              <a:ea typeface="メイリオ" panose="020B0604030504040204" pitchFamily="50" charset="-128"/>
              <a:cs typeface="+mn-cs"/>
            </a:rPr>
            <a:t>取組）</a:t>
          </a:r>
        </a:p>
        <a:p>
          <a:r>
            <a:rPr lang="ja-JP" altLang="ja-JP" sz="1100">
              <a:solidFill>
                <a:schemeClr val="dk1"/>
              </a:solidFill>
              <a:effectLst/>
              <a:latin typeface="メイリオ" panose="020B0604030504040204" pitchFamily="50" charset="-128"/>
              <a:ea typeface="メイリオ" panose="020B0604030504040204" pitchFamily="50" charset="-128"/>
              <a:cs typeface="+mn-cs"/>
            </a:rPr>
            <a:t>計画書③（任意記載）</a:t>
          </a:r>
          <a:endParaRPr lang="en-US" altLang="ja-JP" sz="1100">
            <a:solidFill>
              <a:schemeClr val="dk1"/>
            </a:solidFill>
            <a:effectLst/>
            <a:latin typeface="メイリオ" panose="020B0604030504040204" pitchFamily="50" charset="-128"/>
            <a:ea typeface="メイリオ" panose="020B0604030504040204" pitchFamily="50" charset="-128"/>
            <a:cs typeface="+mn-cs"/>
          </a:endParaRPr>
        </a:p>
        <a:p>
          <a:r>
            <a:rPr lang="ja-JP" altLang="en-US" sz="1100">
              <a:solidFill>
                <a:schemeClr val="dk1"/>
              </a:solidFill>
              <a:effectLst/>
              <a:latin typeface="メイリオ" panose="020B0604030504040204" pitchFamily="50" charset="-128"/>
              <a:ea typeface="メイリオ" panose="020B0604030504040204" pitchFamily="50" charset="-128"/>
              <a:cs typeface="+mn-cs"/>
            </a:rPr>
            <a:t>計算シート（基準年度）</a:t>
          </a:r>
          <a:endParaRPr lang="ja-JP" altLang="ja-JP" sz="1100">
            <a:solidFill>
              <a:schemeClr val="dk1"/>
            </a:solidFill>
            <a:effectLst/>
            <a:latin typeface="メイリオ" panose="020B0604030504040204" pitchFamily="50" charset="-128"/>
            <a:ea typeface="メイリオ" panose="020B0604030504040204" pitchFamily="50" charset="-128"/>
            <a:cs typeface="+mn-cs"/>
          </a:endParaRPr>
        </a:p>
        <a:p>
          <a:r>
            <a:rPr lang="ja-JP" altLang="ja-JP" sz="1100">
              <a:solidFill>
                <a:schemeClr val="dk1"/>
              </a:solidFill>
              <a:effectLst/>
              <a:latin typeface="メイリオ" panose="020B0604030504040204" pitchFamily="50" charset="-128"/>
              <a:ea typeface="メイリオ" panose="020B0604030504040204" pitchFamily="50" charset="-128"/>
              <a:cs typeface="+mn-cs"/>
            </a:rPr>
            <a:t>事業所排出量内訳（基準年度）</a:t>
          </a:r>
        </a:p>
        <a:p>
          <a:endParaRPr lang="en-US" altLang="ja-JP" sz="1100" b="1" cap="all">
            <a:solidFill>
              <a:schemeClr val="dk1"/>
            </a:solidFill>
            <a:effectLst/>
            <a:latin typeface="メイリオ" panose="020B0604030504040204" pitchFamily="50" charset="-128"/>
            <a:ea typeface="メイリオ" panose="020B0604030504040204" pitchFamily="50" charset="-128"/>
            <a:cs typeface="+mn-cs"/>
          </a:endParaRPr>
        </a:p>
        <a:p>
          <a:r>
            <a:rPr lang="ja-JP" altLang="en-US" sz="1100" b="1" cap="all">
              <a:solidFill>
                <a:schemeClr val="dk1"/>
              </a:solidFill>
              <a:effectLst/>
              <a:latin typeface="メイリオ" panose="020B0604030504040204" pitchFamily="50" charset="-128"/>
              <a:ea typeface="メイリオ" panose="020B0604030504040204" pitchFamily="50" charset="-128"/>
              <a:cs typeface="+mn-cs"/>
            </a:rPr>
            <a:t>●</a:t>
          </a:r>
          <a:r>
            <a:rPr lang="ja-JP" altLang="ja-JP" sz="1100" b="1" cap="all">
              <a:solidFill>
                <a:schemeClr val="dk1"/>
              </a:solidFill>
              <a:effectLst/>
              <a:latin typeface="メイリオ" panose="020B0604030504040204" pitchFamily="50" charset="-128"/>
              <a:ea typeface="メイリオ" panose="020B0604030504040204" pitchFamily="50" charset="-128"/>
              <a:cs typeface="+mn-cs"/>
            </a:rPr>
            <a:t>第</a:t>
          </a:r>
          <a:r>
            <a:rPr lang="en-US" altLang="ja-JP" sz="1100" b="1" cap="all">
              <a:solidFill>
                <a:schemeClr val="dk1"/>
              </a:solidFill>
              <a:effectLst/>
              <a:latin typeface="メイリオ" panose="020B0604030504040204" pitchFamily="50" charset="-128"/>
              <a:ea typeface="メイリオ" panose="020B0604030504040204" pitchFamily="50" charset="-128"/>
              <a:cs typeface="+mn-cs"/>
            </a:rPr>
            <a:t>1</a:t>
          </a:r>
          <a:r>
            <a:rPr lang="ja-JP" altLang="ja-JP" sz="1100" b="1" cap="all">
              <a:solidFill>
                <a:schemeClr val="dk1"/>
              </a:solidFill>
              <a:effectLst/>
              <a:latin typeface="メイリオ" panose="020B0604030504040204" pitchFamily="50" charset="-128"/>
              <a:ea typeface="メイリオ" panose="020B0604030504040204" pitchFamily="50" charset="-128"/>
              <a:cs typeface="+mn-cs"/>
            </a:rPr>
            <a:t>年度</a:t>
          </a:r>
          <a:endParaRPr lang="ja-JP" altLang="ja-JP" sz="1100">
            <a:solidFill>
              <a:schemeClr val="dk1"/>
            </a:solidFill>
            <a:effectLst/>
            <a:latin typeface="メイリオ" panose="020B0604030504040204" pitchFamily="50" charset="-128"/>
            <a:ea typeface="メイリオ" panose="020B0604030504040204" pitchFamily="50" charset="-128"/>
            <a:cs typeface="+mn-cs"/>
          </a:endParaRPr>
        </a:p>
        <a:p>
          <a:r>
            <a:rPr lang="ja-JP" altLang="ja-JP" sz="1100">
              <a:solidFill>
                <a:schemeClr val="dk1"/>
              </a:solidFill>
              <a:effectLst/>
              <a:latin typeface="メイリオ" panose="020B0604030504040204" pitchFamily="50" charset="-128"/>
              <a:ea typeface="メイリオ" panose="020B0604030504040204" pitchFamily="50" charset="-128"/>
              <a:cs typeface="+mn-cs"/>
            </a:rPr>
            <a:t>はじめに</a:t>
          </a:r>
        </a:p>
        <a:p>
          <a:r>
            <a:rPr lang="ja-JP" altLang="ja-JP" sz="1100">
              <a:solidFill>
                <a:schemeClr val="dk1"/>
              </a:solidFill>
              <a:effectLst/>
              <a:latin typeface="メイリオ" panose="020B0604030504040204" pitchFamily="50" charset="-128"/>
              <a:ea typeface="メイリオ" panose="020B0604030504040204" pitchFamily="50" charset="-128"/>
              <a:cs typeface="+mn-cs"/>
            </a:rPr>
            <a:t>報告書①（事業所概要・実績）</a:t>
          </a:r>
        </a:p>
        <a:p>
          <a:r>
            <a:rPr lang="ja-JP" altLang="ja-JP" sz="1100">
              <a:solidFill>
                <a:schemeClr val="dk1"/>
              </a:solidFill>
              <a:effectLst/>
              <a:latin typeface="メイリオ" panose="020B0604030504040204" pitchFamily="50" charset="-128"/>
              <a:ea typeface="メイリオ" panose="020B0604030504040204" pitchFamily="50" charset="-128"/>
              <a:cs typeface="+mn-cs"/>
            </a:rPr>
            <a:t>報告書② 第</a:t>
          </a:r>
          <a:r>
            <a:rPr lang="en-US" altLang="ja-JP" sz="1100">
              <a:solidFill>
                <a:schemeClr val="dk1"/>
              </a:solidFill>
              <a:effectLst/>
              <a:latin typeface="メイリオ" panose="020B0604030504040204" pitchFamily="50" charset="-128"/>
              <a:ea typeface="メイリオ" panose="020B0604030504040204" pitchFamily="50" charset="-128"/>
              <a:cs typeface="+mn-cs"/>
            </a:rPr>
            <a:t>1</a:t>
          </a:r>
          <a:r>
            <a:rPr lang="ja-JP" altLang="ja-JP" sz="1100">
              <a:solidFill>
                <a:schemeClr val="dk1"/>
              </a:solidFill>
              <a:effectLst/>
              <a:latin typeface="メイリオ" panose="020B0604030504040204" pitchFamily="50" charset="-128"/>
              <a:ea typeface="メイリオ" panose="020B0604030504040204" pitchFamily="50" charset="-128"/>
              <a:cs typeface="+mn-cs"/>
            </a:rPr>
            <a:t>年度</a:t>
          </a:r>
          <a:r>
            <a:rPr lang="en-US" altLang="ja-JP" sz="1100">
              <a:solidFill>
                <a:schemeClr val="dk1"/>
              </a:solidFill>
              <a:effectLst/>
              <a:latin typeface="メイリオ" panose="020B0604030504040204" pitchFamily="50" charset="-128"/>
              <a:ea typeface="メイリオ" panose="020B0604030504040204" pitchFamily="50" charset="-128"/>
              <a:cs typeface="+mn-cs"/>
            </a:rPr>
            <a:t>(</a:t>
          </a:r>
          <a:r>
            <a:rPr lang="ja-JP" altLang="ja-JP" sz="1100">
              <a:solidFill>
                <a:schemeClr val="dk1"/>
              </a:solidFill>
              <a:effectLst/>
              <a:latin typeface="メイリオ" panose="020B0604030504040204" pitchFamily="50" charset="-128"/>
              <a:ea typeface="メイリオ" panose="020B0604030504040204" pitchFamily="50" charset="-128"/>
              <a:cs typeface="+mn-cs"/>
            </a:rPr>
            <a:t>取組）</a:t>
          </a:r>
        </a:p>
        <a:p>
          <a:r>
            <a:rPr lang="ja-JP" altLang="ja-JP" sz="1100">
              <a:solidFill>
                <a:schemeClr val="dk1"/>
              </a:solidFill>
              <a:effectLst/>
              <a:latin typeface="メイリオ" panose="020B0604030504040204" pitchFamily="50" charset="-128"/>
              <a:ea typeface="メイリオ" panose="020B0604030504040204" pitchFamily="50" charset="-128"/>
              <a:cs typeface="+mn-cs"/>
            </a:rPr>
            <a:t>報告書③（任意記載）</a:t>
          </a:r>
          <a:endParaRPr lang="en-US" altLang="ja-JP" sz="1100">
            <a:solidFill>
              <a:schemeClr val="dk1"/>
            </a:solidFill>
            <a:effectLst/>
            <a:latin typeface="メイリオ" panose="020B0604030504040204" pitchFamily="50" charset="-128"/>
            <a:ea typeface="メイリオ" panose="020B0604030504040204" pitchFamily="50" charset="-128"/>
            <a:cs typeface="+mn-cs"/>
          </a:endParaRPr>
        </a:p>
        <a:p>
          <a:r>
            <a:rPr lang="ja-JP" altLang="en-US" sz="1100">
              <a:solidFill>
                <a:schemeClr val="dk1"/>
              </a:solidFill>
              <a:effectLst/>
              <a:latin typeface="メイリオ" panose="020B0604030504040204" pitchFamily="50" charset="-128"/>
              <a:ea typeface="メイリオ" panose="020B0604030504040204" pitchFamily="50" charset="-128"/>
              <a:cs typeface="+mn-cs"/>
            </a:rPr>
            <a:t>計算シート（第</a:t>
          </a:r>
          <a:r>
            <a:rPr lang="en-US" altLang="ja-JP" sz="1100">
              <a:solidFill>
                <a:schemeClr val="dk1"/>
              </a:solidFill>
              <a:effectLst/>
              <a:latin typeface="メイリオ" panose="020B0604030504040204" pitchFamily="50" charset="-128"/>
              <a:ea typeface="メイリオ" panose="020B0604030504040204" pitchFamily="50" charset="-128"/>
              <a:cs typeface="+mn-cs"/>
            </a:rPr>
            <a:t>1</a:t>
          </a:r>
          <a:r>
            <a:rPr lang="ja-JP" altLang="en-US" sz="1100">
              <a:solidFill>
                <a:schemeClr val="dk1"/>
              </a:solidFill>
              <a:effectLst/>
              <a:latin typeface="メイリオ" panose="020B0604030504040204" pitchFamily="50" charset="-128"/>
              <a:ea typeface="メイリオ" panose="020B0604030504040204" pitchFamily="50" charset="-128"/>
              <a:cs typeface="+mn-cs"/>
            </a:rPr>
            <a:t>～第</a:t>
          </a:r>
          <a:r>
            <a:rPr lang="en-US" altLang="ja-JP" sz="1100">
              <a:solidFill>
                <a:schemeClr val="dk1"/>
              </a:solidFill>
              <a:effectLst/>
              <a:latin typeface="メイリオ" panose="020B0604030504040204" pitchFamily="50" charset="-128"/>
              <a:ea typeface="メイリオ" panose="020B0604030504040204" pitchFamily="50" charset="-128"/>
              <a:cs typeface="+mn-cs"/>
            </a:rPr>
            <a:t>3</a:t>
          </a:r>
          <a:r>
            <a:rPr lang="ja-JP" altLang="en-US" sz="1100">
              <a:solidFill>
                <a:schemeClr val="dk1"/>
              </a:solidFill>
              <a:effectLst/>
              <a:latin typeface="メイリオ" panose="020B0604030504040204" pitchFamily="50" charset="-128"/>
              <a:ea typeface="メイリオ" panose="020B0604030504040204" pitchFamily="50" charset="-128"/>
              <a:cs typeface="+mn-cs"/>
            </a:rPr>
            <a:t>年度）</a:t>
          </a:r>
          <a:endParaRPr lang="ja-JP" altLang="ja-JP" sz="1100">
            <a:solidFill>
              <a:schemeClr val="dk1"/>
            </a:solidFill>
            <a:effectLst/>
            <a:latin typeface="メイリオ" panose="020B0604030504040204" pitchFamily="50" charset="-128"/>
            <a:ea typeface="メイリオ" panose="020B0604030504040204" pitchFamily="50" charset="-128"/>
            <a:cs typeface="+mn-cs"/>
          </a:endParaRPr>
        </a:p>
        <a:p>
          <a:r>
            <a:rPr lang="ja-JP" altLang="ja-JP" sz="1100">
              <a:solidFill>
                <a:schemeClr val="dk1"/>
              </a:solidFill>
              <a:effectLst/>
              <a:latin typeface="メイリオ" panose="020B0604030504040204" pitchFamily="50" charset="-128"/>
              <a:ea typeface="メイリオ" panose="020B0604030504040204" pitchFamily="50" charset="-128"/>
              <a:cs typeface="+mn-cs"/>
            </a:rPr>
            <a:t>事業所排出量内訳（第</a:t>
          </a:r>
          <a:r>
            <a:rPr lang="en-US" altLang="ja-JP" sz="1100">
              <a:solidFill>
                <a:schemeClr val="dk1"/>
              </a:solidFill>
              <a:effectLst/>
              <a:latin typeface="メイリオ" panose="020B0604030504040204" pitchFamily="50" charset="-128"/>
              <a:ea typeface="メイリオ" panose="020B0604030504040204" pitchFamily="50" charset="-128"/>
              <a:cs typeface="+mn-cs"/>
            </a:rPr>
            <a:t>1</a:t>
          </a:r>
          <a:r>
            <a:rPr lang="ja-JP" altLang="ja-JP" sz="1100">
              <a:solidFill>
                <a:schemeClr val="dk1"/>
              </a:solidFill>
              <a:effectLst/>
              <a:latin typeface="メイリオ" panose="020B0604030504040204" pitchFamily="50" charset="-128"/>
              <a:ea typeface="メイリオ" panose="020B0604030504040204" pitchFamily="50" charset="-128"/>
              <a:cs typeface="+mn-cs"/>
            </a:rPr>
            <a:t>年度</a:t>
          </a:r>
          <a:r>
            <a:rPr lang="en-US" altLang="ja-JP" sz="1100">
              <a:solidFill>
                <a:schemeClr val="dk1"/>
              </a:solidFill>
              <a:effectLst/>
              <a:latin typeface="メイリオ" panose="020B0604030504040204" pitchFamily="50" charset="-128"/>
              <a:ea typeface="メイリオ" panose="020B0604030504040204" pitchFamily="50" charset="-128"/>
              <a:cs typeface="+mn-cs"/>
            </a:rPr>
            <a:t>)</a:t>
          </a:r>
          <a:endParaRPr lang="ja-JP" altLang="ja-JP" sz="1100">
            <a:solidFill>
              <a:schemeClr val="dk1"/>
            </a:solidFill>
            <a:effectLst/>
            <a:latin typeface="メイリオ" panose="020B0604030504040204" pitchFamily="50" charset="-128"/>
            <a:ea typeface="メイリオ" panose="020B0604030504040204" pitchFamily="50" charset="-128"/>
            <a:cs typeface="+mn-cs"/>
          </a:endParaRPr>
        </a:p>
        <a:p>
          <a:endParaRPr lang="en-US" altLang="ja-JP" sz="1100" b="1" cap="all">
            <a:solidFill>
              <a:schemeClr val="dk1"/>
            </a:solidFill>
            <a:effectLst/>
            <a:latin typeface="メイリオ" panose="020B0604030504040204" pitchFamily="50" charset="-128"/>
            <a:ea typeface="メイリオ" panose="020B0604030504040204" pitchFamily="50" charset="-128"/>
            <a:cs typeface="+mn-cs"/>
          </a:endParaRPr>
        </a:p>
        <a:p>
          <a:r>
            <a:rPr lang="ja-JP" altLang="en-US" sz="1100" b="1" cap="all">
              <a:solidFill>
                <a:schemeClr val="dk1"/>
              </a:solidFill>
              <a:effectLst/>
              <a:latin typeface="メイリオ" panose="020B0604030504040204" pitchFamily="50" charset="-128"/>
              <a:ea typeface="メイリオ" panose="020B0604030504040204" pitchFamily="50" charset="-128"/>
              <a:cs typeface="+mn-cs"/>
            </a:rPr>
            <a:t>●</a:t>
          </a:r>
          <a:r>
            <a:rPr lang="ja-JP" altLang="ja-JP" sz="1100" b="1" cap="all">
              <a:solidFill>
                <a:schemeClr val="dk1"/>
              </a:solidFill>
              <a:effectLst/>
              <a:latin typeface="メイリオ" panose="020B0604030504040204" pitchFamily="50" charset="-128"/>
              <a:ea typeface="メイリオ" panose="020B0604030504040204" pitchFamily="50" charset="-128"/>
              <a:cs typeface="+mn-cs"/>
            </a:rPr>
            <a:t>第</a:t>
          </a:r>
          <a:r>
            <a:rPr lang="en-US" altLang="ja-JP" sz="1100" b="1" cap="all">
              <a:solidFill>
                <a:schemeClr val="dk1"/>
              </a:solidFill>
              <a:effectLst/>
              <a:latin typeface="メイリオ" panose="020B0604030504040204" pitchFamily="50" charset="-128"/>
              <a:ea typeface="メイリオ" panose="020B0604030504040204" pitchFamily="50" charset="-128"/>
              <a:cs typeface="+mn-cs"/>
            </a:rPr>
            <a:t>2</a:t>
          </a:r>
          <a:r>
            <a:rPr lang="ja-JP" altLang="ja-JP" sz="1100" b="1" cap="all">
              <a:solidFill>
                <a:schemeClr val="dk1"/>
              </a:solidFill>
              <a:effectLst/>
              <a:latin typeface="メイリオ" panose="020B0604030504040204" pitchFamily="50" charset="-128"/>
              <a:ea typeface="メイリオ" panose="020B0604030504040204" pitchFamily="50" charset="-128"/>
              <a:cs typeface="+mn-cs"/>
            </a:rPr>
            <a:t>年度</a:t>
          </a:r>
          <a:endParaRPr lang="ja-JP" altLang="ja-JP" sz="1100">
            <a:solidFill>
              <a:schemeClr val="dk1"/>
            </a:solidFill>
            <a:effectLst/>
            <a:latin typeface="メイリオ" panose="020B0604030504040204" pitchFamily="50" charset="-128"/>
            <a:ea typeface="メイリオ" panose="020B0604030504040204" pitchFamily="50" charset="-128"/>
            <a:cs typeface="+mn-cs"/>
          </a:endParaRPr>
        </a:p>
        <a:p>
          <a:r>
            <a:rPr lang="ja-JP" altLang="ja-JP" sz="1100">
              <a:solidFill>
                <a:schemeClr val="dk1"/>
              </a:solidFill>
              <a:effectLst/>
              <a:latin typeface="メイリオ" panose="020B0604030504040204" pitchFamily="50" charset="-128"/>
              <a:ea typeface="メイリオ" panose="020B0604030504040204" pitchFamily="50" charset="-128"/>
              <a:cs typeface="+mn-cs"/>
            </a:rPr>
            <a:t>はじめに</a:t>
          </a:r>
        </a:p>
        <a:p>
          <a:r>
            <a:rPr lang="ja-JP" altLang="ja-JP" sz="1100">
              <a:solidFill>
                <a:schemeClr val="dk1"/>
              </a:solidFill>
              <a:effectLst/>
              <a:latin typeface="メイリオ" panose="020B0604030504040204" pitchFamily="50" charset="-128"/>
              <a:ea typeface="メイリオ" panose="020B0604030504040204" pitchFamily="50" charset="-128"/>
              <a:cs typeface="+mn-cs"/>
            </a:rPr>
            <a:t>報告書①（事業所概要・実績）</a:t>
          </a:r>
        </a:p>
        <a:p>
          <a:r>
            <a:rPr lang="ja-JP" altLang="ja-JP" sz="1100">
              <a:solidFill>
                <a:schemeClr val="dk1"/>
              </a:solidFill>
              <a:effectLst/>
              <a:latin typeface="メイリオ" panose="020B0604030504040204" pitchFamily="50" charset="-128"/>
              <a:ea typeface="メイリオ" panose="020B0604030504040204" pitchFamily="50" charset="-128"/>
              <a:cs typeface="+mn-cs"/>
            </a:rPr>
            <a:t>報告書② 第</a:t>
          </a:r>
          <a:r>
            <a:rPr lang="en-US" altLang="ja-JP" sz="1100">
              <a:solidFill>
                <a:schemeClr val="dk1"/>
              </a:solidFill>
              <a:effectLst/>
              <a:latin typeface="メイリオ" panose="020B0604030504040204" pitchFamily="50" charset="-128"/>
              <a:ea typeface="メイリオ" panose="020B0604030504040204" pitchFamily="50" charset="-128"/>
              <a:cs typeface="+mn-cs"/>
            </a:rPr>
            <a:t>2</a:t>
          </a:r>
          <a:r>
            <a:rPr lang="ja-JP" altLang="ja-JP" sz="1100">
              <a:solidFill>
                <a:schemeClr val="dk1"/>
              </a:solidFill>
              <a:effectLst/>
              <a:latin typeface="メイリオ" panose="020B0604030504040204" pitchFamily="50" charset="-128"/>
              <a:ea typeface="メイリオ" panose="020B0604030504040204" pitchFamily="50" charset="-128"/>
              <a:cs typeface="+mn-cs"/>
            </a:rPr>
            <a:t>年度</a:t>
          </a:r>
          <a:r>
            <a:rPr lang="en-US" altLang="ja-JP" sz="1100">
              <a:solidFill>
                <a:schemeClr val="dk1"/>
              </a:solidFill>
              <a:effectLst/>
              <a:latin typeface="メイリオ" panose="020B0604030504040204" pitchFamily="50" charset="-128"/>
              <a:ea typeface="メイリオ" panose="020B0604030504040204" pitchFamily="50" charset="-128"/>
              <a:cs typeface="+mn-cs"/>
            </a:rPr>
            <a:t>(</a:t>
          </a:r>
          <a:r>
            <a:rPr lang="ja-JP" altLang="ja-JP" sz="1100">
              <a:solidFill>
                <a:schemeClr val="dk1"/>
              </a:solidFill>
              <a:effectLst/>
              <a:latin typeface="メイリオ" panose="020B0604030504040204" pitchFamily="50" charset="-128"/>
              <a:ea typeface="メイリオ" panose="020B0604030504040204" pitchFamily="50" charset="-128"/>
              <a:cs typeface="+mn-cs"/>
            </a:rPr>
            <a:t>取組）</a:t>
          </a:r>
        </a:p>
        <a:p>
          <a:r>
            <a:rPr lang="ja-JP" altLang="ja-JP" sz="1100">
              <a:solidFill>
                <a:schemeClr val="dk1"/>
              </a:solidFill>
              <a:effectLst/>
              <a:latin typeface="メイリオ" panose="020B0604030504040204" pitchFamily="50" charset="-128"/>
              <a:ea typeface="メイリオ" panose="020B0604030504040204" pitchFamily="50" charset="-128"/>
              <a:cs typeface="+mn-cs"/>
            </a:rPr>
            <a:t>報告書③（任意記載）</a:t>
          </a:r>
          <a:endParaRPr lang="en-US" altLang="ja-JP" sz="1100">
            <a:solidFill>
              <a:schemeClr val="dk1"/>
            </a:solidFill>
            <a:effectLst/>
            <a:latin typeface="メイリオ" panose="020B0604030504040204" pitchFamily="50" charset="-128"/>
            <a:ea typeface="メイリオ" panose="020B0604030504040204" pitchFamily="50" charset="-128"/>
            <a:cs typeface="+mn-cs"/>
          </a:endParaRPr>
        </a:p>
        <a:p>
          <a:r>
            <a:rPr lang="ja-JP" altLang="en-US" sz="1100">
              <a:solidFill>
                <a:schemeClr val="dk1"/>
              </a:solidFill>
              <a:effectLst/>
              <a:latin typeface="メイリオ" panose="020B0604030504040204" pitchFamily="50" charset="-128"/>
              <a:ea typeface="メイリオ" panose="020B0604030504040204" pitchFamily="50" charset="-128"/>
              <a:cs typeface="+mn-cs"/>
            </a:rPr>
            <a:t>計算シート（第</a:t>
          </a:r>
          <a:r>
            <a:rPr lang="en-US" altLang="ja-JP" sz="1100">
              <a:solidFill>
                <a:schemeClr val="dk1"/>
              </a:solidFill>
              <a:effectLst/>
              <a:latin typeface="メイリオ" panose="020B0604030504040204" pitchFamily="50" charset="-128"/>
              <a:ea typeface="メイリオ" panose="020B0604030504040204" pitchFamily="50" charset="-128"/>
              <a:cs typeface="+mn-cs"/>
            </a:rPr>
            <a:t>1</a:t>
          </a:r>
          <a:r>
            <a:rPr lang="ja-JP" altLang="en-US" sz="1100">
              <a:solidFill>
                <a:schemeClr val="dk1"/>
              </a:solidFill>
              <a:effectLst/>
              <a:latin typeface="メイリオ" panose="020B0604030504040204" pitchFamily="50" charset="-128"/>
              <a:ea typeface="メイリオ" panose="020B0604030504040204" pitchFamily="50" charset="-128"/>
              <a:cs typeface="+mn-cs"/>
            </a:rPr>
            <a:t>～第</a:t>
          </a:r>
          <a:r>
            <a:rPr lang="en-US" altLang="ja-JP" sz="1100">
              <a:solidFill>
                <a:schemeClr val="dk1"/>
              </a:solidFill>
              <a:effectLst/>
              <a:latin typeface="メイリオ" panose="020B0604030504040204" pitchFamily="50" charset="-128"/>
              <a:ea typeface="メイリオ" panose="020B0604030504040204" pitchFamily="50" charset="-128"/>
              <a:cs typeface="+mn-cs"/>
            </a:rPr>
            <a:t>3</a:t>
          </a:r>
          <a:r>
            <a:rPr lang="ja-JP" altLang="en-US" sz="1100">
              <a:solidFill>
                <a:schemeClr val="dk1"/>
              </a:solidFill>
              <a:effectLst/>
              <a:latin typeface="メイリオ" panose="020B0604030504040204" pitchFamily="50" charset="-128"/>
              <a:ea typeface="メイリオ" panose="020B0604030504040204" pitchFamily="50" charset="-128"/>
              <a:cs typeface="+mn-cs"/>
            </a:rPr>
            <a:t>年度）</a:t>
          </a:r>
          <a:endParaRPr lang="ja-JP" altLang="ja-JP" sz="1100">
            <a:solidFill>
              <a:schemeClr val="dk1"/>
            </a:solidFill>
            <a:effectLst/>
            <a:latin typeface="メイリオ" panose="020B0604030504040204" pitchFamily="50" charset="-128"/>
            <a:ea typeface="メイリオ" panose="020B0604030504040204" pitchFamily="50" charset="-128"/>
            <a:cs typeface="+mn-cs"/>
          </a:endParaRPr>
        </a:p>
        <a:p>
          <a:r>
            <a:rPr lang="ja-JP" altLang="ja-JP" sz="1100">
              <a:solidFill>
                <a:schemeClr val="dk1"/>
              </a:solidFill>
              <a:effectLst/>
              <a:latin typeface="メイリオ" panose="020B0604030504040204" pitchFamily="50" charset="-128"/>
              <a:ea typeface="メイリオ" panose="020B0604030504040204" pitchFamily="50" charset="-128"/>
              <a:cs typeface="+mn-cs"/>
            </a:rPr>
            <a:t>事業所排出量内訳（第</a:t>
          </a:r>
          <a:r>
            <a:rPr lang="en-US" altLang="ja-JP" sz="1100">
              <a:solidFill>
                <a:schemeClr val="dk1"/>
              </a:solidFill>
              <a:effectLst/>
              <a:latin typeface="メイリオ" panose="020B0604030504040204" pitchFamily="50" charset="-128"/>
              <a:ea typeface="メイリオ" panose="020B0604030504040204" pitchFamily="50" charset="-128"/>
              <a:cs typeface="+mn-cs"/>
            </a:rPr>
            <a:t>2</a:t>
          </a:r>
          <a:r>
            <a:rPr lang="ja-JP" altLang="ja-JP" sz="1100">
              <a:solidFill>
                <a:schemeClr val="dk1"/>
              </a:solidFill>
              <a:effectLst/>
              <a:latin typeface="メイリオ" panose="020B0604030504040204" pitchFamily="50" charset="-128"/>
              <a:ea typeface="メイリオ" panose="020B0604030504040204" pitchFamily="50" charset="-128"/>
              <a:cs typeface="+mn-cs"/>
            </a:rPr>
            <a:t>年度</a:t>
          </a:r>
          <a:r>
            <a:rPr lang="en-US" altLang="ja-JP" sz="1100">
              <a:solidFill>
                <a:schemeClr val="dk1"/>
              </a:solidFill>
              <a:effectLst/>
              <a:latin typeface="メイリオ" panose="020B0604030504040204" pitchFamily="50" charset="-128"/>
              <a:ea typeface="メイリオ" panose="020B0604030504040204" pitchFamily="50" charset="-128"/>
              <a:cs typeface="+mn-cs"/>
            </a:rPr>
            <a:t>)</a:t>
          </a:r>
          <a:endParaRPr lang="ja-JP" altLang="ja-JP" sz="1100">
            <a:solidFill>
              <a:schemeClr val="dk1"/>
            </a:solidFill>
            <a:effectLst/>
            <a:latin typeface="メイリオ" panose="020B0604030504040204" pitchFamily="50" charset="-128"/>
            <a:ea typeface="メイリオ" panose="020B0604030504040204" pitchFamily="50" charset="-128"/>
            <a:cs typeface="+mn-cs"/>
          </a:endParaRPr>
        </a:p>
        <a:p>
          <a:endParaRPr lang="en-US" altLang="ja-JP" sz="1100" b="1" cap="all">
            <a:solidFill>
              <a:schemeClr val="dk1"/>
            </a:solidFill>
            <a:effectLst/>
            <a:latin typeface="メイリオ" panose="020B0604030504040204" pitchFamily="50" charset="-128"/>
            <a:ea typeface="メイリオ" panose="020B0604030504040204" pitchFamily="50" charset="-128"/>
            <a:cs typeface="+mn-cs"/>
          </a:endParaRPr>
        </a:p>
        <a:p>
          <a:r>
            <a:rPr lang="ja-JP" altLang="en-US" sz="1100" b="1" cap="all">
              <a:solidFill>
                <a:schemeClr val="dk1"/>
              </a:solidFill>
              <a:effectLst/>
              <a:latin typeface="メイリオ" panose="020B0604030504040204" pitchFamily="50" charset="-128"/>
              <a:ea typeface="メイリオ" panose="020B0604030504040204" pitchFamily="50" charset="-128"/>
              <a:cs typeface="+mn-cs"/>
            </a:rPr>
            <a:t>●</a:t>
          </a:r>
          <a:r>
            <a:rPr lang="ja-JP" altLang="ja-JP" sz="1100" b="1" cap="all">
              <a:solidFill>
                <a:schemeClr val="dk1"/>
              </a:solidFill>
              <a:effectLst/>
              <a:latin typeface="メイリオ" panose="020B0604030504040204" pitchFamily="50" charset="-128"/>
              <a:ea typeface="メイリオ" panose="020B0604030504040204" pitchFamily="50" charset="-128"/>
              <a:cs typeface="+mn-cs"/>
            </a:rPr>
            <a:t>第</a:t>
          </a:r>
          <a:r>
            <a:rPr lang="en-US" altLang="ja-JP" sz="1100" b="1" cap="all">
              <a:solidFill>
                <a:schemeClr val="dk1"/>
              </a:solidFill>
              <a:effectLst/>
              <a:latin typeface="メイリオ" panose="020B0604030504040204" pitchFamily="50" charset="-128"/>
              <a:ea typeface="メイリオ" panose="020B0604030504040204" pitchFamily="50" charset="-128"/>
              <a:cs typeface="+mn-cs"/>
            </a:rPr>
            <a:t>3</a:t>
          </a:r>
          <a:r>
            <a:rPr lang="ja-JP" altLang="ja-JP" sz="1100" b="1" cap="all">
              <a:solidFill>
                <a:schemeClr val="dk1"/>
              </a:solidFill>
              <a:effectLst/>
              <a:latin typeface="メイリオ" panose="020B0604030504040204" pitchFamily="50" charset="-128"/>
              <a:ea typeface="メイリオ" panose="020B0604030504040204" pitchFamily="50" charset="-128"/>
              <a:cs typeface="+mn-cs"/>
            </a:rPr>
            <a:t>年度</a:t>
          </a:r>
          <a:endParaRPr lang="ja-JP" altLang="ja-JP" sz="1100">
            <a:solidFill>
              <a:schemeClr val="dk1"/>
            </a:solidFill>
            <a:effectLst/>
            <a:latin typeface="メイリオ" panose="020B0604030504040204" pitchFamily="50" charset="-128"/>
            <a:ea typeface="メイリオ" panose="020B0604030504040204" pitchFamily="50" charset="-128"/>
            <a:cs typeface="+mn-cs"/>
          </a:endParaRPr>
        </a:p>
        <a:p>
          <a:r>
            <a:rPr lang="ja-JP" altLang="ja-JP" sz="1100">
              <a:solidFill>
                <a:schemeClr val="dk1"/>
              </a:solidFill>
              <a:effectLst/>
              <a:latin typeface="メイリオ" panose="020B0604030504040204" pitchFamily="50" charset="-128"/>
              <a:ea typeface="メイリオ" panose="020B0604030504040204" pitchFamily="50" charset="-128"/>
              <a:cs typeface="+mn-cs"/>
            </a:rPr>
            <a:t>はじめに</a:t>
          </a:r>
        </a:p>
        <a:p>
          <a:r>
            <a:rPr lang="ja-JP" altLang="ja-JP" sz="1100">
              <a:solidFill>
                <a:schemeClr val="dk1"/>
              </a:solidFill>
              <a:effectLst/>
              <a:latin typeface="メイリオ" panose="020B0604030504040204" pitchFamily="50" charset="-128"/>
              <a:ea typeface="メイリオ" panose="020B0604030504040204" pitchFamily="50" charset="-128"/>
              <a:cs typeface="+mn-cs"/>
            </a:rPr>
            <a:t>報告書①（事業所概要・実績）</a:t>
          </a:r>
        </a:p>
        <a:p>
          <a:r>
            <a:rPr lang="ja-JP" altLang="ja-JP" sz="1100">
              <a:solidFill>
                <a:schemeClr val="dk1"/>
              </a:solidFill>
              <a:effectLst/>
              <a:latin typeface="メイリオ" panose="020B0604030504040204" pitchFamily="50" charset="-128"/>
              <a:ea typeface="メイリオ" panose="020B0604030504040204" pitchFamily="50" charset="-128"/>
              <a:cs typeface="+mn-cs"/>
            </a:rPr>
            <a:t>報告書② 第</a:t>
          </a:r>
          <a:r>
            <a:rPr lang="en-US" altLang="ja-JP" sz="1100">
              <a:solidFill>
                <a:schemeClr val="dk1"/>
              </a:solidFill>
              <a:effectLst/>
              <a:latin typeface="メイリオ" panose="020B0604030504040204" pitchFamily="50" charset="-128"/>
              <a:ea typeface="メイリオ" panose="020B0604030504040204" pitchFamily="50" charset="-128"/>
              <a:cs typeface="+mn-cs"/>
            </a:rPr>
            <a:t>3</a:t>
          </a:r>
          <a:r>
            <a:rPr lang="ja-JP" altLang="ja-JP" sz="1100">
              <a:solidFill>
                <a:schemeClr val="dk1"/>
              </a:solidFill>
              <a:effectLst/>
              <a:latin typeface="メイリオ" panose="020B0604030504040204" pitchFamily="50" charset="-128"/>
              <a:ea typeface="メイリオ" panose="020B0604030504040204" pitchFamily="50" charset="-128"/>
              <a:cs typeface="+mn-cs"/>
            </a:rPr>
            <a:t>年度</a:t>
          </a:r>
          <a:r>
            <a:rPr lang="en-US" altLang="ja-JP" sz="1100">
              <a:solidFill>
                <a:schemeClr val="dk1"/>
              </a:solidFill>
              <a:effectLst/>
              <a:latin typeface="メイリオ" panose="020B0604030504040204" pitchFamily="50" charset="-128"/>
              <a:ea typeface="メイリオ" panose="020B0604030504040204" pitchFamily="50" charset="-128"/>
              <a:cs typeface="+mn-cs"/>
            </a:rPr>
            <a:t>(</a:t>
          </a:r>
          <a:r>
            <a:rPr lang="ja-JP" altLang="ja-JP" sz="1100">
              <a:solidFill>
                <a:schemeClr val="dk1"/>
              </a:solidFill>
              <a:effectLst/>
              <a:latin typeface="メイリオ" panose="020B0604030504040204" pitchFamily="50" charset="-128"/>
              <a:ea typeface="メイリオ" panose="020B0604030504040204" pitchFamily="50" charset="-128"/>
              <a:cs typeface="+mn-cs"/>
            </a:rPr>
            <a:t>取組）</a:t>
          </a:r>
        </a:p>
        <a:p>
          <a:r>
            <a:rPr lang="ja-JP" altLang="ja-JP" sz="1100">
              <a:solidFill>
                <a:schemeClr val="dk1"/>
              </a:solidFill>
              <a:effectLst/>
              <a:latin typeface="メイリオ" panose="020B0604030504040204" pitchFamily="50" charset="-128"/>
              <a:ea typeface="メイリオ" panose="020B0604030504040204" pitchFamily="50" charset="-128"/>
              <a:cs typeface="+mn-cs"/>
            </a:rPr>
            <a:t>報告書③（任意記載）</a:t>
          </a:r>
          <a:endParaRPr lang="en-US" altLang="ja-JP" sz="1100">
            <a:solidFill>
              <a:schemeClr val="dk1"/>
            </a:solidFill>
            <a:effectLst/>
            <a:latin typeface="メイリオ" panose="020B0604030504040204" pitchFamily="50" charset="-128"/>
            <a:ea typeface="メイリオ" panose="020B0604030504040204" pitchFamily="50" charset="-128"/>
            <a:cs typeface="+mn-cs"/>
          </a:endParaRPr>
        </a:p>
        <a:p>
          <a:r>
            <a:rPr lang="ja-JP" altLang="en-US" sz="1100">
              <a:solidFill>
                <a:schemeClr val="dk1"/>
              </a:solidFill>
              <a:effectLst/>
              <a:latin typeface="メイリオ" panose="020B0604030504040204" pitchFamily="50" charset="-128"/>
              <a:ea typeface="メイリオ" panose="020B0604030504040204" pitchFamily="50" charset="-128"/>
              <a:cs typeface="+mn-cs"/>
            </a:rPr>
            <a:t>計算シート（第</a:t>
          </a:r>
          <a:r>
            <a:rPr lang="en-US" altLang="ja-JP" sz="1100">
              <a:solidFill>
                <a:schemeClr val="dk1"/>
              </a:solidFill>
              <a:effectLst/>
              <a:latin typeface="メイリオ" panose="020B0604030504040204" pitchFamily="50" charset="-128"/>
              <a:ea typeface="メイリオ" panose="020B0604030504040204" pitchFamily="50" charset="-128"/>
              <a:cs typeface="+mn-cs"/>
            </a:rPr>
            <a:t>1</a:t>
          </a:r>
          <a:r>
            <a:rPr lang="ja-JP" altLang="en-US" sz="1100">
              <a:solidFill>
                <a:schemeClr val="dk1"/>
              </a:solidFill>
              <a:effectLst/>
              <a:latin typeface="メイリオ" panose="020B0604030504040204" pitchFamily="50" charset="-128"/>
              <a:ea typeface="メイリオ" panose="020B0604030504040204" pitchFamily="50" charset="-128"/>
              <a:cs typeface="+mn-cs"/>
            </a:rPr>
            <a:t>～第</a:t>
          </a:r>
          <a:r>
            <a:rPr lang="en-US" altLang="ja-JP" sz="1100">
              <a:solidFill>
                <a:schemeClr val="dk1"/>
              </a:solidFill>
              <a:effectLst/>
              <a:latin typeface="メイリオ" panose="020B0604030504040204" pitchFamily="50" charset="-128"/>
              <a:ea typeface="メイリオ" panose="020B0604030504040204" pitchFamily="50" charset="-128"/>
              <a:cs typeface="+mn-cs"/>
            </a:rPr>
            <a:t>3</a:t>
          </a:r>
          <a:r>
            <a:rPr lang="ja-JP" altLang="en-US" sz="1100">
              <a:solidFill>
                <a:schemeClr val="dk1"/>
              </a:solidFill>
              <a:effectLst/>
              <a:latin typeface="メイリオ" panose="020B0604030504040204" pitchFamily="50" charset="-128"/>
              <a:ea typeface="メイリオ" panose="020B0604030504040204" pitchFamily="50" charset="-128"/>
              <a:cs typeface="+mn-cs"/>
            </a:rPr>
            <a:t>年度）</a:t>
          </a:r>
          <a:endParaRPr lang="ja-JP" altLang="ja-JP" sz="1100">
            <a:solidFill>
              <a:schemeClr val="dk1"/>
            </a:solidFill>
            <a:effectLst/>
            <a:latin typeface="メイリオ" panose="020B0604030504040204" pitchFamily="50" charset="-128"/>
            <a:ea typeface="メイリオ" panose="020B0604030504040204" pitchFamily="50" charset="-128"/>
            <a:cs typeface="+mn-cs"/>
          </a:endParaRPr>
        </a:p>
        <a:p>
          <a:r>
            <a:rPr lang="ja-JP" altLang="ja-JP" sz="1100">
              <a:solidFill>
                <a:schemeClr val="dk1"/>
              </a:solidFill>
              <a:effectLst/>
              <a:latin typeface="メイリオ" panose="020B0604030504040204" pitchFamily="50" charset="-128"/>
              <a:ea typeface="メイリオ" panose="020B0604030504040204" pitchFamily="50" charset="-128"/>
              <a:cs typeface="+mn-cs"/>
            </a:rPr>
            <a:t>事業所排出量内訳（第</a:t>
          </a:r>
          <a:r>
            <a:rPr lang="en-US" altLang="ja-JP" sz="1100">
              <a:solidFill>
                <a:schemeClr val="dk1"/>
              </a:solidFill>
              <a:effectLst/>
              <a:latin typeface="メイリオ" panose="020B0604030504040204" pitchFamily="50" charset="-128"/>
              <a:ea typeface="メイリオ" panose="020B0604030504040204" pitchFamily="50" charset="-128"/>
              <a:cs typeface="+mn-cs"/>
            </a:rPr>
            <a:t>3</a:t>
          </a:r>
          <a:r>
            <a:rPr lang="ja-JP" altLang="ja-JP" sz="1100">
              <a:solidFill>
                <a:schemeClr val="dk1"/>
              </a:solidFill>
              <a:effectLst/>
              <a:latin typeface="メイリオ" panose="020B0604030504040204" pitchFamily="50" charset="-128"/>
              <a:ea typeface="メイリオ" panose="020B0604030504040204" pitchFamily="50" charset="-128"/>
              <a:cs typeface="+mn-cs"/>
            </a:rPr>
            <a:t>年度</a:t>
          </a:r>
          <a:r>
            <a:rPr lang="en-US" altLang="ja-JP" sz="1100">
              <a:solidFill>
                <a:schemeClr val="dk1"/>
              </a:solidFill>
              <a:effectLst/>
              <a:latin typeface="メイリオ" panose="020B0604030504040204" pitchFamily="50" charset="-128"/>
              <a:ea typeface="メイリオ" panose="020B0604030504040204" pitchFamily="50" charset="-128"/>
              <a:cs typeface="+mn-cs"/>
            </a:rPr>
            <a:t>)</a:t>
          </a:r>
          <a:endParaRPr lang="ja-JP" altLang="ja-JP" sz="1100">
            <a:solidFill>
              <a:schemeClr val="dk1"/>
            </a:solidFill>
            <a:effectLst/>
            <a:latin typeface="メイリオ" panose="020B0604030504040204" pitchFamily="50" charset="-128"/>
            <a:ea typeface="メイリオ" panose="020B0604030504040204" pitchFamily="50" charset="-128"/>
            <a:cs typeface="+mn-cs"/>
          </a:endParaRPr>
        </a:p>
        <a:p>
          <a:endParaRPr kumimoji="1" lang="ja-JP" altLang="en-US" sz="1100">
            <a:latin typeface="メイリオ" panose="020B0604030504040204" pitchFamily="50" charset="-128"/>
            <a:ea typeface="メイリオ" panose="020B0604030504040204" pitchFamily="50" charset="-128"/>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absolute">
    <xdr:from>
      <xdr:col>4</xdr:col>
      <xdr:colOff>386716</xdr:colOff>
      <xdr:row>119</xdr:row>
      <xdr:rowOff>159096</xdr:rowOff>
    </xdr:from>
    <xdr:to>
      <xdr:col>9</xdr:col>
      <xdr:colOff>286270</xdr:colOff>
      <xdr:row>120</xdr:row>
      <xdr:rowOff>522605</xdr:rowOff>
    </xdr:to>
    <xdr:sp macro="" textlink="">
      <xdr:nvSpPr>
        <xdr:cNvPr id="4" name="角丸四角形 3">
          <a:hlinkClick xmlns:r="http://schemas.openxmlformats.org/officeDocument/2006/relationships" r:id="rId1"/>
          <a:extLst>
            <a:ext uri="{FF2B5EF4-FFF2-40B4-BE49-F238E27FC236}">
              <a16:creationId xmlns:a16="http://schemas.microsoft.com/office/drawing/2014/main" id="{00000000-0008-0000-0900-000004000000}"/>
            </a:ext>
          </a:extLst>
        </xdr:cNvPr>
        <xdr:cNvSpPr/>
      </xdr:nvSpPr>
      <xdr:spPr>
        <a:xfrm>
          <a:off x="4631056" y="48477516"/>
          <a:ext cx="1644534" cy="569249"/>
        </a:xfrm>
        <a:prstGeom prst="roundRect">
          <a:avLst/>
        </a:prstGeom>
        <a:solidFill>
          <a:schemeClr val="accent1">
            <a:lumMod val="60000"/>
            <a:lumOff val="40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marL="0" marR="0" indent="0" algn="l" defTabSz="914400" eaLnBrk="1" fontAlgn="auto" latinLnBrk="0" hangingPunct="1">
            <a:lnSpc>
              <a:spcPct val="100000"/>
            </a:lnSpc>
            <a:spcBef>
              <a:spcPts val="0"/>
            </a:spcBef>
            <a:spcAft>
              <a:spcPts val="0"/>
            </a:spcAft>
            <a:buClrTx/>
            <a:buSzTx/>
            <a:buFontTx/>
            <a:buNone/>
            <a:tabLst/>
          </a:pPr>
          <a:r>
            <a:rPr kumimoji="1" lang="ja-JP" altLang="en-US" sz="1100">
              <a:solidFill>
                <a:sysClr val="windowText" lastClr="000000"/>
              </a:solidFill>
              <a:effectLst/>
              <a:latin typeface="+mn-lt"/>
              <a:ea typeface="+mn-ea"/>
              <a:cs typeface="+mn-cs"/>
            </a:rPr>
            <a:t>その他の対策</a:t>
          </a:r>
          <a:endParaRPr kumimoji="1" lang="en-US" altLang="ja-JP" sz="1100">
            <a:solidFill>
              <a:sysClr val="windowText" lastClr="000000"/>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pPr>
          <a:r>
            <a:rPr kumimoji="1" lang="ja-JP" altLang="en-US" sz="1100">
              <a:solidFill>
                <a:sysClr val="windowText" lastClr="000000"/>
              </a:solidFill>
              <a:effectLst/>
              <a:latin typeface="+mn-lt"/>
              <a:ea typeface="+mn-ea"/>
              <a:cs typeface="+mn-cs"/>
            </a:rPr>
            <a:t>実施状況欄へ移動</a:t>
          </a:r>
        </a:p>
      </xdr:txBody>
    </xdr:sp>
    <xdr:clientData fLocksWithSheet="0" fPrintsWithSheet="0"/>
  </xdr:twoCellAnchor>
  <xdr:twoCellAnchor editAs="absolute">
    <xdr:from>
      <xdr:col>3</xdr:col>
      <xdr:colOff>2978728</xdr:colOff>
      <xdr:row>89</xdr:row>
      <xdr:rowOff>58651</xdr:rowOff>
    </xdr:from>
    <xdr:to>
      <xdr:col>8</xdr:col>
      <xdr:colOff>346710</xdr:colOff>
      <xdr:row>92</xdr:row>
      <xdr:rowOff>10738</xdr:rowOff>
    </xdr:to>
    <xdr:sp macro="" textlink="">
      <xdr:nvSpPr>
        <xdr:cNvPr id="6" name="角丸四角形 5">
          <a:hlinkClick xmlns:r="http://schemas.openxmlformats.org/officeDocument/2006/relationships" r:id="rId2"/>
          <a:extLst>
            <a:ext uri="{FF2B5EF4-FFF2-40B4-BE49-F238E27FC236}">
              <a16:creationId xmlns:a16="http://schemas.microsoft.com/office/drawing/2014/main" id="{00000000-0008-0000-0900-000006000000}"/>
            </a:ext>
          </a:extLst>
        </xdr:cNvPr>
        <xdr:cNvSpPr/>
      </xdr:nvSpPr>
      <xdr:spPr>
        <a:xfrm>
          <a:off x="4609408" y="42631591"/>
          <a:ext cx="1764722" cy="592167"/>
        </a:xfrm>
        <a:prstGeom prst="roundRect">
          <a:avLst/>
        </a:prstGeom>
        <a:solidFill>
          <a:schemeClr val="accent1">
            <a:lumMod val="60000"/>
            <a:lumOff val="40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marL="0" marR="0" indent="0" algn="l" defTabSz="914400" eaLnBrk="1" fontAlgn="auto" latinLnBrk="0" hangingPunct="1">
            <a:lnSpc>
              <a:spcPct val="100000"/>
            </a:lnSpc>
            <a:spcBef>
              <a:spcPts val="0"/>
            </a:spcBef>
            <a:spcAft>
              <a:spcPts val="0"/>
            </a:spcAft>
            <a:buClrTx/>
            <a:buSzTx/>
            <a:buFontTx/>
            <a:buNone/>
            <a:tabLst/>
          </a:pPr>
          <a:r>
            <a:rPr kumimoji="1" lang="ja-JP" altLang="en-US" sz="1100">
              <a:solidFill>
                <a:sysClr val="windowText" lastClr="000000"/>
              </a:solidFill>
              <a:effectLst/>
              <a:latin typeface="+mn-lt"/>
              <a:ea typeface="+mn-ea"/>
              <a:cs typeface="+mn-cs"/>
            </a:rPr>
            <a:t>選択対策</a:t>
          </a:r>
          <a:endParaRPr kumimoji="1" lang="en-US" altLang="ja-JP" sz="1100">
            <a:solidFill>
              <a:sysClr val="windowText" lastClr="000000"/>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pPr>
          <a:r>
            <a:rPr kumimoji="1" lang="ja-JP" altLang="en-US" sz="1100">
              <a:solidFill>
                <a:sysClr val="windowText" lastClr="000000"/>
              </a:solidFill>
              <a:effectLst/>
              <a:latin typeface="+mn-lt"/>
              <a:ea typeface="+mn-ea"/>
              <a:cs typeface="+mn-cs"/>
            </a:rPr>
            <a:t>実施状況欄へ移動</a:t>
          </a:r>
        </a:p>
      </xdr:txBody>
    </xdr:sp>
    <xdr:clientData fLocksWithSheet="0" fPrintsWithSheet="0"/>
  </xdr:twoCellAnchor>
  <xdr:twoCellAnchor editAs="absolute">
    <xdr:from>
      <xdr:col>9</xdr:col>
      <xdr:colOff>326967</xdr:colOff>
      <xdr:row>67</xdr:row>
      <xdr:rowOff>16915</xdr:rowOff>
    </xdr:from>
    <xdr:to>
      <xdr:col>13</xdr:col>
      <xdr:colOff>65982</xdr:colOff>
      <xdr:row>69</xdr:row>
      <xdr:rowOff>2078</xdr:rowOff>
    </xdr:to>
    <xdr:sp macro="" textlink="">
      <xdr:nvSpPr>
        <xdr:cNvPr id="9" name="角丸四角形 8">
          <a:hlinkClick xmlns:r="http://schemas.openxmlformats.org/officeDocument/2006/relationships" r:id="rId3"/>
          <a:extLst>
            <a:ext uri="{FF2B5EF4-FFF2-40B4-BE49-F238E27FC236}">
              <a16:creationId xmlns:a16="http://schemas.microsoft.com/office/drawing/2014/main" id="{00000000-0008-0000-0900-000009000000}"/>
            </a:ext>
          </a:extLst>
        </xdr:cNvPr>
        <xdr:cNvSpPr/>
      </xdr:nvSpPr>
      <xdr:spPr>
        <a:xfrm>
          <a:off x="6316287" y="31289395"/>
          <a:ext cx="1628775" cy="571903"/>
        </a:xfrm>
        <a:prstGeom prst="roundRect">
          <a:avLst/>
        </a:prstGeom>
        <a:solidFill>
          <a:schemeClr val="accent3">
            <a:lumMod val="60000"/>
            <a:lumOff val="40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marL="0" marR="0" indent="0" algn="l" defTabSz="914400" eaLnBrk="1" fontAlgn="auto" latinLnBrk="0" hangingPunct="1">
            <a:lnSpc>
              <a:spcPct val="100000"/>
            </a:lnSpc>
            <a:spcBef>
              <a:spcPts val="0"/>
            </a:spcBef>
            <a:spcAft>
              <a:spcPts val="0"/>
            </a:spcAft>
            <a:buClrTx/>
            <a:buSzTx/>
            <a:buFontTx/>
            <a:buNone/>
            <a:tabLst/>
          </a:pPr>
          <a:r>
            <a:rPr kumimoji="1" lang="ja-JP" altLang="en-US" sz="1100">
              <a:solidFill>
                <a:sysClr val="windowText" lastClr="000000"/>
              </a:solidFill>
              <a:effectLst/>
              <a:latin typeface="+mn-lt"/>
              <a:ea typeface="+mn-ea"/>
              <a:cs typeface="+mn-cs"/>
            </a:rPr>
            <a:t>その他の対策</a:t>
          </a:r>
          <a:endParaRPr kumimoji="1" lang="en-US" altLang="ja-JP" sz="1100">
            <a:solidFill>
              <a:sysClr val="windowText" lastClr="000000"/>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pPr>
          <a:r>
            <a:rPr kumimoji="1" lang="ja-JP" altLang="en-US" sz="1100">
              <a:solidFill>
                <a:sysClr val="windowText" lastClr="000000"/>
              </a:solidFill>
              <a:effectLst/>
              <a:latin typeface="+mn-lt"/>
              <a:ea typeface="+mn-ea"/>
              <a:cs typeface="+mn-cs"/>
            </a:rPr>
            <a:t>項目追加欄へ移動</a:t>
          </a:r>
        </a:p>
      </xdr:txBody>
    </xdr:sp>
    <xdr:clientData fLocksWithSheet="0" fPrintsWithSheet="0"/>
  </xdr:twoCellAnchor>
  <xdr:twoCellAnchor editAs="absolute">
    <xdr:from>
      <xdr:col>9</xdr:col>
      <xdr:colOff>211743</xdr:colOff>
      <xdr:row>42</xdr:row>
      <xdr:rowOff>45720</xdr:rowOff>
    </xdr:from>
    <xdr:to>
      <xdr:col>12</xdr:col>
      <xdr:colOff>318423</xdr:colOff>
      <xdr:row>44</xdr:row>
      <xdr:rowOff>33829</xdr:rowOff>
    </xdr:to>
    <xdr:sp macro="" textlink="">
      <xdr:nvSpPr>
        <xdr:cNvPr id="11" name="角丸四角形 10">
          <a:hlinkClick xmlns:r="http://schemas.openxmlformats.org/officeDocument/2006/relationships" r:id="rId4"/>
          <a:extLst>
            <a:ext uri="{FF2B5EF4-FFF2-40B4-BE49-F238E27FC236}">
              <a16:creationId xmlns:a16="http://schemas.microsoft.com/office/drawing/2014/main" id="{00000000-0008-0000-0900-00000B000000}"/>
            </a:ext>
          </a:extLst>
        </xdr:cNvPr>
        <xdr:cNvSpPr/>
      </xdr:nvSpPr>
      <xdr:spPr>
        <a:xfrm>
          <a:off x="6201063" y="13655040"/>
          <a:ext cx="1607820" cy="574849"/>
        </a:xfrm>
        <a:prstGeom prst="roundRect">
          <a:avLst/>
        </a:prstGeom>
        <a:solidFill>
          <a:schemeClr val="accent3">
            <a:lumMod val="60000"/>
            <a:lumOff val="40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marL="0" marR="0" indent="0" algn="l" defTabSz="914400" eaLnBrk="1" fontAlgn="auto" latinLnBrk="0" hangingPunct="1">
            <a:lnSpc>
              <a:spcPct val="100000"/>
            </a:lnSpc>
            <a:spcBef>
              <a:spcPts val="0"/>
            </a:spcBef>
            <a:spcAft>
              <a:spcPts val="0"/>
            </a:spcAft>
            <a:buClrTx/>
            <a:buSzTx/>
            <a:buFontTx/>
            <a:buNone/>
            <a:tabLst/>
          </a:pPr>
          <a:r>
            <a:rPr kumimoji="1" lang="ja-JP" altLang="en-US" sz="1100">
              <a:solidFill>
                <a:sysClr val="windowText" lastClr="000000"/>
              </a:solidFill>
              <a:effectLst/>
              <a:latin typeface="+mn-lt"/>
              <a:ea typeface="+mn-ea"/>
              <a:cs typeface="+mn-cs"/>
            </a:rPr>
            <a:t>選択対策</a:t>
          </a:r>
          <a:endParaRPr kumimoji="1" lang="en-US" altLang="ja-JP" sz="1100">
            <a:solidFill>
              <a:sysClr val="windowText" lastClr="000000"/>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pPr>
          <a:r>
            <a:rPr kumimoji="1" lang="ja-JP" altLang="en-US" sz="1100">
              <a:solidFill>
                <a:sysClr val="windowText" lastClr="000000"/>
              </a:solidFill>
              <a:effectLst/>
              <a:latin typeface="+mn-lt"/>
              <a:ea typeface="+mn-ea"/>
              <a:cs typeface="+mn-cs"/>
            </a:rPr>
            <a:t>項目追加欄へ移動</a:t>
          </a:r>
        </a:p>
      </xdr:txBody>
    </xdr:sp>
    <xdr:clientData fLocksWithSheet="0" fPrintsWithSheet="0"/>
  </xdr:twoCellAnchor>
</xdr:wsDr>
</file>

<file path=xl/drawings/drawing11.xml><?xml version="1.0" encoding="utf-8"?>
<xdr:wsDr xmlns:xdr="http://schemas.openxmlformats.org/drawingml/2006/spreadsheetDrawing" xmlns:a="http://schemas.openxmlformats.org/drawingml/2006/main">
  <xdr:twoCellAnchor editAs="absolute">
    <xdr:from>
      <xdr:col>9</xdr:col>
      <xdr:colOff>271145</xdr:colOff>
      <xdr:row>42</xdr:row>
      <xdr:rowOff>144780</xdr:rowOff>
    </xdr:from>
    <xdr:to>
      <xdr:col>13</xdr:col>
      <xdr:colOff>219710</xdr:colOff>
      <xdr:row>44</xdr:row>
      <xdr:rowOff>121920</xdr:rowOff>
    </xdr:to>
    <xdr:sp macro="" textlink="">
      <xdr:nvSpPr>
        <xdr:cNvPr id="5" name="角丸四角形 4">
          <a:hlinkClick xmlns:r="http://schemas.openxmlformats.org/officeDocument/2006/relationships" r:id="rId1"/>
          <a:extLst>
            <a:ext uri="{FF2B5EF4-FFF2-40B4-BE49-F238E27FC236}">
              <a16:creationId xmlns:a16="http://schemas.microsoft.com/office/drawing/2014/main" id="{00000000-0008-0000-0A00-000005000000}"/>
            </a:ext>
          </a:extLst>
        </xdr:cNvPr>
        <xdr:cNvSpPr/>
      </xdr:nvSpPr>
      <xdr:spPr>
        <a:xfrm>
          <a:off x="6534785" y="14897100"/>
          <a:ext cx="1701165" cy="563880"/>
        </a:xfrm>
        <a:prstGeom prst="roundRect">
          <a:avLst/>
        </a:prstGeom>
        <a:solidFill>
          <a:schemeClr val="accent3">
            <a:lumMod val="60000"/>
            <a:lumOff val="40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marL="0" marR="0" indent="0" algn="l" defTabSz="914400" eaLnBrk="1" fontAlgn="auto" latinLnBrk="0" hangingPunct="1">
            <a:lnSpc>
              <a:spcPct val="100000"/>
            </a:lnSpc>
            <a:spcBef>
              <a:spcPts val="0"/>
            </a:spcBef>
            <a:spcAft>
              <a:spcPts val="0"/>
            </a:spcAft>
            <a:buClrTx/>
            <a:buSzTx/>
            <a:buFontTx/>
            <a:buNone/>
            <a:tabLst/>
          </a:pPr>
          <a:r>
            <a:rPr kumimoji="1" lang="ja-JP" altLang="en-US" sz="1100">
              <a:solidFill>
                <a:sysClr val="windowText" lastClr="000000"/>
              </a:solidFill>
              <a:effectLst/>
              <a:latin typeface="+mn-lt"/>
              <a:ea typeface="+mn-ea"/>
              <a:cs typeface="+mn-cs"/>
            </a:rPr>
            <a:t>選択対策</a:t>
          </a:r>
          <a:endParaRPr kumimoji="1" lang="en-US" altLang="ja-JP" sz="1100">
            <a:solidFill>
              <a:sysClr val="windowText" lastClr="000000"/>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pPr>
          <a:r>
            <a:rPr kumimoji="1" lang="ja-JP" altLang="en-US" sz="1100">
              <a:solidFill>
                <a:sysClr val="windowText" lastClr="000000"/>
              </a:solidFill>
              <a:effectLst/>
              <a:latin typeface="+mn-lt"/>
              <a:ea typeface="+mn-ea"/>
              <a:cs typeface="+mn-cs"/>
            </a:rPr>
            <a:t>項目追加欄へ移動</a:t>
          </a:r>
        </a:p>
      </xdr:txBody>
    </xdr:sp>
    <xdr:clientData fLocksWithSheet="0" fPrintsWithSheet="0"/>
  </xdr:twoCellAnchor>
  <xdr:twoCellAnchor editAs="absolute">
    <xdr:from>
      <xdr:col>9</xdr:col>
      <xdr:colOff>399415</xdr:colOff>
      <xdr:row>67</xdr:row>
      <xdr:rowOff>90170</xdr:rowOff>
    </xdr:from>
    <xdr:to>
      <xdr:col>13</xdr:col>
      <xdr:colOff>340360</xdr:colOff>
      <xdr:row>69</xdr:row>
      <xdr:rowOff>58420</xdr:rowOff>
    </xdr:to>
    <xdr:sp macro="" textlink="">
      <xdr:nvSpPr>
        <xdr:cNvPr id="7" name="角丸四角形 6">
          <a:hlinkClick xmlns:r="http://schemas.openxmlformats.org/officeDocument/2006/relationships" r:id="rId2"/>
          <a:extLst>
            <a:ext uri="{FF2B5EF4-FFF2-40B4-BE49-F238E27FC236}">
              <a16:creationId xmlns:a16="http://schemas.microsoft.com/office/drawing/2014/main" id="{00000000-0008-0000-0A00-000007000000}"/>
            </a:ext>
          </a:extLst>
        </xdr:cNvPr>
        <xdr:cNvSpPr/>
      </xdr:nvSpPr>
      <xdr:spPr>
        <a:xfrm>
          <a:off x="6663055" y="32505650"/>
          <a:ext cx="1693545" cy="554990"/>
        </a:xfrm>
        <a:prstGeom prst="roundRect">
          <a:avLst/>
        </a:prstGeom>
        <a:solidFill>
          <a:srgbClr val="9BBB59">
            <a:lumMod val="60000"/>
            <a:lumOff val="40000"/>
          </a:srgbClr>
        </a:solidFill>
        <a:ln w="6350" cap="flat" cmpd="sng" algn="ctr">
          <a:solidFill>
            <a:sysClr val="windowText" lastClr="000000"/>
          </a:solidFill>
          <a:prstDash val="solid"/>
        </a:ln>
        <a:effectLst/>
      </xdr:spPr>
      <xdr:txBody>
        <a:bodyPr vertOverflow="clip" horzOverflow="clip" rtlCol="0" anchor="ctr" anchorCtr="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その他の対策</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項目追加欄へ移動</a:t>
          </a:r>
        </a:p>
      </xdr:txBody>
    </xdr:sp>
    <xdr:clientData fLocksWithSheet="0" fPrintsWithSheet="0"/>
  </xdr:twoCellAnchor>
  <xdr:twoCellAnchor editAs="absolute">
    <xdr:from>
      <xdr:col>4</xdr:col>
      <xdr:colOff>52705</xdr:colOff>
      <xdr:row>88</xdr:row>
      <xdr:rowOff>65405</xdr:rowOff>
    </xdr:from>
    <xdr:to>
      <xdr:col>8</xdr:col>
      <xdr:colOff>15875</xdr:colOff>
      <xdr:row>90</xdr:row>
      <xdr:rowOff>187960</xdr:rowOff>
    </xdr:to>
    <xdr:sp macro="" textlink="">
      <xdr:nvSpPr>
        <xdr:cNvPr id="10" name="角丸四角形 9">
          <a:hlinkClick xmlns:r="http://schemas.openxmlformats.org/officeDocument/2006/relationships" r:id="rId3"/>
          <a:extLst>
            <a:ext uri="{FF2B5EF4-FFF2-40B4-BE49-F238E27FC236}">
              <a16:creationId xmlns:a16="http://schemas.microsoft.com/office/drawing/2014/main" id="{00000000-0008-0000-0A00-00000A000000}"/>
            </a:ext>
          </a:extLst>
        </xdr:cNvPr>
        <xdr:cNvSpPr/>
      </xdr:nvSpPr>
      <xdr:spPr>
        <a:xfrm>
          <a:off x="4297045" y="43148885"/>
          <a:ext cx="1746250" cy="534035"/>
        </a:xfrm>
        <a:prstGeom prst="roundRect">
          <a:avLst/>
        </a:prstGeom>
        <a:solidFill>
          <a:schemeClr val="accent1">
            <a:lumMod val="60000"/>
            <a:lumOff val="40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marL="0" marR="0" indent="0" algn="l" defTabSz="914400" eaLnBrk="1" fontAlgn="auto" latinLnBrk="0" hangingPunct="1">
            <a:lnSpc>
              <a:spcPct val="100000"/>
            </a:lnSpc>
            <a:spcBef>
              <a:spcPts val="0"/>
            </a:spcBef>
            <a:spcAft>
              <a:spcPts val="0"/>
            </a:spcAft>
            <a:buClrTx/>
            <a:buSzTx/>
            <a:buFontTx/>
            <a:buNone/>
            <a:tabLst/>
          </a:pPr>
          <a:r>
            <a:rPr kumimoji="1" lang="ja-JP" altLang="en-US" sz="1100">
              <a:solidFill>
                <a:sysClr val="windowText" lastClr="000000"/>
              </a:solidFill>
              <a:effectLst/>
              <a:latin typeface="+mn-lt"/>
              <a:ea typeface="+mn-ea"/>
              <a:cs typeface="+mn-cs"/>
            </a:rPr>
            <a:t>選択対策</a:t>
          </a:r>
          <a:endParaRPr kumimoji="1" lang="en-US" altLang="ja-JP" sz="1100">
            <a:solidFill>
              <a:sysClr val="windowText" lastClr="000000"/>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pPr>
          <a:r>
            <a:rPr kumimoji="1" lang="ja-JP" altLang="en-US" sz="1100">
              <a:solidFill>
                <a:sysClr val="windowText" lastClr="000000"/>
              </a:solidFill>
              <a:effectLst/>
              <a:latin typeface="+mn-lt"/>
              <a:ea typeface="+mn-ea"/>
              <a:cs typeface="+mn-cs"/>
            </a:rPr>
            <a:t>実施状況欄へ移動</a:t>
          </a:r>
        </a:p>
      </xdr:txBody>
    </xdr:sp>
    <xdr:clientData fLocksWithSheet="0" fPrintsWithSheet="0"/>
  </xdr:twoCellAnchor>
  <xdr:twoCellAnchor editAs="absolute">
    <xdr:from>
      <xdr:col>4</xdr:col>
      <xdr:colOff>499110</xdr:colOff>
      <xdr:row>119</xdr:row>
      <xdr:rowOff>202565</xdr:rowOff>
    </xdr:from>
    <xdr:to>
      <xdr:col>9</xdr:col>
      <xdr:colOff>80010</xdr:colOff>
      <xdr:row>120</xdr:row>
      <xdr:rowOff>597535</xdr:rowOff>
    </xdr:to>
    <xdr:sp macro="" textlink="">
      <xdr:nvSpPr>
        <xdr:cNvPr id="11" name="角丸四角形 10">
          <a:hlinkClick xmlns:r="http://schemas.openxmlformats.org/officeDocument/2006/relationships" r:id="rId4"/>
          <a:extLst>
            <a:ext uri="{FF2B5EF4-FFF2-40B4-BE49-F238E27FC236}">
              <a16:creationId xmlns:a16="http://schemas.microsoft.com/office/drawing/2014/main" id="{00000000-0008-0000-0A00-00000B000000}"/>
            </a:ext>
          </a:extLst>
        </xdr:cNvPr>
        <xdr:cNvSpPr/>
      </xdr:nvSpPr>
      <xdr:spPr>
        <a:xfrm>
          <a:off x="5215890" y="50326925"/>
          <a:ext cx="1813560" cy="600710"/>
        </a:xfrm>
        <a:prstGeom prst="roundRect">
          <a:avLst/>
        </a:prstGeom>
        <a:solidFill>
          <a:schemeClr val="accent1">
            <a:lumMod val="60000"/>
            <a:lumOff val="40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marL="0" marR="0" indent="0" algn="l" defTabSz="914400" eaLnBrk="1" fontAlgn="auto" latinLnBrk="0" hangingPunct="1">
            <a:lnSpc>
              <a:spcPct val="100000"/>
            </a:lnSpc>
            <a:spcBef>
              <a:spcPts val="0"/>
            </a:spcBef>
            <a:spcAft>
              <a:spcPts val="0"/>
            </a:spcAft>
            <a:buClrTx/>
            <a:buSzTx/>
            <a:buFontTx/>
            <a:buNone/>
            <a:tabLst/>
          </a:pPr>
          <a:r>
            <a:rPr kumimoji="1" lang="ja-JP" altLang="en-US" sz="1100">
              <a:solidFill>
                <a:sysClr val="windowText" lastClr="000000"/>
              </a:solidFill>
              <a:effectLst/>
              <a:latin typeface="+mn-lt"/>
              <a:ea typeface="+mn-ea"/>
              <a:cs typeface="+mn-cs"/>
            </a:rPr>
            <a:t>その他の対策</a:t>
          </a:r>
          <a:endParaRPr kumimoji="1" lang="en-US" altLang="ja-JP" sz="1100">
            <a:solidFill>
              <a:sysClr val="windowText" lastClr="000000"/>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pPr>
          <a:r>
            <a:rPr kumimoji="1" lang="ja-JP" altLang="en-US" sz="1100">
              <a:solidFill>
                <a:sysClr val="windowText" lastClr="000000"/>
              </a:solidFill>
              <a:effectLst/>
              <a:latin typeface="+mn-lt"/>
              <a:ea typeface="+mn-ea"/>
              <a:cs typeface="+mn-cs"/>
            </a:rPr>
            <a:t>実施状況欄へ移動</a:t>
          </a:r>
        </a:p>
      </xdr:txBody>
    </xdr:sp>
    <xdr:clientData fLocksWithSheet="0" fPrintsWithSheet="0"/>
  </xdr:twoCellAnchor>
</xdr:wsDr>
</file>

<file path=xl/drawings/drawing12.xml><?xml version="1.0" encoding="utf-8"?>
<xdr:wsDr xmlns:xdr="http://schemas.openxmlformats.org/drawingml/2006/spreadsheetDrawing" xmlns:a="http://schemas.openxmlformats.org/drawingml/2006/main">
  <xdr:twoCellAnchor editAs="absolute">
    <xdr:from>
      <xdr:col>26</xdr:col>
      <xdr:colOff>296545</xdr:colOff>
      <xdr:row>43</xdr:row>
      <xdr:rowOff>171450</xdr:rowOff>
    </xdr:from>
    <xdr:to>
      <xdr:col>31</xdr:col>
      <xdr:colOff>56515</xdr:colOff>
      <xdr:row>44</xdr:row>
      <xdr:rowOff>312420</xdr:rowOff>
    </xdr:to>
    <xdr:sp macro="" textlink="">
      <xdr:nvSpPr>
        <xdr:cNvPr id="4" name="角丸四角形 3">
          <a:hlinkClick xmlns:r="http://schemas.openxmlformats.org/officeDocument/2006/relationships" r:id="rId1"/>
          <a:extLst>
            <a:ext uri="{FF2B5EF4-FFF2-40B4-BE49-F238E27FC236}">
              <a16:creationId xmlns:a16="http://schemas.microsoft.com/office/drawing/2014/main" id="{00000000-0008-0000-0B00-000004000000}"/>
            </a:ext>
          </a:extLst>
        </xdr:cNvPr>
        <xdr:cNvSpPr/>
      </xdr:nvSpPr>
      <xdr:spPr>
        <a:xfrm>
          <a:off x="7541260" y="15491460"/>
          <a:ext cx="1701165" cy="565785"/>
        </a:xfrm>
        <a:prstGeom prst="roundRect">
          <a:avLst/>
        </a:prstGeom>
        <a:solidFill>
          <a:schemeClr val="accent3">
            <a:lumMod val="60000"/>
            <a:lumOff val="40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marL="0" marR="0" indent="0" algn="l" defTabSz="914400" eaLnBrk="1" fontAlgn="auto" latinLnBrk="0" hangingPunct="1">
            <a:lnSpc>
              <a:spcPct val="100000"/>
            </a:lnSpc>
            <a:spcBef>
              <a:spcPts val="0"/>
            </a:spcBef>
            <a:spcAft>
              <a:spcPts val="0"/>
            </a:spcAft>
            <a:buClrTx/>
            <a:buSzTx/>
            <a:buFontTx/>
            <a:buNone/>
            <a:tabLst/>
          </a:pPr>
          <a:r>
            <a:rPr kumimoji="1" lang="ja-JP" altLang="en-US" sz="1100">
              <a:solidFill>
                <a:sysClr val="windowText" lastClr="000000"/>
              </a:solidFill>
              <a:effectLst/>
              <a:latin typeface="+mn-lt"/>
              <a:ea typeface="+mn-ea"/>
              <a:cs typeface="+mn-cs"/>
            </a:rPr>
            <a:t>選択対策</a:t>
          </a:r>
          <a:endParaRPr kumimoji="1" lang="en-US" altLang="ja-JP" sz="1100">
            <a:solidFill>
              <a:sysClr val="windowText" lastClr="000000"/>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pPr>
          <a:r>
            <a:rPr kumimoji="1" lang="ja-JP" altLang="en-US" sz="1100">
              <a:solidFill>
                <a:sysClr val="windowText" lastClr="000000"/>
              </a:solidFill>
              <a:effectLst/>
              <a:latin typeface="+mn-lt"/>
              <a:ea typeface="+mn-ea"/>
              <a:cs typeface="+mn-cs"/>
            </a:rPr>
            <a:t>項目追加欄へ移動</a:t>
          </a:r>
        </a:p>
      </xdr:txBody>
    </xdr:sp>
    <xdr:clientData fLocksWithSheet="0" fPrintsWithSheet="0"/>
  </xdr:twoCellAnchor>
  <xdr:twoCellAnchor editAs="absolute">
    <xdr:from>
      <xdr:col>25</xdr:col>
      <xdr:colOff>260985</xdr:colOff>
      <xdr:row>68</xdr:row>
      <xdr:rowOff>273685</xdr:rowOff>
    </xdr:from>
    <xdr:to>
      <xdr:col>30</xdr:col>
      <xdr:colOff>11430</xdr:colOff>
      <xdr:row>69</xdr:row>
      <xdr:rowOff>413385</xdr:rowOff>
    </xdr:to>
    <xdr:sp macro="" textlink="">
      <xdr:nvSpPr>
        <xdr:cNvPr id="5" name="角丸四角形 4">
          <a:hlinkClick xmlns:r="http://schemas.openxmlformats.org/officeDocument/2006/relationships" r:id="rId2"/>
          <a:extLst>
            <a:ext uri="{FF2B5EF4-FFF2-40B4-BE49-F238E27FC236}">
              <a16:creationId xmlns:a16="http://schemas.microsoft.com/office/drawing/2014/main" id="{00000000-0008-0000-0B00-000005000000}"/>
            </a:ext>
          </a:extLst>
        </xdr:cNvPr>
        <xdr:cNvSpPr/>
      </xdr:nvSpPr>
      <xdr:spPr>
        <a:xfrm>
          <a:off x="7117080" y="33262570"/>
          <a:ext cx="1697355" cy="554990"/>
        </a:xfrm>
        <a:prstGeom prst="roundRect">
          <a:avLst/>
        </a:prstGeom>
        <a:solidFill>
          <a:srgbClr val="9BBB59">
            <a:lumMod val="60000"/>
            <a:lumOff val="40000"/>
          </a:srgbClr>
        </a:solidFill>
        <a:ln w="6350" cap="flat" cmpd="sng" algn="ctr">
          <a:solidFill>
            <a:sysClr val="windowText" lastClr="000000"/>
          </a:solidFill>
          <a:prstDash val="solid"/>
        </a:ln>
        <a:effectLst/>
      </xdr:spPr>
      <xdr:txBody>
        <a:bodyPr vertOverflow="clip" horzOverflow="clip" rtlCol="0" anchor="ctr" anchorCtr="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その他の対策</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項目追加欄へ移動</a:t>
          </a:r>
        </a:p>
      </xdr:txBody>
    </xdr:sp>
    <xdr:clientData fLocksWithSheet="0" fPrintsWithSheet="0"/>
  </xdr:twoCellAnchor>
  <xdr:twoCellAnchor editAs="absolute">
    <xdr:from>
      <xdr:col>3</xdr:col>
      <xdr:colOff>2598420</xdr:colOff>
      <xdr:row>90</xdr:row>
      <xdr:rowOff>60325</xdr:rowOff>
    </xdr:from>
    <xdr:to>
      <xdr:col>5</xdr:col>
      <xdr:colOff>561340</xdr:colOff>
      <xdr:row>92</xdr:row>
      <xdr:rowOff>180975</xdr:rowOff>
    </xdr:to>
    <xdr:sp macro="" textlink="">
      <xdr:nvSpPr>
        <xdr:cNvPr id="6" name="角丸四角形 5">
          <a:hlinkClick xmlns:r="http://schemas.openxmlformats.org/officeDocument/2006/relationships" r:id="rId3"/>
          <a:extLst>
            <a:ext uri="{FF2B5EF4-FFF2-40B4-BE49-F238E27FC236}">
              <a16:creationId xmlns:a16="http://schemas.microsoft.com/office/drawing/2014/main" id="{00000000-0008-0000-0B00-000006000000}"/>
            </a:ext>
          </a:extLst>
        </xdr:cNvPr>
        <xdr:cNvSpPr/>
      </xdr:nvSpPr>
      <xdr:spPr>
        <a:xfrm>
          <a:off x="4002405" y="44412535"/>
          <a:ext cx="1929130" cy="549275"/>
        </a:xfrm>
        <a:prstGeom prst="roundRect">
          <a:avLst/>
        </a:prstGeom>
        <a:solidFill>
          <a:schemeClr val="accent1">
            <a:lumMod val="60000"/>
            <a:lumOff val="40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marL="0" marR="0" indent="0" algn="l" defTabSz="914400" eaLnBrk="1" fontAlgn="auto" latinLnBrk="0" hangingPunct="1">
            <a:lnSpc>
              <a:spcPct val="100000"/>
            </a:lnSpc>
            <a:spcBef>
              <a:spcPts val="0"/>
            </a:spcBef>
            <a:spcAft>
              <a:spcPts val="0"/>
            </a:spcAft>
            <a:buClrTx/>
            <a:buSzTx/>
            <a:buFontTx/>
            <a:buNone/>
            <a:tabLst/>
          </a:pPr>
          <a:r>
            <a:rPr kumimoji="1" lang="ja-JP" altLang="en-US" sz="1100">
              <a:solidFill>
                <a:sysClr val="windowText" lastClr="000000"/>
              </a:solidFill>
              <a:effectLst/>
              <a:latin typeface="+mn-lt"/>
              <a:ea typeface="+mn-ea"/>
              <a:cs typeface="+mn-cs"/>
            </a:rPr>
            <a:t>選択対策</a:t>
          </a:r>
          <a:endParaRPr kumimoji="1" lang="en-US" altLang="ja-JP" sz="1100">
            <a:solidFill>
              <a:sysClr val="windowText" lastClr="000000"/>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pPr>
          <a:r>
            <a:rPr kumimoji="1" lang="ja-JP" altLang="en-US" sz="1100">
              <a:solidFill>
                <a:sysClr val="windowText" lastClr="000000"/>
              </a:solidFill>
              <a:effectLst/>
              <a:latin typeface="+mn-lt"/>
              <a:ea typeface="+mn-ea"/>
              <a:cs typeface="+mn-cs"/>
            </a:rPr>
            <a:t>実施状況欄へ移動</a:t>
          </a:r>
        </a:p>
      </xdr:txBody>
    </xdr:sp>
    <xdr:clientData fLocksWithSheet="0" fPrintsWithSheet="0"/>
  </xdr:twoCellAnchor>
  <xdr:twoCellAnchor editAs="absolute">
    <xdr:from>
      <xdr:col>5</xdr:col>
      <xdr:colOff>156845</xdr:colOff>
      <xdr:row>118</xdr:row>
      <xdr:rowOff>163195</xdr:rowOff>
    </xdr:from>
    <xdr:to>
      <xdr:col>7</xdr:col>
      <xdr:colOff>591185</xdr:colOff>
      <xdr:row>120</xdr:row>
      <xdr:rowOff>333375</xdr:rowOff>
    </xdr:to>
    <xdr:sp macro="" textlink="">
      <xdr:nvSpPr>
        <xdr:cNvPr id="7" name="角丸四角形 6">
          <a:hlinkClick xmlns:r="http://schemas.openxmlformats.org/officeDocument/2006/relationships" r:id="rId4"/>
          <a:extLst>
            <a:ext uri="{FF2B5EF4-FFF2-40B4-BE49-F238E27FC236}">
              <a16:creationId xmlns:a16="http://schemas.microsoft.com/office/drawing/2014/main" id="{00000000-0008-0000-0B00-000007000000}"/>
            </a:ext>
          </a:extLst>
        </xdr:cNvPr>
        <xdr:cNvSpPr/>
      </xdr:nvSpPr>
      <xdr:spPr>
        <a:xfrm>
          <a:off x="5528945" y="50493295"/>
          <a:ext cx="1775460" cy="596900"/>
        </a:xfrm>
        <a:prstGeom prst="roundRect">
          <a:avLst/>
        </a:prstGeom>
        <a:solidFill>
          <a:schemeClr val="accent1">
            <a:lumMod val="60000"/>
            <a:lumOff val="40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marL="0" marR="0" indent="0" algn="l" defTabSz="914400" eaLnBrk="1" fontAlgn="auto" latinLnBrk="0" hangingPunct="1">
            <a:lnSpc>
              <a:spcPct val="100000"/>
            </a:lnSpc>
            <a:spcBef>
              <a:spcPts val="0"/>
            </a:spcBef>
            <a:spcAft>
              <a:spcPts val="0"/>
            </a:spcAft>
            <a:buClrTx/>
            <a:buSzTx/>
            <a:buFontTx/>
            <a:buNone/>
            <a:tabLst/>
          </a:pPr>
          <a:r>
            <a:rPr kumimoji="1" lang="ja-JP" altLang="en-US" sz="1100">
              <a:solidFill>
                <a:sysClr val="windowText" lastClr="000000"/>
              </a:solidFill>
              <a:effectLst/>
              <a:latin typeface="+mn-lt"/>
              <a:ea typeface="+mn-ea"/>
              <a:cs typeface="+mn-cs"/>
            </a:rPr>
            <a:t>その他の対策</a:t>
          </a:r>
          <a:endParaRPr kumimoji="1" lang="en-US" altLang="ja-JP" sz="1100">
            <a:solidFill>
              <a:sysClr val="windowText" lastClr="000000"/>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pPr>
          <a:r>
            <a:rPr kumimoji="1" lang="ja-JP" altLang="en-US" sz="1100">
              <a:solidFill>
                <a:sysClr val="windowText" lastClr="000000"/>
              </a:solidFill>
              <a:effectLst/>
              <a:latin typeface="+mn-lt"/>
              <a:ea typeface="+mn-ea"/>
              <a:cs typeface="+mn-cs"/>
            </a:rPr>
            <a:t>実施状況欄へ移動</a:t>
          </a:r>
        </a:p>
      </xdr:txBody>
    </xdr:sp>
    <xdr:clientData fLocksWithSheet="0" fPrintsWithSheet="0"/>
  </xdr:twoCellAnchor>
</xdr:wsDr>
</file>

<file path=xl/drawings/drawing13.xml><?xml version="1.0" encoding="utf-8"?>
<xdr:wsDr xmlns:xdr="http://schemas.openxmlformats.org/drawingml/2006/spreadsheetDrawing" xmlns:a="http://schemas.openxmlformats.org/drawingml/2006/main">
  <xdr:oneCellAnchor>
    <xdr:from>
      <xdr:col>19</xdr:col>
      <xdr:colOff>65316</xdr:colOff>
      <xdr:row>0</xdr:row>
      <xdr:rowOff>0</xdr:rowOff>
    </xdr:from>
    <xdr:ext cx="877163" cy="466165"/>
    <xdr:sp macro="" textlink="">
      <xdr:nvSpPr>
        <xdr:cNvPr id="6" name="テキスト ボックス 5">
          <a:extLst>
            <a:ext uri="{FF2B5EF4-FFF2-40B4-BE49-F238E27FC236}">
              <a16:creationId xmlns:a16="http://schemas.microsoft.com/office/drawing/2014/main" id="{00000000-0008-0000-0E00-000006000000}"/>
            </a:ext>
          </a:extLst>
        </xdr:cNvPr>
        <xdr:cNvSpPr txBox="1"/>
      </xdr:nvSpPr>
      <xdr:spPr>
        <a:xfrm>
          <a:off x="9176659" y="0"/>
          <a:ext cx="877163" cy="466165"/>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noAutofit/>
        </a:bodyPr>
        <a:lstStyle/>
        <a:p>
          <a:r>
            <a:rPr kumimoji="1" lang="ja-JP" altLang="en-US" sz="1800">
              <a:latin typeface="メイリオ" panose="020B0604030504040204" pitchFamily="50" charset="-128"/>
              <a:ea typeface="メイリオ" panose="020B0604030504040204" pitchFamily="50" charset="-128"/>
            </a:rPr>
            <a:t>非公表</a:t>
          </a:r>
        </a:p>
      </xdr:txBody>
    </xdr:sp>
    <xdr:clientData/>
  </xdr:oneCellAnchor>
  <xdr:twoCellAnchor editAs="absolute">
    <xdr:from>
      <xdr:col>19</xdr:col>
      <xdr:colOff>26307</xdr:colOff>
      <xdr:row>16</xdr:row>
      <xdr:rowOff>163286</xdr:rowOff>
    </xdr:from>
    <xdr:to>
      <xdr:col>19</xdr:col>
      <xdr:colOff>160110</xdr:colOff>
      <xdr:row>20</xdr:row>
      <xdr:rowOff>159657</xdr:rowOff>
    </xdr:to>
    <xdr:sp macro="" textlink="">
      <xdr:nvSpPr>
        <xdr:cNvPr id="11" name="右中かっこ 10">
          <a:extLst>
            <a:ext uri="{FF2B5EF4-FFF2-40B4-BE49-F238E27FC236}">
              <a16:creationId xmlns:a16="http://schemas.microsoft.com/office/drawing/2014/main" id="{00000000-0008-0000-0E00-00000B000000}"/>
            </a:ext>
          </a:extLst>
        </xdr:cNvPr>
        <xdr:cNvSpPr/>
      </xdr:nvSpPr>
      <xdr:spPr>
        <a:xfrm>
          <a:off x="9147447" y="4251960"/>
          <a:ext cx="133803" cy="978081"/>
        </a:xfrm>
        <a:prstGeom prst="rightBrace">
          <a:avLst>
            <a:gd name="adj1" fmla="val 45370"/>
            <a:gd name="adj2" fmla="val 50749"/>
          </a:avLst>
        </a:prstGeom>
        <a:no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editAs="absolute">
    <xdr:from>
      <xdr:col>19</xdr:col>
      <xdr:colOff>707569</xdr:colOff>
      <xdr:row>27</xdr:row>
      <xdr:rowOff>94796</xdr:rowOff>
    </xdr:from>
    <xdr:to>
      <xdr:col>20</xdr:col>
      <xdr:colOff>16781</xdr:colOff>
      <xdr:row>34</xdr:row>
      <xdr:rowOff>228599</xdr:rowOff>
    </xdr:to>
    <xdr:sp macro="" textlink="">
      <xdr:nvSpPr>
        <xdr:cNvPr id="12" name="右中かっこ 11">
          <a:extLst>
            <a:ext uri="{FF2B5EF4-FFF2-40B4-BE49-F238E27FC236}">
              <a16:creationId xmlns:a16="http://schemas.microsoft.com/office/drawing/2014/main" id="{00000000-0008-0000-0E00-00000C000000}"/>
            </a:ext>
          </a:extLst>
        </xdr:cNvPr>
        <xdr:cNvSpPr/>
      </xdr:nvSpPr>
      <xdr:spPr>
        <a:xfrm rot="10800000">
          <a:off x="9828709" y="6865710"/>
          <a:ext cx="261712" cy="1845037"/>
        </a:xfrm>
        <a:prstGeom prst="rightBrace">
          <a:avLst>
            <a:gd name="adj1" fmla="val 63252"/>
            <a:gd name="adj2" fmla="val 49772"/>
          </a:avLst>
        </a:prstGeom>
        <a:no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editAs="absolute">
    <xdr:from>
      <xdr:col>19</xdr:col>
      <xdr:colOff>163285</xdr:colOff>
      <xdr:row>18</xdr:row>
      <xdr:rowOff>172003</xdr:rowOff>
    </xdr:from>
    <xdr:to>
      <xdr:col>19</xdr:col>
      <xdr:colOff>707569</xdr:colOff>
      <xdr:row>31</xdr:row>
      <xdr:rowOff>47761</xdr:rowOff>
    </xdr:to>
    <xdr:cxnSp macro="">
      <xdr:nvCxnSpPr>
        <xdr:cNvPr id="13" name="直線矢印コネクタ 12">
          <a:extLst>
            <a:ext uri="{FF2B5EF4-FFF2-40B4-BE49-F238E27FC236}">
              <a16:creationId xmlns:a16="http://schemas.microsoft.com/office/drawing/2014/main" id="{00000000-0008-0000-0E00-00000D000000}"/>
            </a:ext>
          </a:extLst>
        </xdr:cNvPr>
        <xdr:cNvCxnSpPr>
          <a:stCxn id="11" idx="1"/>
          <a:endCxn id="12" idx="1"/>
        </xdr:cNvCxnSpPr>
      </xdr:nvCxnSpPr>
      <xdr:spPr>
        <a:xfrm>
          <a:off x="9284425" y="4748358"/>
          <a:ext cx="544284" cy="3045677"/>
        </a:xfrm>
        <a:prstGeom prst="straightConnector1">
          <a:avLst/>
        </a:prstGeom>
        <a:noFill/>
        <a:ln w="9525" cap="flat" cmpd="sng" algn="ctr">
          <a:solidFill>
            <a:sysClr val="windowText" lastClr="000000"/>
          </a:solidFill>
          <a:prstDash val="solid"/>
          <a:tailEnd type="arrow"/>
        </a:ln>
        <a:effectLst>
          <a:outerShdw blurRad="40000" dist="20000" dir="5400000" rotWithShape="0">
            <a:srgbClr val="000000">
              <a:alpha val="38000"/>
            </a:srgbClr>
          </a:outerShdw>
        </a:effectLst>
      </xdr:spPr>
    </xdr:cxnSp>
    <xdr:clientData/>
  </xdr:twoCellAnchor>
  <xdr:twoCellAnchor editAs="absolute">
    <xdr:from>
      <xdr:col>14</xdr:col>
      <xdr:colOff>0</xdr:colOff>
      <xdr:row>28</xdr:row>
      <xdr:rowOff>84365</xdr:rowOff>
    </xdr:from>
    <xdr:to>
      <xdr:col>19</xdr:col>
      <xdr:colOff>925285</xdr:colOff>
      <xdr:row>36</xdr:row>
      <xdr:rowOff>159656</xdr:rowOff>
    </xdr:to>
    <xdr:cxnSp macro="">
      <xdr:nvCxnSpPr>
        <xdr:cNvPr id="14" name="直線矢印コネクタ 13">
          <a:extLst>
            <a:ext uri="{FF2B5EF4-FFF2-40B4-BE49-F238E27FC236}">
              <a16:creationId xmlns:a16="http://schemas.microsoft.com/office/drawing/2014/main" id="{00000000-0008-0000-0E00-00000E000000}"/>
            </a:ext>
          </a:extLst>
        </xdr:cNvPr>
        <xdr:cNvCxnSpPr/>
      </xdr:nvCxnSpPr>
      <xdr:spPr>
        <a:xfrm>
          <a:off x="9121140" y="7099119"/>
          <a:ext cx="925285" cy="2032362"/>
        </a:xfrm>
        <a:prstGeom prst="straightConnector1">
          <a:avLst/>
        </a:prstGeom>
        <a:noFill/>
        <a:ln w="9525" cap="flat" cmpd="sng" algn="ctr">
          <a:solidFill>
            <a:sysClr val="windowText" lastClr="000000"/>
          </a:solidFill>
          <a:prstDash val="solid"/>
          <a:tailEnd type="arrow"/>
        </a:ln>
        <a:effectLst>
          <a:outerShdw blurRad="40000" dist="20000" dir="5400000" rotWithShape="0">
            <a:srgbClr val="000000">
              <a:alpha val="38000"/>
            </a:srgbClr>
          </a:outerShdw>
        </a:effectLst>
      </xdr:spPr>
    </xdr:cxnSp>
    <xdr:clientData/>
  </xdr:twoCellAnchor>
  <xdr:twoCellAnchor editAs="absolute">
    <xdr:from>
      <xdr:col>19</xdr:col>
      <xdr:colOff>30389</xdr:colOff>
      <xdr:row>31</xdr:row>
      <xdr:rowOff>174171</xdr:rowOff>
    </xdr:from>
    <xdr:to>
      <xdr:col>19</xdr:col>
      <xdr:colOff>164192</xdr:colOff>
      <xdr:row>35</xdr:row>
      <xdr:rowOff>183243</xdr:rowOff>
    </xdr:to>
    <xdr:sp macro="" textlink="">
      <xdr:nvSpPr>
        <xdr:cNvPr id="15" name="右中かっこ 14">
          <a:extLst>
            <a:ext uri="{FF2B5EF4-FFF2-40B4-BE49-F238E27FC236}">
              <a16:creationId xmlns:a16="http://schemas.microsoft.com/office/drawing/2014/main" id="{00000000-0008-0000-0E00-00000F000000}"/>
            </a:ext>
          </a:extLst>
        </xdr:cNvPr>
        <xdr:cNvSpPr/>
      </xdr:nvSpPr>
      <xdr:spPr>
        <a:xfrm>
          <a:off x="9151529" y="7924800"/>
          <a:ext cx="133803" cy="978082"/>
        </a:xfrm>
        <a:prstGeom prst="rightBrace">
          <a:avLst>
            <a:gd name="adj1" fmla="val 45370"/>
            <a:gd name="adj2" fmla="val 50749"/>
          </a:avLst>
        </a:prstGeom>
        <a:no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editAs="absolute">
    <xdr:from>
      <xdr:col>19</xdr:col>
      <xdr:colOff>731607</xdr:colOff>
      <xdr:row>38</xdr:row>
      <xdr:rowOff>190952</xdr:rowOff>
    </xdr:from>
    <xdr:to>
      <xdr:col>19</xdr:col>
      <xdr:colOff>952499</xdr:colOff>
      <xdr:row>46</xdr:row>
      <xdr:rowOff>221343</xdr:rowOff>
    </xdr:to>
    <xdr:sp macro="" textlink="">
      <xdr:nvSpPr>
        <xdr:cNvPr id="16" name="右中かっこ 15">
          <a:extLst>
            <a:ext uri="{FF2B5EF4-FFF2-40B4-BE49-F238E27FC236}">
              <a16:creationId xmlns:a16="http://schemas.microsoft.com/office/drawing/2014/main" id="{00000000-0008-0000-0E00-000010000000}"/>
            </a:ext>
          </a:extLst>
        </xdr:cNvPr>
        <xdr:cNvSpPr/>
      </xdr:nvSpPr>
      <xdr:spPr>
        <a:xfrm flipH="1">
          <a:off x="9852747" y="9648461"/>
          <a:ext cx="220892" cy="1974761"/>
        </a:xfrm>
        <a:prstGeom prst="rightBrace">
          <a:avLst>
            <a:gd name="adj1" fmla="val 63252"/>
            <a:gd name="adj2" fmla="val 49772"/>
          </a:avLst>
        </a:prstGeom>
        <a:no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editAs="absolute">
    <xdr:from>
      <xdr:col>19</xdr:col>
      <xdr:colOff>161017</xdr:colOff>
      <xdr:row>33</xdr:row>
      <xdr:rowOff>182891</xdr:rowOff>
    </xdr:from>
    <xdr:to>
      <xdr:col>19</xdr:col>
      <xdr:colOff>693964</xdr:colOff>
      <xdr:row>42</xdr:row>
      <xdr:rowOff>132443</xdr:rowOff>
    </xdr:to>
    <xdr:cxnSp macro="">
      <xdr:nvCxnSpPr>
        <xdr:cNvPr id="17" name="直線矢印コネクタ 16">
          <a:extLst>
            <a:ext uri="{FF2B5EF4-FFF2-40B4-BE49-F238E27FC236}">
              <a16:creationId xmlns:a16="http://schemas.microsoft.com/office/drawing/2014/main" id="{00000000-0008-0000-0E00-000011000000}"/>
            </a:ext>
          </a:extLst>
        </xdr:cNvPr>
        <xdr:cNvCxnSpPr>
          <a:stCxn id="15" idx="1"/>
        </xdr:cNvCxnSpPr>
      </xdr:nvCxnSpPr>
      <xdr:spPr>
        <a:xfrm>
          <a:off x="9282157" y="8421199"/>
          <a:ext cx="532947" cy="2139758"/>
        </a:xfrm>
        <a:prstGeom prst="straightConnector1">
          <a:avLst/>
        </a:prstGeom>
        <a:noFill/>
        <a:ln w="9525" cap="flat" cmpd="sng" algn="ctr">
          <a:solidFill>
            <a:sysClr val="windowText" lastClr="000000"/>
          </a:solidFill>
          <a:prstDash val="solid"/>
          <a:tailEnd type="arrow"/>
        </a:ln>
        <a:effectLst>
          <a:outerShdw blurRad="40000" dist="20000" dir="5400000" rotWithShape="0">
            <a:srgbClr val="000000">
              <a:alpha val="38000"/>
            </a:srgbClr>
          </a:outerShdw>
        </a:effectLst>
      </xdr:spPr>
    </xdr:cxnSp>
    <xdr:clientData/>
  </xdr:twoCellAnchor>
  <xdr:twoCellAnchor editAs="absolute">
    <xdr:from>
      <xdr:col>19</xdr:col>
      <xdr:colOff>47171</xdr:colOff>
      <xdr:row>35</xdr:row>
      <xdr:rowOff>198211</xdr:rowOff>
    </xdr:from>
    <xdr:to>
      <xdr:col>19</xdr:col>
      <xdr:colOff>180974</xdr:colOff>
      <xdr:row>39</xdr:row>
      <xdr:rowOff>200933</xdr:rowOff>
    </xdr:to>
    <xdr:sp macro="" textlink="">
      <xdr:nvSpPr>
        <xdr:cNvPr id="18" name="右中かっこ 17">
          <a:extLst>
            <a:ext uri="{FF2B5EF4-FFF2-40B4-BE49-F238E27FC236}">
              <a16:creationId xmlns:a16="http://schemas.microsoft.com/office/drawing/2014/main" id="{00000000-0008-0000-0E00-000012000000}"/>
            </a:ext>
          </a:extLst>
        </xdr:cNvPr>
        <xdr:cNvSpPr/>
      </xdr:nvSpPr>
      <xdr:spPr>
        <a:xfrm>
          <a:off x="9168311" y="8930550"/>
          <a:ext cx="133803" cy="971732"/>
        </a:xfrm>
        <a:prstGeom prst="rightBrace">
          <a:avLst>
            <a:gd name="adj1" fmla="val 45370"/>
            <a:gd name="adj2" fmla="val 50749"/>
          </a:avLst>
        </a:prstGeom>
        <a:no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editAs="absolute">
    <xdr:from>
      <xdr:col>19</xdr:col>
      <xdr:colOff>625928</xdr:colOff>
      <xdr:row>47</xdr:row>
      <xdr:rowOff>124278</xdr:rowOff>
    </xdr:from>
    <xdr:to>
      <xdr:col>20</xdr:col>
      <xdr:colOff>54427</xdr:colOff>
      <xdr:row>71</xdr:row>
      <xdr:rowOff>2718</xdr:rowOff>
    </xdr:to>
    <xdr:sp macro="" textlink="">
      <xdr:nvSpPr>
        <xdr:cNvPr id="19" name="右中かっこ 18">
          <a:extLst>
            <a:ext uri="{FF2B5EF4-FFF2-40B4-BE49-F238E27FC236}">
              <a16:creationId xmlns:a16="http://schemas.microsoft.com/office/drawing/2014/main" id="{00000000-0008-0000-0E00-000013000000}"/>
            </a:ext>
          </a:extLst>
        </xdr:cNvPr>
        <xdr:cNvSpPr/>
      </xdr:nvSpPr>
      <xdr:spPr>
        <a:xfrm rot="10800000">
          <a:off x="9747068" y="11765642"/>
          <a:ext cx="380999" cy="5736951"/>
        </a:xfrm>
        <a:prstGeom prst="rightBrace">
          <a:avLst>
            <a:gd name="adj1" fmla="val 63252"/>
            <a:gd name="adj2" fmla="val 49772"/>
          </a:avLst>
        </a:prstGeom>
        <a:no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editAs="absolute">
    <xdr:from>
      <xdr:col>19</xdr:col>
      <xdr:colOff>184149</xdr:colOff>
      <xdr:row>37</xdr:row>
      <xdr:rowOff>210106</xdr:rowOff>
    </xdr:from>
    <xdr:to>
      <xdr:col>19</xdr:col>
      <xdr:colOff>625928</xdr:colOff>
      <xdr:row>59</xdr:row>
      <xdr:rowOff>63953</xdr:rowOff>
    </xdr:to>
    <xdr:cxnSp macro="">
      <xdr:nvCxnSpPr>
        <xdr:cNvPr id="20" name="直線矢印コネクタ 19">
          <a:extLst>
            <a:ext uri="{FF2B5EF4-FFF2-40B4-BE49-F238E27FC236}">
              <a16:creationId xmlns:a16="http://schemas.microsoft.com/office/drawing/2014/main" id="{00000000-0008-0000-0E00-000014000000}"/>
            </a:ext>
          </a:extLst>
        </xdr:cNvPr>
        <xdr:cNvCxnSpPr>
          <a:stCxn id="18" idx="1"/>
          <a:endCxn id="19" idx="1"/>
        </xdr:cNvCxnSpPr>
      </xdr:nvCxnSpPr>
      <xdr:spPr>
        <a:xfrm>
          <a:off x="9305289" y="9423774"/>
          <a:ext cx="441779" cy="5220323"/>
        </a:xfrm>
        <a:prstGeom prst="straightConnector1">
          <a:avLst/>
        </a:prstGeom>
        <a:noFill/>
        <a:ln w="9525" cap="flat" cmpd="sng" algn="ctr">
          <a:solidFill>
            <a:sysClr val="windowText" lastClr="000000"/>
          </a:solidFill>
          <a:prstDash val="solid"/>
          <a:tailEnd type="arrow"/>
        </a:ln>
        <a:effectLst>
          <a:outerShdw blurRad="40000" dist="20000" dir="5400000" rotWithShape="0">
            <a:srgbClr val="000000">
              <a:alpha val="38000"/>
            </a:srgbClr>
          </a:outerShdw>
        </a:effectLst>
      </xdr:spPr>
    </xdr:cxnSp>
    <xdr:clientData/>
  </xdr:twoCellAnchor>
</xdr:wsDr>
</file>

<file path=xl/drawings/drawing14.xml><?xml version="1.0" encoding="utf-8"?>
<xdr:wsDr xmlns:xdr="http://schemas.openxmlformats.org/drawingml/2006/spreadsheetDrawing" xmlns:a="http://schemas.openxmlformats.org/drawingml/2006/main">
  <xdr:oneCellAnchor>
    <xdr:from>
      <xdr:col>19</xdr:col>
      <xdr:colOff>21771</xdr:colOff>
      <xdr:row>0</xdr:row>
      <xdr:rowOff>0</xdr:rowOff>
    </xdr:from>
    <xdr:ext cx="877163" cy="466165"/>
    <xdr:sp macro="" textlink="">
      <xdr:nvSpPr>
        <xdr:cNvPr id="6" name="テキスト ボックス 5">
          <a:extLst>
            <a:ext uri="{FF2B5EF4-FFF2-40B4-BE49-F238E27FC236}">
              <a16:creationId xmlns:a16="http://schemas.microsoft.com/office/drawing/2014/main" id="{00000000-0008-0000-0F00-000006000000}"/>
            </a:ext>
          </a:extLst>
        </xdr:cNvPr>
        <xdr:cNvSpPr txBox="1"/>
      </xdr:nvSpPr>
      <xdr:spPr>
        <a:xfrm>
          <a:off x="9133114" y="0"/>
          <a:ext cx="877163" cy="466165"/>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noAutofit/>
        </a:bodyPr>
        <a:lstStyle/>
        <a:p>
          <a:r>
            <a:rPr kumimoji="1" lang="ja-JP" altLang="en-US" sz="1800">
              <a:latin typeface="メイリオ" panose="020B0604030504040204" pitchFamily="50" charset="-128"/>
              <a:ea typeface="メイリオ" panose="020B0604030504040204" pitchFamily="50" charset="-128"/>
            </a:rPr>
            <a:t>非公表</a:t>
          </a:r>
        </a:p>
      </xdr:txBody>
    </xdr:sp>
    <xdr:clientData/>
  </xdr:oneCellAnchor>
  <xdr:twoCellAnchor editAs="absolute">
    <xdr:from>
      <xdr:col>19</xdr:col>
      <xdr:colOff>29482</xdr:colOff>
      <xdr:row>16</xdr:row>
      <xdr:rowOff>160111</xdr:rowOff>
    </xdr:from>
    <xdr:to>
      <xdr:col>19</xdr:col>
      <xdr:colOff>163285</xdr:colOff>
      <xdr:row>20</xdr:row>
      <xdr:rowOff>162832</xdr:rowOff>
    </xdr:to>
    <xdr:sp macro="" textlink="">
      <xdr:nvSpPr>
        <xdr:cNvPr id="11" name="右中かっこ 10">
          <a:extLst>
            <a:ext uri="{FF2B5EF4-FFF2-40B4-BE49-F238E27FC236}">
              <a16:creationId xmlns:a16="http://schemas.microsoft.com/office/drawing/2014/main" id="{00000000-0008-0000-0F00-00000B000000}"/>
            </a:ext>
          </a:extLst>
        </xdr:cNvPr>
        <xdr:cNvSpPr/>
      </xdr:nvSpPr>
      <xdr:spPr>
        <a:xfrm>
          <a:off x="9147447" y="4251960"/>
          <a:ext cx="133803" cy="978081"/>
        </a:xfrm>
        <a:prstGeom prst="rightBrace">
          <a:avLst>
            <a:gd name="adj1" fmla="val 45370"/>
            <a:gd name="adj2" fmla="val 50749"/>
          </a:avLst>
        </a:prstGeom>
        <a:no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editAs="absolute">
    <xdr:from>
      <xdr:col>19</xdr:col>
      <xdr:colOff>707569</xdr:colOff>
      <xdr:row>27</xdr:row>
      <xdr:rowOff>94796</xdr:rowOff>
    </xdr:from>
    <xdr:to>
      <xdr:col>20</xdr:col>
      <xdr:colOff>16781</xdr:colOff>
      <xdr:row>34</xdr:row>
      <xdr:rowOff>228599</xdr:rowOff>
    </xdr:to>
    <xdr:sp macro="" textlink="">
      <xdr:nvSpPr>
        <xdr:cNvPr id="12" name="右中かっこ 11">
          <a:extLst>
            <a:ext uri="{FF2B5EF4-FFF2-40B4-BE49-F238E27FC236}">
              <a16:creationId xmlns:a16="http://schemas.microsoft.com/office/drawing/2014/main" id="{00000000-0008-0000-0F00-00000C000000}"/>
            </a:ext>
          </a:extLst>
        </xdr:cNvPr>
        <xdr:cNvSpPr/>
      </xdr:nvSpPr>
      <xdr:spPr>
        <a:xfrm rot="10800000">
          <a:off x="9828709" y="6865710"/>
          <a:ext cx="261712" cy="1845037"/>
        </a:xfrm>
        <a:prstGeom prst="rightBrace">
          <a:avLst>
            <a:gd name="adj1" fmla="val 63252"/>
            <a:gd name="adj2" fmla="val 49772"/>
          </a:avLst>
        </a:prstGeom>
        <a:no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editAs="absolute">
    <xdr:from>
      <xdr:col>19</xdr:col>
      <xdr:colOff>160110</xdr:colOff>
      <xdr:row>18</xdr:row>
      <xdr:rowOff>172003</xdr:rowOff>
    </xdr:from>
    <xdr:to>
      <xdr:col>19</xdr:col>
      <xdr:colOff>707569</xdr:colOff>
      <xdr:row>31</xdr:row>
      <xdr:rowOff>44586</xdr:rowOff>
    </xdr:to>
    <xdr:cxnSp macro="">
      <xdr:nvCxnSpPr>
        <xdr:cNvPr id="13" name="直線矢印コネクタ 12">
          <a:extLst>
            <a:ext uri="{FF2B5EF4-FFF2-40B4-BE49-F238E27FC236}">
              <a16:creationId xmlns:a16="http://schemas.microsoft.com/office/drawing/2014/main" id="{00000000-0008-0000-0F00-00000D000000}"/>
            </a:ext>
          </a:extLst>
        </xdr:cNvPr>
        <xdr:cNvCxnSpPr>
          <a:stCxn id="11" idx="1"/>
          <a:endCxn id="12" idx="1"/>
        </xdr:cNvCxnSpPr>
      </xdr:nvCxnSpPr>
      <xdr:spPr>
        <a:xfrm>
          <a:off x="9284425" y="4748358"/>
          <a:ext cx="544284" cy="3045677"/>
        </a:xfrm>
        <a:prstGeom prst="straightConnector1">
          <a:avLst/>
        </a:prstGeom>
        <a:noFill/>
        <a:ln w="9525" cap="flat" cmpd="sng" algn="ctr">
          <a:solidFill>
            <a:sysClr val="windowText" lastClr="000000"/>
          </a:solidFill>
          <a:prstDash val="solid"/>
          <a:tailEnd type="arrow"/>
        </a:ln>
        <a:effectLst>
          <a:outerShdw blurRad="40000" dist="20000" dir="5400000" rotWithShape="0">
            <a:srgbClr val="000000">
              <a:alpha val="38000"/>
            </a:srgbClr>
          </a:outerShdw>
        </a:effectLst>
      </xdr:spPr>
    </xdr:cxnSp>
    <xdr:clientData/>
  </xdr:twoCellAnchor>
  <xdr:twoCellAnchor editAs="absolute">
    <xdr:from>
      <xdr:col>14</xdr:col>
      <xdr:colOff>0</xdr:colOff>
      <xdr:row>28</xdr:row>
      <xdr:rowOff>87540</xdr:rowOff>
    </xdr:from>
    <xdr:to>
      <xdr:col>19</xdr:col>
      <xdr:colOff>922110</xdr:colOff>
      <xdr:row>36</xdr:row>
      <xdr:rowOff>162831</xdr:rowOff>
    </xdr:to>
    <xdr:cxnSp macro="">
      <xdr:nvCxnSpPr>
        <xdr:cNvPr id="14" name="直線矢印コネクタ 13">
          <a:extLst>
            <a:ext uri="{FF2B5EF4-FFF2-40B4-BE49-F238E27FC236}">
              <a16:creationId xmlns:a16="http://schemas.microsoft.com/office/drawing/2014/main" id="{00000000-0008-0000-0F00-00000E000000}"/>
            </a:ext>
          </a:extLst>
        </xdr:cNvPr>
        <xdr:cNvCxnSpPr/>
      </xdr:nvCxnSpPr>
      <xdr:spPr>
        <a:xfrm>
          <a:off x="9121140" y="7099119"/>
          <a:ext cx="925285" cy="2032362"/>
        </a:xfrm>
        <a:prstGeom prst="straightConnector1">
          <a:avLst/>
        </a:prstGeom>
        <a:noFill/>
        <a:ln w="9525" cap="flat" cmpd="sng" algn="ctr">
          <a:solidFill>
            <a:sysClr val="windowText" lastClr="000000"/>
          </a:solidFill>
          <a:prstDash val="solid"/>
          <a:tailEnd type="arrow"/>
        </a:ln>
        <a:effectLst>
          <a:outerShdw blurRad="40000" dist="20000" dir="5400000" rotWithShape="0">
            <a:srgbClr val="000000">
              <a:alpha val="38000"/>
            </a:srgbClr>
          </a:outerShdw>
        </a:effectLst>
      </xdr:spPr>
    </xdr:cxnSp>
    <xdr:clientData/>
  </xdr:twoCellAnchor>
  <xdr:twoCellAnchor editAs="absolute">
    <xdr:from>
      <xdr:col>19</xdr:col>
      <xdr:colOff>27214</xdr:colOff>
      <xdr:row>31</xdr:row>
      <xdr:rowOff>174171</xdr:rowOff>
    </xdr:from>
    <xdr:to>
      <xdr:col>19</xdr:col>
      <xdr:colOff>161017</xdr:colOff>
      <xdr:row>35</xdr:row>
      <xdr:rowOff>180068</xdr:rowOff>
    </xdr:to>
    <xdr:sp macro="" textlink="">
      <xdr:nvSpPr>
        <xdr:cNvPr id="15" name="右中かっこ 14">
          <a:extLst>
            <a:ext uri="{FF2B5EF4-FFF2-40B4-BE49-F238E27FC236}">
              <a16:creationId xmlns:a16="http://schemas.microsoft.com/office/drawing/2014/main" id="{00000000-0008-0000-0F00-00000F000000}"/>
            </a:ext>
          </a:extLst>
        </xdr:cNvPr>
        <xdr:cNvSpPr/>
      </xdr:nvSpPr>
      <xdr:spPr>
        <a:xfrm>
          <a:off x="9151529" y="7924800"/>
          <a:ext cx="133803" cy="978082"/>
        </a:xfrm>
        <a:prstGeom prst="rightBrace">
          <a:avLst>
            <a:gd name="adj1" fmla="val 45370"/>
            <a:gd name="adj2" fmla="val 50749"/>
          </a:avLst>
        </a:prstGeom>
        <a:no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editAs="absolute">
    <xdr:from>
      <xdr:col>19</xdr:col>
      <xdr:colOff>734782</xdr:colOff>
      <xdr:row>38</xdr:row>
      <xdr:rowOff>190952</xdr:rowOff>
    </xdr:from>
    <xdr:to>
      <xdr:col>19</xdr:col>
      <xdr:colOff>952499</xdr:colOff>
      <xdr:row>46</xdr:row>
      <xdr:rowOff>218168</xdr:rowOff>
    </xdr:to>
    <xdr:sp macro="" textlink="">
      <xdr:nvSpPr>
        <xdr:cNvPr id="16" name="右中かっこ 15">
          <a:extLst>
            <a:ext uri="{FF2B5EF4-FFF2-40B4-BE49-F238E27FC236}">
              <a16:creationId xmlns:a16="http://schemas.microsoft.com/office/drawing/2014/main" id="{00000000-0008-0000-0F00-000010000000}"/>
            </a:ext>
          </a:extLst>
        </xdr:cNvPr>
        <xdr:cNvSpPr/>
      </xdr:nvSpPr>
      <xdr:spPr>
        <a:xfrm flipH="1">
          <a:off x="9852747" y="9648461"/>
          <a:ext cx="220892" cy="1974761"/>
        </a:xfrm>
        <a:prstGeom prst="rightBrace">
          <a:avLst>
            <a:gd name="adj1" fmla="val 63252"/>
            <a:gd name="adj2" fmla="val 49772"/>
          </a:avLst>
        </a:prstGeom>
        <a:no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editAs="absolute">
    <xdr:from>
      <xdr:col>19</xdr:col>
      <xdr:colOff>164192</xdr:colOff>
      <xdr:row>33</xdr:row>
      <xdr:rowOff>179716</xdr:rowOff>
    </xdr:from>
    <xdr:to>
      <xdr:col>19</xdr:col>
      <xdr:colOff>697139</xdr:colOff>
      <xdr:row>42</xdr:row>
      <xdr:rowOff>132443</xdr:rowOff>
    </xdr:to>
    <xdr:cxnSp macro="">
      <xdr:nvCxnSpPr>
        <xdr:cNvPr id="17" name="直線矢印コネクタ 16">
          <a:extLst>
            <a:ext uri="{FF2B5EF4-FFF2-40B4-BE49-F238E27FC236}">
              <a16:creationId xmlns:a16="http://schemas.microsoft.com/office/drawing/2014/main" id="{00000000-0008-0000-0F00-000011000000}"/>
            </a:ext>
          </a:extLst>
        </xdr:cNvPr>
        <xdr:cNvCxnSpPr>
          <a:stCxn id="15" idx="1"/>
        </xdr:cNvCxnSpPr>
      </xdr:nvCxnSpPr>
      <xdr:spPr>
        <a:xfrm>
          <a:off x="9282157" y="8421199"/>
          <a:ext cx="532947" cy="2139758"/>
        </a:xfrm>
        <a:prstGeom prst="straightConnector1">
          <a:avLst/>
        </a:prstGeom>
        <a:noFill/>
        <a:ln w="9525" cap="flat" cmpd="sng" algn="ctr">
          <a:solidFill>
            <a:sysClr val="windowText" lastClr="000000"/>
          </a:solidFill>
          <a:prstDash val="solid"/>
          <a:tailEnd type="arrow"/>
        </a:ln>
        <a:effectLst>
          <a:outerShdw blurRad="40000" dist="20000" dir="5400000" rotWithShape="0">
            <a:srgbClr val="000000">
              <a:alpha val="38000"/>
            </a:srgbClr>
          </a:outerShdw>
        </a:effectLst>
      </xdr:spPr>
    </xdr:cxnSp>
    <xdr:clientData/>
  </xdr:twoCellAnchor>
  <xdr:twoCellAnchor editAs="absolute">
    <xdr:from>
      <xdr:col>19</xdr:col>
      <xdr:colOff>50346</xdr:colOff>
      <xdr:row>35</xdr:row>
      <xdr:rowOff>201386</xdr:rowOff>
    </xdr:from>
    <xdr:to>
      <xdr:col>19</xdr:col>
      <xdr:colOff>184149</xdr:colOff>
      <xdr:row>39</xdr:row>
      <xdr:rowOff>197758</xdr:rowOff>
    </xdr:to>
    <xdr:sp macro="" textlink="">
      <xdr:nvSpPr>
        <xdr:cNvPr id="18" name="右中かっこ 17">
          <a:extLst>
            <a:ext uri="{FF2B5EF4-FFF2-40B4-BE49-F238E27FC236}">
              <a16:creationId xmlns:a16="http://schemas.microsoft.com/office/drawing/2014/main" id="{00000000-0008-0000-0F00-000012000000}"/>
            </a:ext>
          </a:extLst>
        </xdr:cNvPr>
        <xdr:cNvSpPr/>
      </xdr:nvSpPr>
      <xdr:spPr>
        <a:xfrm>
          <a:off x="9168311" y="8930550"/>
          <a:ext cx="133803" cy="971732"/>
        </a:xfrm>
        <a:prstGeom prst="rightBrace">
          <a:avLst>
            <a:gd name="adj1" fmla="val 45370"/>
            <a:gd name="adj2" fmla="val 50749"/>
          </a:avLst>
        </a:prstGeom>
        <a:no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editAs="absolute">
    <xdr:from>
      <xdr:col>19</xdr:col>
      <xdr:colOff>625928</xdr:colOff>
      <xdr:row>47</xdr:row>
      <xdr:rowOff>121103</xdr:rowOff>
    </xdr:from>
    <xdr:to>
      <xdr:col>20</xdr:col>
      <xdr:colOff>54427</xdr:colOff>
      <xdr:row>71</xdr:row>
      <xdr:rowOff>2718</xdr:rowOff>
    </xdr:to>
    <xdr:sp macro="" textlink="">
      <xdr:nvSpPr>
        <xdr:cNvPr id="19" name="右中かっこ 18">
          <a:extLst>
            <a:ext uri="{FF2B5EF4-FFF2-40B4-BE49-F238E27FC236}">
              <a16:creationId xmlns:a16="http://schemas.microsoft.com/office/drawing/2014/main" id="{00000000-0008-0000-0F00-000013000000}"/>
            </a:ext>
          </a:extLst>
        </xdr:cNvPr>
        <xdr:cNvSpPr/>
      </xdr:nvSpPr>
      <xdr:spPr>
        <a:xfrm rot="10800000">
          <a:off x="9747068" y="11765642"/>
          <a:ext cx="380999" cy="5736951"/>
        </a:xfrm>
        <a:prstGeom prst="rightBrace">
          <a:avLst>
            <a:gd name="adj1" fmla="val 63252"/>
            <a:gd name="adj2" fmla="val 49772"/>
          </a:avLst>
        </a:prstGeom>
        <a:no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editAs="absolute">
    <xdr:from>
      <xdr:col>19</xdr:col>
      <xdr:colOff>180974</xdr:colOff>
      <xdr:row>37</xdr:row>
      <xdr:rowOff>210106</xdr:rowOff>
    </xdr:from>
    <xdr:to>
      <xdr:col>19</xdr:col>
      <xdr:colOff>625928</xdr:colOff>
      <xdr:row>59</xdr:row>
      <xdr:rowOff>67128</xdr:rowOff>
    </xdr:to>
    <xdr:cxnSp macro="">
      <xdr:nvCxnSpPr>
        <xdr:cNvPr id="20" name="直線矢印コネクタ 19">
          <a:extLst>
            <a:ext uri="{FF2B5EF4-FFF2-40B4-BE49-F238E27FC236}">
              <a16:creationId xmlns:a16="http://schemas.microsoft.com/office/drawing/2014/main" id="{00000000-0008-0000-0F00-000014000000}"/>
            </a:ext>
          </a:extLst>
        </xdr:cNvPr>
        <xdr:cNvCxnSpPr>
          <a:stCxn id="18" idx="1"/>
          <a:endCxn id="19" idx="1"/>
        </xdr:cNvCxnSpPr>
      </xdr:nvCxnSpPr>
      <xdr:spPr>
        <a:xfrm>
          <a:off x="9305289" y="9423774"/>
          <a:ext cx="441779" cy="5220323"/>
        </a:xfrm>
        <a:prstGeom prst="straightConnector1">
          <a:avLst/>
        </a:prstGeom>
        <a:noFill/>
        <a:ln w="9525" cap="flat" cmpd="sng" algn="ctr">
          <a:solidFill>
            <a:sysClr val="windowText" lastClr="000000"/>
          </a:solidFill>
          <a:prstDash val="solid"/>
          <a:tailEnd type="arrow"/>
        </a:ln>
        <a:effectLst>
          <a:outerShdw blurRad="40000" dist="20000" dir="5400000" rotWithShape="0">
            <a:srgbClr val="000000">
              <a:alpha val="38000"/>
            </a:srgbClr>
          </a:outerShdw>
        </a:effectLst>
      </xdr:spPr>
    </xdr:cxnSp>
    <xdr:clientData/>
  </xdr:twoCellAnchor>
</xdr:wsDr>
</file>

<file path=xl/drawings/drawing15.xml><?xml version="1.0" encoding="utf-8"?>
<xdr:wsDr xmlns:xdr="http://schemas.openxmlformats.org/drawingml/2006/spreadsheetDrawing" xmlns:a="http://schemas.openxmlformats.org/drawingml/2006/main">
  <xdr:oneCellAnchor>
    <xdr:from>
      <xdr:col>19</xdr:col>
      <xdr:colOff>53788</xdr:colOff>
      <xdr:row>0</xdr:row>
      <xdr:rowOff>0</xdr:rowOff>
    </xdr:from>
    <xdr:ext cx="877163" cy="466165"/>
    <xdr:sp macro="" textlink="">
      <xdr:nvSpPr>
        <xdr:cNvPr id="6" name="テキスト ボックス 5">
          <a:extLst>
            <a:ext uri="{FF2B5EF4-FFF2-40B4-BE49-F238E27FC236}">
              <a16:creationId xmlns:a16="http://schemas.microsoft.com/office/drawing/2014/main" id="{00000000-0008-0000-1000-000006000000}"/>
            </a:ext>
          </a:extLst>
        </xdr:cNvPr>
        <xdr:cNvSpPr txBox="1"/>
      </xdr:nvSpPr>
      <xdr:spPr>
        <a:xfrm>
          <a:off x="9170894" y="0"/>
          <a:ext cx="877163" cy="466165"/>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noAutofit/>
        </a:bodyPr>
        <a:lstStyle/>
        <a:p>
          <a:r>
            <a:rPr kumimoji="1" lang="ja-JP" altLang="en-US" sz="1800">
              <a:latin typeface="メイリオ" panose="020B0604030504040204" pitchFamily="50" charset="-128"/>
              <a:ea typeface="メイリオ" panose="020B0604030504040204" pitchFamily="50" charset="-128"/>
            </a:rPr>
            <a:t>非公表</a:t>
          </a:r>
        </a:p>
      </xdr:txBody>
    </xdr:sp>
    <xdr:clientData/>
  </xdr:oneCellAnchor>
  <xdr:twoCellAnchor editAs="absolute">
    <xdr:from>
      <xdr:col>19</xdr:col>
      <xdr:colOff>29482</xdr:colOff>
      <xdr:row>16</xdr:row>
      <xdr:rowOff>162672</xdr:rowOff>
    </xdr:from>
    <xdr:to>
      <xdr:col>19</xdr:col>
      <xdr:colOff>163285</xdr:colOff>
      <xdr:row>20</xdr:row>
      <xdr:rowOff>168568</xdr:rowOff>
    </xdr:to>
    <xdr:sp macro="" textlink="">
      <xdr:nvSpPr>
        <xdr:cNvPr id="11" name="右中かっこ 10">
          <a:extLst>
            <a:ext uri="{FF2B5EF4-FFF2-40B4-BE49-F238E27FC236}">
              <a16:creationId xmlns:a16="http://schemas.microsoft.com/office/drawing/2014/main" id="{00000000-0008-0000-1000-00000B000000}"/>
            </a:ext>
          </a:extLst>
        </xdr:cNvPr>
        <xdr:cNvSpPr/>
      </xdr:nvSpPr>
      <xdr:spPr>
        <a:xfrm>
          <a:off x="9147447" y="4251960"/>
          <a:ext cx="133803" cy="978081"/>
        </a:xfrm>
        <a:prstGeom prst="rightBrace">
          <a:avLst>
            <a:gd name="adj1" fmla="val 45370"/>
            <a:gd name="adj2" fmla="val 50749"/>
          </a:avLst>
        </a:prstGeom>
        <a:no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editAs="absolute">
    <xdr:from>
      <xdr:col>19</xdr:col>
      <xdr:colOff>707569</xdr:colOff>
      <xdr:row>27</xdr:row>
      <xdr:rowOff>97357</xdr:rowOff>
    </xdr:from>
    <xdr:to>
      <xdr:col>20</xdr:col>
      <xdr:colOff>16781</xdr:colOff>
      <xdr:row>34</xdr:row>
      <xdr:rowOff>236896</xdr:rowOff>
    </xdr:to>
    <xdr:sp macro="" textlink="">
      <xdr:nvSpPr>
        <xdr:cNvPr id="12" name="右中かっこ 11">
          <a:extLst>
            <a:ext uri="{FF2B5EF4-FFF2-40B4-BE49-F238E27FC236}">
              <a16:creationId xmlns:a16="http://schemas.microsoft.com/office/drawing/2014/main" id="{00000000-0008-0000-1000-00000C000000}"/>
            </a:ext>
          </a:extLst>
        </xdr:cNvPr>
        <xdr:cNvSpPr/>
      </xdr:nvSpPr>
      <xdr:spPr>
        <a:xfrm rot="10800000">
          <a:off x="9828709" y="6865710"/>
          <a:ext cx="261712" cy="1845037"/>
        </a:xfrm>
        <a:prstGeom prst="rightBrace">
          <a:avLst>
            <a:gd name="adj1" fmla="val 63252"/>
            <a:gd name="adj2" fmla="val 49772"/>
          </a:avLst>
        </a:prstGeom>
        <a:no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editAs="absolute">
    <xdr:from>
      <xdr:col>19</xdr:col>
      <xdr:colOff>160110</xdr:colOff>
      <xdr:row>18</xdr:row>
      <xdr:rowOff>174565</xdr:rowOff>
    </xdr:from>
    <xdr:to>
      <xdr:col>19</xdr:col>
      <xdr:colOff>707569</xdr:colOff>
      <xdr:row>31</xdr:row>
      <xdr:rowOff>47147</xdr:rowOff>
    </xdr:to>
    <xdr:cxnSp macro="">
      <xdr:nvCxnSpPr>
        <xdr:cNvPr id="13" name="直線矢印コネクタ 12">
          <a:extLst>
            <a:ext uri="{FF2B5EF4-FFF2-40B4-BE49-F238E27FC236}">
              <a16:creationId xmlns:a16="http://schemas.microsoft.com/office/drawing/2014/main" id="{00000000-0008-0000-1000-00000D000000}"/>
            </a:ext>
          </a:extLst>
        </xdr:cNvPr>
        <xdr:cNvCxnSpPr>
          <a:stCxn id="11" idx="1"/>
          <a:endCxn id="12" idx="1"/>
        </xdr:cNvCxnSpPr>
      </xdr:nvCxnSpPr>
      <xdr:spPr>
        <a:xfrm>
          <a:off x="9284425" y="4748358"/>
          <a:ext cx="544284" cy="3045677"/>
        </a:xfrm>
        <a:prstGeom prst="straightConnector1">
          <a:avLst/>
        </a:prstGeom>
        <a:noFill/>
        <a:ln w="9525" cap="flat" cmpd="sng" algn="ctr">
          <a:solidFill>
            <a:sysClr val="windowText" lastClr="000000"/>
          </a:solidFill>
          <a:prstDash val="solid"/>
          <a:tailEnd type="arrow"/>
        </a:ln>
        <a:effectLst>
          <a:outerShdw blurRad="40000" dist="20000" dir="5400000" rotWithShape="0">
            <a:srgbClr val="000000">
              <a:alpha val="38000"/>
            </a:srgbClr>
          </a:outerShdw>
        </a:effectLst>
      </xdr:spPr>
    </xdr:cxnSp>
    <xdr:clientData/>
  </xdr:twoCellAnchor>
  <xdr:twoCellAnchor editAs="absolute">
    <xdr:from>
      <xdr:col>14</xdr:col>
      <xdr:colOff>0</xdr:colOff>
      <xdr:row>28</xdr:row>
      <xdr:rowOff>83752</xdr:rowOff>
    </xdr:from>
    <xdr:to>
      <xdr:col>19</xdr:col>
      <xdr:colOff>922110</xdr:colOff>
      <xdr:row>36</xdr:row>
      <xdr:rowOff>168568</xdr:rowOff>
    </xdr:to>
    <xdr:cxnSp macro="">
      <xdr:nvCxnSpPr>
        <xdr:cNvPr id="14" name="直線矢印コネクタ 13">
          <a:extLst>
            <a:ext uri="{FF2B5EF4-FFF2-40B4-BE49-F238E27FC236}">
              <a16:creationId xmlns:a16="http://schemas.microsoft.com/office/drawing/2014/main" id="{00000000-0008-0000-1000-00000E000000}"/>
            </a:ext>
          </a:extLst>
        </xdr:cNvPr>
        <xdr:cNvCxnSpPr/>
      </xdr:nvCxnSpPr>
      <xdr:spPr>
        <a:xfrm>
          <a:off x="9121140" y="7099119"/>
          <a:ext cx="925285" cy="2032362"/>
        </a:xfrm>
        <a:prstGeom prst="straightConnector1">
          <a:avLst/>
        </a:prstGeom>
        <a:noFill/>
        <a:ln w="9525" cap="flat" cmpd="sng" algn="ctr">
          <a:solidFill>
            <a:sysClr val="windowText" lastClr="000000"/>
          </a:solidFill>
          <a:prstDash val="solid"/>
          <a:tailEnd type="arrow"/>
        </a:ln>
        <a:effectLst>
          <a:outerShdw blurRad="40000" dist="20000" dir="5400000" rotWithShape="0">
            <a:srgbClr val="000000">
              <a:alpha val="38000"/>
            </a:srgbClr>
          </a:outerShdw>
        </a:effectLst>
      </xdr:spPr>
    </xdr:cxnSp>
    <xdr:clientData/>
  </xdr:twoCellAnchor>
  <xdr:twoCellAnchor editAs="absolute">
    <xdr:from>
      <xdr:col>19</xdr:col>
      <xdr:colOff>27214</xdr:colOff>
      <xdr:row>31</xdr:row>
      <xdr:rowOff>182469</xdr:rowOff>
    </xdr:from>
    <xdr:to>
      <xdr:col>19</xdr:col>
      <xdr:colOff>161017</xdr:colOff>
      <xdr:row>35</xdr:row>
      <xdr:rowOff>178841</xdr:rowOff>
    </xdr:to>
    <xdr:sp macro="" textlink="">
      <xdr:nvSpPr>
        <xdr:cNvPr id="15" name="右中かっこ 14">
          <a:extLst>
            <a:ext uri="{FF2B5EF4-FFF2-40B4-BE49-F238E27FC236}">
              <a16:creationId xmlns:a16="http://schemas.microsoft.com/office/drawing/2014/main" id="{00000000-0008-0000-1000-00000F000000}"/>
            </a:ext>
          </a:extLst>
        </xdr:cNvPr>
        <xdr:cNvSpPr/>
      </xdr:nvSpPr>
      <xdr:spPr>
        <a:xfrm>
          <a:off x="9151529" y="7924800"/>
          <a:ext cx="133803" cy="978082"/>
        </a:xfrm>
        <a:prstGeom prst="rightBrace">
          <a:avLst>
            <a:gd name="adj1" fmla="val 45370"/>
            <a:gd name="adj2" fmla="val 50749"/>
          </a:avLst>
        </a:prstGeom>
        <a:no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editAs="absolute">
    <xdr:from>
      <xdr:col>19</xdr:col>
      <xdr:colOff>734782</xdr:colOff>
      <xdr:row>38</xdr:row>
      <xdr:rowOff>199250</xdr:rowOff>
    </xdr:from>
    <xdr:to>
      <xdr:col>20</xdr:col>
      <xdr:colOff>2240</xdr:colOff>
      <xdr:row>46</xdr:row>
      <xdr:rowOff>216941</xdr:rowOff>
    </xdr:to>
    <xdr:sp macro="" textlink="">
      <xdr:nvSpPr>
        <xdr:cNvPr id="16" name="右中かっこ 15">
          <a:extLst>
            <a:ext uri="{FF2B5EF4-FFF2-40B4-BE49-F238E27FC236}">
              <a16:creationId xmlns:a16="http://schemas.microsoft.com/office/drawing/2014/main" id="{00000000-0008-0000-1000-000010000000}"/>
            </a:ext>
          </a:extLst>
        </xdr:cNvPr>
        <xdr:cNvSpPr/>
      </xdr:nvSpPr>
      <xdr:spPr>
        <a:xfrm flipH="1">
          <a:off x="9852747" y="9648461"/>
          <a:ext cx="220892" cy="1974761"/>
        </a:xfrm>
        <a:prstGeom prst="rightBrace">
          <a:avLst>
            <a:gd name="adj1" fmla="val 63252"/>
            <a:gd name="adj2" fmla="val 49772"/>
          </a:avLst>
        </a:prstGeom>
        <a:no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editAs="absolute">
    <xdr:from>
      <xdr:col>19</xdr:col>
      <xdr:colOff>164192</xdr:colOff>
      <xdr:row>33</xdr:row>
      <xdr:rowOff>188013</xdr:rowOff>
    </xdr:from>
    <xdr:to>
      <xdr:col>19</xdr:col>
      <xdr:colOff>697139</xdr:colOff>
      <xdr:row>42</xdr:row>
      <xdr:rowOff>135004</xdr:rowOff>
    </xdr:to>
    <xdr:cxnSp macro="">
      <xdr:nvCxnSpPr>
        <xdr:cNvPr id="17" name="直線矢印コネクタ 16">
          <a:extLst>
            <a:ext uri="{FF2B5EF4-FFF2-40B4-BE49-F238E27FC236}">
              <a16:creationId xmlns:a16="http://schemas.microsoft.com/office/drawing/2014/main" id="{00000000-0008-0000-1000-000011000000}"/>
            </a:ext>
          </a:extLst>
        </xdr:cNvPr>
        <xdr:cNvCxnSpPr>
          <a:stCxn id="15" idx="1"/>
        </xdr:cNvCxnSpPr>
      </xdr:nvCxnSpPr>
      <xdr:spPr>
        <a:xfrm>
          <a:off x="9282157" y="8421199"/>
          <a:ext cx="532947" cy="2139758"/>
        </a:xfrm>
        <a:prstGeom prst="straightConnector1">
          <a:avLst/>
        </a:prstGeom>
        <a:noFill/>
        <a:ln w="9525" cap="flat" cmpd="sng" algn="ctr">
          <a:solidFill>
            <a:sysClr val="windowText" lastClr="000000"/>
          </a:solidFill>
          <a:prstDash val="solid"/>
          <a:tailEnd type="arrow"/>
        </a:ln>
        <a:effectLst>
          <a:outerShdw blurRad="40000" dist="20000" dir="5400000" rotWithShape="0">
            <a:srgbClr val="000000">
              <a:alpha val="38000"/>
            </a:srgbClr>
          </a:outerShdw>
        </a:effectLst>
      </xdr:spPr>
    </xdr:cxnSp>
    <xdr:clientData/>
  </xdr:twoCellAnchor>
  <xdr:twoCellAnchor editAs="absolute">
    <xdr:from>
      <xdr:col>19</xdr:col>
      <xdr:colOff>50346</xdr:colOff>
      <xdr:row>35</xdr:row>
      <xdr:rowOff>209684</xdr:rowOff>
    </xdr:from>
    <xdr:to>
      <xdr:col>19</xdr:col>
      <xdr:colOff>184149</xdr:colOff>
      <xdr:row>39</xdr:row>
      <xdr:rowOff>202881</xdr:rowOff>
    </xdr:to>
    <xdr:sp macro="" textlink="">
      <xdr:nvSpPr>
        <xdr:cNvPr id="18" name="右中かっこ 17">
          <a:extLst>
            <a:ext uri="{FF2B5EF4-FFF2-40B4-BE49-F238E27FC236}">
              <a16:creationId xmlns:a16="http://schemas.microsoft.com/office/drawing/2014/main" id="{00000000-0008-0000-1000-000012000000}"/>
            </a:ext>
          </a:extLst>
        </xdr:cNvPr>
        <xdr:cNvSpPr/>
      </xdr:nvSpPr>
      <xdr:spPr>
        <a:xfrm>
          <a:off x="9168311" y="8930550"/>
          <a:ext cx="133803" cy="971732"/>
        </a:xfrm>
        <a:prstGeom prst="rightBrace">
          <a:avLst>
            <a:gd name="adj1" fmla="val 45370"/>
            <a:gd name="adj2" fmla="val 50749"/>
          </a:avLst>
        </a:prstGeom>
        <a:no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editAs="absolute">
    <xdr:from>
      <xdr:col>19</xdr:col>
      <xdr:colOff>625928</xdr:colOff>
      <xdr:row>47</xdr:row>
      <xdr:rowOff>123664</xdr:rowOff>
    </xdr:from>
    <xdr:to>
      <xdr:col>20</xdr:col>
      <xdr:colOff>54427</xdr:colOff>
      <xdr:row>71</xdr:row>
      <xdr:rowOff>8455</xdr:rowOff>
    </xdr:to>
    <xdr:sp macro="" textlink="">
      <xdr:nvSpPr>
        <xdr:cNvPr id="19" name="右中かっこ 18">
          <a:extLst>
            <a:ext uri="{FF2B5EF4-FFF2-40B4-BE49-F238E27FC236}">
              <a16:creationId xmlns:a16="http://schemas.microsoft.com/office/drawing/2014/main" id="{00000000-0008-0000-1000-000013000000}"/>
            </a:ext>
          </a:extLst>
        </xdr:cNvPr>
        <xdr:cNvSpPr/>
      </xdr:nvSpPr>
      <xdr:spPr>
        <a:xfrm rot="10800000">
          <a:off x="9747068" y="11765642"/>
          <a:ext cx="380999" cy="5736951"/>
        </a:xfrm>
        <a:prstGeom prst="rightBrace">
          <a:avLst>
            <a:gd name="adj1" fmla="val 63252"/>
            <a:gd name="adj2" fmla="val 49772"/>
          </a:avLst>
        </a:prstGeom>
        <a:no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editAs="absolute">
    <xdr:from>
      <xdr:col>19</xdr:col>
      <xdr:colOff>180974</xdr:colOff>
      <xdr:row>37</xdr:row>
      <xdr:rowOff>218403</xdr:rowOff>
    </xdr:from>
    <xdr:to>
      <xdr:col>19</xdr:col>
      <xdr:colOff>625928</xdr:colOff>
      <xdr:row>59</xdr:row>
      <xdr:rowOff>69689</xdr:rowOff>
    </xdr:to>
    <xdr:cxnSp macro="">
      <xdr:nvCxnSpPr>
        <xdr:cNvPr id="20" name="直線矢印コネクタ 19">
          <a:extLst>
            <a:ext uri="{FF2B5EF4-FFF2-40B4-BE49-F238E27FC236}">
              <a16:creationId xmlns:a16="http://schemas.microsoft.com/office/drawing/2014/main" id="{00000000-0008-0000-1000-000014000000}"/>
            </a:ext>
          </a:extLst>
        </xdr:cNvPr>
        <xdr:cNvCxnSpPr>
          <a:stCxn id="18" idx="1"/>
          <a:endCxn id="19" idx="1"/>
        </xdr:cNvCxnSpPr>
      </xdr:nvCxnSpPr>
      <xdr:spPr>
        <a:xfrm>
          <a:off x="9305289" y="9423774"/>
          <a:ext cx="441779" cy="5220323"/>
        </a:xfrm>
        <a:prstGeom prst="straightConnector1">
          <a:avLst/>
        </a:prstGeom>
        <a:noFill/>
        <a:ln w="9525" cap="flat" cmpd="sng" algn="ctr">
          <a:solidFill>
            <a:sysClr val="windowText" lastClr="000000"/>
          </a:solidFill>
          <a:prstDash val="solid"/>
          <a:tailEnd type="arrow"/>
        </a:ln>
        <a:effectLst>
          <a:outerShdw blurRad="40000" dist="20000" dir="5400000" rotWithShape="0">
            <a:srgbClr val="000000">
              <a:alpha val="38000"/>
            </a:srgbClr>
          </a:outerShdw>
        </a:effectLst>
      </xdr:spPr>
    </xdr:cxnSp>
    <xdr:clientData/>
  </xdr:twoCellAnchor>
</xdr:wsDr>
</file>

<file path=xl/drawings/drawing16.xml><?xml version="1.0" encoding="utf-8"?>
<xdr:wsDr xmlns:xdr="http://schemas.openxmlformats.org/drawingml/2006/spreadsheetDrawing" xmlns:a="http://schemas.openxmlformats.org/drawingml/2006/main">
  <xdr:oneCellAnchor>
    <xdr:from>
      <xdr:col>13</xdr:col>
      <xdr:colOff>333375</xdr:colOff>
      <xdr:row>1</xdr:row>
      <xdr:rowOff>19050</xdr:rowOff>
    </xdr:from>
    <xdr:ext cx="877163" cy="542456"/>
    <xdr:sp macro="" textlink="">
      <xdr:nvSpPr>
        <xdr:cNvPr id="2" name="テキスト ボックス 1">
          <a:extLst>
            <a:ext uri="{FF2B5EF4-FFF2-40B4-BE49-F238E27FC236}">
              <a16:creationId xmlns:a16="http://schemas.microsoft.com/office/drawing/2014/main" id="{00000000-0008-0000-1100-000002000000}"/>
            </a:ext>
          </a:extLst>
        </xdr:cNvPr>
        <xdr:cNvSpPr txBox="1"/>
      </xdr:nvSpPr>
      <xdr:spPr>
        <a:xfrm>
          <a:off x="5057775" y="285750"/>
          <a:ext cx="877163" cy="542456"/>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1800">
              <a:latin typeface="メイリオ" panose="020B0604030504040204" pitchFamily="50" charset="-128"/>
              <a:ea typeface="メイリオ" panose="020B0604030504040204" pitchFamily="50" charset="-128"/>
            </a:rPr>
            <a:t>非公表</a:t>
          </a:r>
        </a:p>
      </xdr:txBody>
    </xdr:sp>
    <xdr:clientData fPrintsWithSheet="0"/>
  </xdr:oneCellAnchor>
</xdr:wsDr>
</file>

<file path=xl/drawings/drawing17.xml><?xml version="1.0" encoding="utf-8"?>
<xdr:wsDr xmlns:xdr="http://schemas.openxmlformats.org/drawingml/2006/spreadsheetDrawing" xmlns:a="http://schemas.openxmlformats.org/drawingml/2006/main">
  <xdr:oneCellAnchor>
    <xdr:from>
      <xdr:col>14</xdr:col>
      <xdr:colOff>542925</xdr:colOff>
      <xdr:row>1</xdr:row>
      <xdr:rowOff>30480</xdr:rowOff>
    </xdr:from>
    <xdr:ext cx="877163" cy="542456"/>
    <xdr:sp macro="" textlink="">
      <xdr:nvSpPr>
        <xdr:cNvPr id="2" name="テキスト ボックス 1">
          <a:extLst>
            <a:ext uri="{FF2B5EF4-FFF2-40B4-BE49-F238E27FC236}">
              <a16:creationId xmlns:a16="http://schemas.microsoft.com/office/drawing/2014/main" id="{00000000-0008-0000-1200-000002000000}"/>
            </a:ext>
          </a:extLst>
        </xdr:cNvPr>
        <xdr:cNvSpPr txBox="1"/>
      </xdr:nvSpPr>
      <xdr:spPr>
        <a:xfrm>
          <a:off x="6059805" y="297180"/>
          <a:ext cx="877163" cy="542456"/>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1800">
              <a:latin typeface="メイリオ" panose="020B0604030504040204" pitchFamily="50" charset="-128"/>
              <a:ea typeface="メイリオ" panose="020B0604030504040204" pitchFamily="50" charset="-128"/>
            </a:rPr>
            <a:t>公表用</a:t>
          </a:r>
        </a:p>
      </xdr:txBody>
    </xdr:sp>
    <xdr:clientData fPrintsWithSheet="0"/>
  </xdr:one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91440</xdr:colOff>
      <xdr:row>76</xdr:row>
      <xdr:rowOff>62683</xdr:rowOff>
    </xdr:to>
    <xdr:pic>
      <xdr:nvPicPr>
        <xdr:cNvPr id="25" name="図 24">
          <a:extLst>
            <a:ext uri="{FF2B5EF4-FFF2-40B4-BE49-F238E27FC236}">
              <a16:creationId xmlns:a16="http://schemas.microsoft.com/office/drawing/2014/main" id="{00000000-0008-0000-1800-00001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577840" cy="128490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306590</xdr:colOff>
      <xdr:row>22</xdr:row>
      <xdr:rowOff>154642</xdr:rowOff>
    </xdr:from>
    <xdr:to>
      <xdr:col>28</xdr:col>
      <xdr:colOff>307486</xdr:colOff>
      <xdr:row>27</xdr:row>
      <xdr:rowOff>1387290</xdr:rowOff>
    </xdr:to>
    <xdr:grpSp>
      <xdr:nvGrpSpPr>
        <xdr:cNvPr id="2" name="グループ化 1" hidden="1">
          <a:extLst>
            <a:ext uri="{FF2B5EF4-FFF2-40B4-BE49-F238E27FC236}">
              <a16:creationId xmlns:a16="http://schemas.microsoft.com/office/drawing/2014/main" id="{00000000-0008-0000-0100-000002000000}"/>
            </a:ext>
          </a:extLst>
        </xdr:cNvPr>
        <xdr:cNvGrpSpPr/>
      </xdr:nvGrpSpPr>
      <xdr:grpSpPr>
        <a:xfrm>
          <a:off x="3515955" y="3238501"/>
          <a:ext cx="7871907" cy="3545542"/>
          <a:chOff x="3253740" y="3238500"/>
          <a:chExt cx="7932420" cy="3558540"/>
        </a:xfrm>
      </xdr:grpSpPr>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7452360" y="5875020"/>
            <a:ext cx="3497580" cy="9220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latin typeface="メイリオ" panose="020B0604030504040204" pitchFamily="50" charset="-128"/>
                <a:ea typeface="メイリオ" panose="020B0604030504040204" pitchFamily="50" charset="-128"/>
              </a:rPr>
              <a:t>どのように取組を進めていくかを</a:t>
            </a:r>
            <a:endParaRPr kumimoji="1" lang="en-US" altLang="ja-JP" sz="1600">
              <a:solidFill>
                <a:srgbClr val="FF0000"/>
              </a:solidFill>
              <a:latin typeface="メイリオ" panose="020B0604030504040204" pitchFamily="50" charset="-128"/>
              <a:ea typeface="メイリオ" panose="020B0604030504040204" pitchFamily="50" charset="-128"/>
            </a:endParaRPr>
          </a:p>
          <a:p>
            <a:r>
              <a:rPr kumimoji="1" lang="ja-JP" altLang="en-US" sz="1600">
                <a:solidFill>
                  <a:srgbClr val="FF0000"/>
                </a:solidFill>
                <a:latin typeface="メイリオ" panose="020B0604030504040204" pitchFamily="50" charset="-128"/>
                <a:ea typeface="メイリオ" panose="020B0604030504040204" pitchFamily="50" charset="-128"/>
              </a:rPr>
              <a:t>記述してください。</a:t>
            </a:r>
          </a:p>
        </xdr:txBody>
      </xdr:sp>
      <xdr:cxnSp macro="">
        <xdr:nvCxnSpPr>
          <xdr:cNvPr id="4" name="直線矢印コネクタ 3">
            <a:extLst>
              <a:ext uri="{FF2B5EF4-FFF2-40B4-BE49-F238E27FC236}">
                <a16:creationId xmlns:a16="http://schemas.microsoft.com/office/drawing/2014/main" id="{00000000-0008-0000-0100-000004000000}"/>
              </a:ext>
            </a:extLst>
          </xdr:cNvPr>
          <xdr:cNvCxnSpPr>
            <a:stCxn id="3" idx="1"/>
          </xdr:cNvCxnSpPr>
        </xdr:nvCxnSpPr>
        <xdr:spPr>
          <a:xfrm flipH="1" flipV="1">
            <a:off x="5448300" y="6309360"/>
            <a:ext cx="2004060" cy="26670"/>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5" name="直線矢印コネクタ 4">
            <a:extLst>
              <a:ext uri="{FF2B5EF4-FFF2-40B4-BE49-F238E27FC236}">
                <a16:creationId xmlns:a16="http://schemas.microsoft.com/office/drawing/2014/main" id="{00000000-0008-0000-0100-000005000000}"/>
              </a:ext>
            </a:extLst>
          </xdr:cNvPr>
          <xdr:cNvCxnSpPr>
            <a:cxnSpLocks/>
          </xdr:cNvCxnSpPr>
        </xdr:nvCxnSpPr>
        <xdr:spPr>
          <a:xfrm flipH="1" flipV="1">
            <a:off x="3253740" y="3893820"/>
            <a:ext cx="4084320" cy="91440"/>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6" name="直線矢印コネクタ 5">
            <a:extLst>
              <a:ext uri="{FF2B5EF4-FFF2-40B4-BE49-F238E27FC236}">
                <a16:creationId xmlns:a16="http://schemas.microsoft.com/office/drawing/2014/main" id="{00000000-0008-0000-0100-000006000000}"/>
              </a:ext>
            </a:extLst>
          </xdr:cNvPr>
          <xdr:cNvCxnSpPr>
            <a:cxnSpLocks/>
            <a:stCxn id="9" idx="1"/>
          </xdr:cNvCxnSpPr>
        </xdr:nvCxnSpPr>
        <xdr:spPr>
          <a:xfrm flipH="1">
            <a:off x="5524500" y="3954780"/>
            <a:ext cx="1882140" cy="167640"/>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7" name="直線矢印コネクタ 6">
            <a:extLst>
              <a:ext uri="{FF2B5EF4-FFF2-40B4-BE49-F238E27FC236}">
                <a16:creationId xmlns:a16="http://schemas.microsoft.com/office/drawing/2014/main" id="{00000000-0008-0000-0100-000007000000}"/>
              </a:ext>
            </a:extLst>
          </xdr:cNvPr>
          <xdr:cNvCxnSpPr>
            <a:cxnSpLocks/>
            <a:stCxn id="9" idx="1"/>
          </xdr:cNvCxnSpPr>
        </xdr:nvCxnSpPr>
        <xdr:spPr>
          <a:xfrm flipH="1">
            <a:off x="5417820" y="3954780"/>
            <a:ext cx="1988820" cy="1181100"/>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8" name="直線矢印コネクタ 7">
            <a:extLst>
              <a:ext uri="{FF2B5EF4-FFF2-40B4-BE49-F238E27FC236}">
                <a16:creationId xmlns:a16="http://schemas.microsoft.com/office/drawing/2014/main" id="{00000000-0008-0000-0100-000008000000}"/>
              </a:ext>
            </a:extLst>
          </xdr:cNvPr>
          <xdr:cNvCxnSpPr>
            <a:cxnSpLocks/>
            <a:stCxn id="9" idx="1"/>
          </xdr:cNvCxnSpPr>
        </xdr:nvCxnSpPr>
        <xdr:spPr>
          <a:xfrm flipH="1">
            <a:off x="3383280" y="3954780"/>
            <a:ext cx="4023360" cy="922020"/>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7406640" y="3238500"/>
            <a:ext cx="3779520" cy="14325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latin typeface="メイリオ" panose="020B0604030504040204" pitchFamily="50" charset="-128"/>
                <a:ea typeface="メイリオ" panose="020B0604030504040204" pitchFamily="50" charset="-128"/>
              </a:rPr>
              <a:t>開始年度にて</a:t>
            </a:r>
            <a:endParaRPr kumimoji="1" lang="en-US" altLang="ja-JP" sz="1600">
              <a:solidFill>
                <a:srgbClr val="FF0000"/>
              </a:solidFill>
              <a:latin typeface="メイリオ" panose="020B0604030504040204" pitchFamily="50" charset="-128"/>
              <a:ea typeface="メイリオ" panose="020B0604030504040204" pitchFamily="50" charset="-128"/>
            </a:endParaRPr>
          </a:p>
          <a:p>
            <a:r>
              <a:rPr kumimoji="1" lang="ja-JP" altLang="en-US" sz="1600">
                <a:solidFill>
                  <a:srgbClr val="FF0000"/>
                </a:solidFill>
                <a:latin typeface="メイリオ" panose="020B0604030504040204" pitchFamily="50" charset="-128"/>
                <a:ea typeface="メイリオ" panose="020B0604030504040204" pitchFamily="50" charset="-128"/>
              </a:rPr>
              <a:t>「目標排出量」等の入力は不要です。</a:t>
            </a:r>
            <a:endParaRPr kumimoji="1" lang="en-US" altLang="ja-JP" sz="1600">
              <a:solidFill>
                <a:srgbClr val="FF0000"/>
              </a:solidFill>
              <a:latin typeface="メイリオ" panose="020B0604030504040204" pitchFamily="50" charset="-128"/>
              <a:ea typeface="メイリオ" panose="020B0604030504040204" pitchFamily="50" charset="-128"/>
            </a:endParaRPr>
          </a:p>
          <a:p>
            <a:r>
              <a:rPr kumimoji="1" lang="ja-JP" altLang="en-US" sz="1600">
                <a:solidFill>
                  <a:srgbClr val="FF0000"/>
                </a:solidFill>
                <a:latin typeface="メイリオ" panose="020B0604030504040204" pitchFamily="50" charset="-128"/>
                <a:ea typeface="メイリオ" panose="020B0604030504040204" pitchFamily="50" charset="-128"/>
              </a:rPr>
              <a:t>次年度に入力してください。</a:t>
            </a:r>
            <a:endParaRPr kumimoji="1" lang="en-US" altLang="ja-JP" sz="1600">
              <a:solidFill>
                <a:srgbClr val="FF0000"/>
              </a:solidFill>
              <a:latin typeface="メイリオ" panose="020B0604030504040204" pitchFamily="50" charset="-128"/>
              <a:ea typeface="メイリオ" panose="020B0604030504040204" pitchFamily="50" charset="-128"/>
            </a:endParaRPr>
          </a:p>
          <a:p>
            <a:endParaRPr kumimoji="1" lang="ja-JP" altLang="en-US" sz="1600">
              <a:latin typeface="メイリオ" panose="020B0604030504040204" pitchFamily="50" charset="-128"/>
              <a:ea typeface="メイリオ" panose="020B0604030504040204" pitchFamily="50" charset="-128"/>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22860</xdr:colOff>
      <xdr:row>0</xdr:row>
      <xdr:rowOff>0</xdr:rowOff>
    </xdr:from>
    <xdr:to>
      <xdr:col>23</xdr:col>
      <xdr:colOff>388619</xdr:colOff>
      <xdr:row>61</xdr:row>
      <xdr:rowOff>427807</xdr:rowOff>
    </xdr:to>
    <xdr:grpSp>
      <xdr:nvGrpSpPr>
        <xdr:cNvPr id="15" name="グループ化 14" hidden="1">
          <a:extLst>
            <a:ext uri="{FF2B5EF4-FFF2-40B4-BE49-F238E27FC236}">
              <a16:creationId xmlns:a16="http://schemas.microsoft.com/office/drawing/2014/main" id="{00000000-0008-0000-0200-00000F000000}"/>
            </a:ext>
          </a:extLst>
        </xdr:cNvPr>
        <xdr:cNvGrpSpPr/>
      </xdr:nvGrpSpPr>
      <xdr:grpSpPr>
        <a:xfrm>
          <a:off x="22860" y="0"/>
          <a:ext cx="10149839" cy="31806967"/>
          <a:chOff x="0" y="45720"/>
          <a:chExt cx="10142219" cy="31806967"/>
        </a:xfrm>
      </xdr:grpSpPr>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5489066" y="45720"/>
            <a:ext cx="4645534" cy="3931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latin typeface="メイリオ" panose="020B0604030504040204" pitchFamily="50" charset="-128"/>
                <a:ea typeface="メイリオ" panose="020B0604030504040204" pitchFamily="50" charset="-128"/>
              </a:rPr>
              <a:t>実施状況</a:t>
            </a:r>
            <a:r>
              <a:rPr kumimoji="1" lang="en-US" altLang="ja-JP" sz="1600">
                <a:solidFill>
                  <a:srgbClr val="FF0000"/>
                </a:solidFill>
                <a:latin typeface="メイリオ" panose="020B0604030504040204" pitchFamily="50" charset="-128"/>
                <a:ea typeface="メイリオ" panose="020B0604030504040204" pitchFamily="50" charset="-128"/>
              </a:rPr>
              <a:t>(</a:t>
            </a:r>
            <a:r>
              <a:rPr kumimoji="1" lang="ja-JP" altLang="en-US" sz="1600">
                <a:solidFill>
                  <a:srgbClr val="FF0000"/>
                </a:solidFill>
                <a:latin typeface="メイリオ" panose="020B0604030504040204" pitchFamily="50" charset="-128"/>
                <a:ea typeface="メイリオ" panose="020B0604030504040204" pitchFamily="50" charset="-128"/>
              </a:rPr>
              <a:t>目標</a:t>
            </a:r>
            <a:r>
              <a:rPr kumimoji="1" lang="en-US" altLang="ja-JP" sz="1600">
                <a:solidFill>
                  <a:srgbClr val="FF0000"/>
                </a:solidFill>
                <a:latin typeface="メイリオ" panose="020B0604030504040204" pitchFamily="50" charset="-128"/>
                <a:ea typeface="メイリオ" panose="020B0604030504040204" pitchFamily="50" charset="-128"/>
              </a:rPr>
              <a:t>)</a:t>
            </a:r>
            <a:r>
              <a:rPr kumimoji="1" lang="ja-JP" altLang="en-US" sz="1600">
                <a:solidFill>
                  <a:srgbClr val="FF0000"/>
                </a:solidFill>
                <a:latin typeface="メイリオ" panose="020B0604030504040204" pitchFamily="50" charset="-128"/>
                <a:ea typeface="メイリオ" panose="020B0604030504040204" pitchFamily="50" charset="-128"/>
              </a:rPr>
              <a:t>と実施予定を選択してください。</a:t>
            </a:r>
          </a:p>
        </xdr:txBody>
      </xdr:sp>
      <xdr:cxnSp macro="">
        <xdr:nvCxnSpPr>
          <xdr:cNvPr id="4" name="直線矢印コネクタ 3">
            <a:extLst>
              <a:ext uri="{FF2B5EF4-FFF2-40B4-BE49-F238E27FC236}">
                <a16:creationId xmlns:a16="http://schemas.microsoft.com/office/drawing/2014/main" id="{00000000-0008-0000-0200-000004000000}"/>
              </a:ext>
            </a:extLst>
          </xdr:cNvPr>
          <xdr:cNvCxnSpPr>
            <a:cxnSpLocks/>
          </xdr:cNvCxnSpPr>
        </xdr:nvCxnSpPr>
        <xdr:spPr>
          <a:xfrm flipH="1">
            <a:off x="1063473" y="12493586"/>
            <a:ext cx="5195531" cy="94356"/>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 name="右中かっこ 4">
            <a:extLst>
              <a:ext uri="{FF2B5EF4-FFF2-40B4-BE49-F238E27FC236}">
                <a16:creationId xmlns:a16="http://schemas.microsoft.com/office/drawing/2014/main" id="{00000000-0008-0000-0200-000005000000}"/>
              </a:ext>
            </a:extLst>
          </xdr:cNvPr>
          <xdr:cNvSpPr/>
        </xdr:nvSpPr>
        <xdr:spPr>
          <a:xfrm rot="16200000">
            <a:off x="5231300" y="-150148"/>
            <a:ext cx="456052" cy="1485515"/>
          </a:xfrm>
          <a:prstGeom prst="rightBrace">
            <a:avLst>
              <a:gd name="adj1" fmla="val 36202"/>
              <a:gd name="adj2" fmla="val 47497"/>
            </a:avLst>
          </a:prstGeom>
          <a:ln w="317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6251465" y="12171205"/>
            <a:ext cx="2624158" cy="3931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latin typeface="メイリオ" panose="020B0604030504040204" pitchFamily="50" charset="-128"/>
                <a:ea typeface="メイリオ" panose="020B0604030504040204" pitchFamily="50" charset="-128"/>
              </a:rPr>
              <a:t>項目を選択してください。</a:t>
            </a:r>
          </a:p>
        </xdr:txBody>
      </xdr:sp>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6243685" y="30961743"/>
            <a:ext cx="3898534" cy="3931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latin typeface="メイリオ" panose="020B0604030504040204" pitchFamily="50" charset="-128"/>
                <a:ea typeface="メイリオ" panose="020B0604030504040204" pitchFamily="50" charset="-128"/>
              </a:rPr>
              <a:t>具体的な取組内容を記述してください。</a:t>
            </a:r>
          </a:p>
        </xdr:txBody>
      </xdr:sp>
      <xdr:cxnSp macro="">
        <xdr:nvCxnSpPr>
          <xdr:cNvPr id="8" name="直線矢印コネクタ 7">
            <a:extLst>
              <a:ext uri="{FF2B5EF4-FFF2-40B4-BE49-F238E27FC236}">
                <a16:creationId xmlns:a16="http://schemas.microsoft.com/office/drawing/2014/main" id="{00000000-0008-0000-0200-000008000000}"/>
              </a:ext>
            </a:extLst>
          </xdr:cNvPr>
          <xdr:cNvCxnSpPr/>
        </xdr:nvCxnSpPr>
        <xdr:spPr>
          <a:xfrm flipH="1">
            <a:off x="3569670" y="31044018"/>
            <a:ext cx="2674015" cy="283422"/>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0" y="30871761"/>
            <a:ext cx="2541211" cy="3931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latin typeface="メイリオ" panose="020B0604030504040204" pitchFamily="50" charset="-128"/>
                <a:ea typeface="メイリオ" panose="020B0604030504040204" pitchFamily="50" charset="-128"/>
              </a:rPr>
              <a:t>項目を選択してください。</a:t>
            </a:r>
          </a:p>
        </xdr:txBody>
      </xdr:sp>
      <xdr:sp macro="" textlink="">
        <xdr:nvSpPr>
          <xdr:cNvPr id="10" name="右中かっこ 9">
            <a:extLst>
              <a:ext uri="{FF2B5EF4-FFF2-40B4-BE49-F238E27FC236}">
                <a16:creationId xmlns:a16="http://schemas.microsoft.com/office/drawing/2014/main" id="{00000000-0008-0000-0200-00000A000000}"/>
              </a:ext>
            </a:extLst>
          </xdr:cNvPr>
          <xdr:cNvSpPr/>
        </xdr:nvSpPr>
        <xdr:spPr>
          <a:xfrm rot="16200000">
            <a:off x="2881636" y="29886073"/>
            <a:ext cx="314519" cy="3197250"/>
          </a:xfrm>
          <a:prstGeom prst="rightBrace">
            <a:avLst>
              <a:gd name="adj1" fmla="val 48607"/>
              <a:gd name="adj2" fmla="val 66601"/>
            </a:avLst>
          </a:prstGeom>
          <a:noFill/>
          <a:ln w="3175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573329" y="12556490"/>
            <a:ext cx="520307" cy="235889"/>
          </a:xfrm>
          <a:prstGeom prst="rect">
            <a:avLst/>
          </a:prstGeom>
          <a:noFill/>
          <a:ln w="317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497685" y="31569620"/>
            <a:ext cx="656040" cy="283067"/>
          </a:xfrm>
          <a:prstGeom prst="rect">
            <a:avLst/>
          </a:prstGeom>
          <a:noFill/>
          <a:ln w="317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3" name="直線矢印コネクタ 12">
            <a:extLst>
              <a:ext uri="{FF2B5EF4-FFF2-40B4-BE49-F238E27FC236}">
                <a16:creationId xmlns:a16="http://schemas.microsoft.com/office/drawing/2014/main" id="{00000000-0008-0000-0200-00000D000000}"/>
              </a:ext>
            </a:extLst>
          </xdr:cNvPr>
          <xdr:cNvCxnSpPr/>
        </xdr:nvCxnSpPr>
        <xdr:spPr>
          <a:xfrm>
            <a:off x="309009" y="31300579"/>
            <a:ext cx="165895" cy="369559"/>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grp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xdr:col>
      <xdr:colOff>60960</xdr:colOff>
      <xdr:row>0</xdr:row>
      <xdr:rowOff>0</xdr:rowOff>
    </xdr:from>
    <xdr:to>
      <xdr:col>22</xdr:col>
      <xdr:colOff>138248</xdr:colOff>
      <xdr:row>16</xdr:row>
      <xdr:rowOff>82731</xdr:rowOff>
    </xdr:to>
    <xdr:grpSp>
      <xdr:nvGrpSpPr>
        <xdr:cNvPr id="2" name="グループ化 1" hidden="1">
          <a:extLst>
            <a:ext uri="{FF2B5EF4-FFF2-40B4-BE49-F238E27FC236}">
              <a16:creationId xmlns:a16="http://schemas.microsoft.com/office/drawing/2014/main" id="{00000000-0008-0000-0300-000002000000}"/>
            </a:ext>
          </a:extLst>
        </xdr:cNvPr>
        <xdr:cNvGrpSpPr/>
      </xdr:nvGrpSpPr>
      <xdr:grpSpPr>
        <a:xfrm>
          <a:off x="449580" y="0"/>
          <a:ext cx="12200708" cy="19483251"/>
          <a:chOff x="518160" y="7620"/>
          <a:chExt cx="12153900" cy="19431000"/>
        </a:xfrm>
      </xdr:grpSpPr>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6370320" y="7620"/>
            <a:ext cx="6301740" cy="27279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latin typeface="メイリオ" panose="020B0604030504040204" pitchFamily="50" charset="-128"/>
                <a:ea typeface="メイリオ" panose="020B0604030504040204" pitchFamily="50" charset="-128"/>
              </a:rPr>
              <a:t>開始年度にて</a:t>
            </a:r>
            <a:endParaRPr kumimoji="1" lang="en-US" altLang="ja-JP" sz="1600">
              <a:solidFill>
                <a:srgbClr val="FF0000"/>
              </a:solidFill>
              <a:latin typeface="メイリオ" panose="020B0604030504040204" pitchFamily="50" charset="-128"/>
              <a:ea typeface="メイリオ" panose="020B0604030504040204" pitchFamily="50" charset="-128"/>
            </a:endParaRPr>
          </a:p>
          <a:p>
            <a:r>
              <a:rPr kumimoji="1" lang="ja-JP" altLang="en-US" sz="1600">
                <a:solidFill>
                  <a:srgbClr val="FF0000"/>
                </a:solidFill>
                <a:latin typeface="メイリオ" panose="020B0604030504040204" pitchFamily="50" charset="-128"/>
                <a:ea typeface="メイリオ" panose="020B0604030504040204" pitchFamily="50" charset="-128"/>
              </a:rPr>
              <a:t>「参考１　これまで実施した削減対策の実績」の記述は不要です。</a:t>
            </a:r>
            <a:endParaRPr kumimoji="1" lang="en-US" altLang="ja-JP" sz="1600">
              <a:solidFill>
                <a:srgbClr val="FF0000"/>
              </a:solidFill>
              <a:latin typeface="メイリオ" panose="020B0604030504040204" pitchFamily="50" charset="-128"/>
              <a:ea typeface="メイリオ" panose="020B0604030504040204" pitchFamily="50" charset="-128"/>
            </a:endParaRPr>
          </a:p>
          <a:p>
            <a:r>
              <a:rPr kumimoji="1" lang="ja-JP" altLang="en-US" sz="1600">
                <a:solidFill>
                  <a:srgbClr val="FF0000"/>
                </a:solidFill>
                <a:latin typeface="メイリオ" panose="020B0604030504040204" pitchFamily="50" charset="-128"/>
                <a:ea typeface="メイリオ" panose="020B0604030504040204" pitchFamily="50" charset="-128"/>
              </a:rPr>
              <a:t>次年度に記述してください。</a:t>
            </a:r>
            <a:endParaRPr kumimoji="1" lang="en-US" altLang="ja-JP" sz="1600">
              <a:solidFill>
                <a:srgbClr val="FF0000"/>
              </a:solidFill>
              <a:latin typeface="メイリオ" panose="020B0604030504040204" pitchFamily="50" charset="-128"/>
              <a:ea typeface="メイリオ" panose="020B0604030504040204" pitchFamily="50" charset="-128"/>
            </a:endParaRPr>
          </a:p>
          <a:p>
            <a:endParaRPr kumimoji="1" lang="en-US" altLang="ja-JP" sz="1600">
              <a:solidFill>
                <a:srgbClr val="FF0000"/>
              </a:solidFill>
              <a:latin typeface="メイリオ" panose="020B0604030504040204" pitchFamily="50" charset="-128"/>
              <a:ea typeface="メイリオ" panose="020B0604030504040204" pitchFamily="50" charset="-128"/>
            </a:endParaRPr>
          </a:p>
          <a:p>
            <a:r>
              <a:rPr kumimoji="1" lang="ja-JP" altLang="en-US" sz="1600">
                <a:solidFill>
                  <a:srgbClr val="FF0000"/>
                </a:solidFill>
                <a:latin typeface="メイリオ" panose="020B0604030504040204" pitchFamily="50" charset="-128"/>
                <a:ea typeface="メイリオ" panose="020B0604030504040204" pitchFamily="50" charset="-128"/>
              </a:rPr>
              <a:t>なお、</a:t>
            </a:r>
            <a:r>
              <a:rPr kumimoji="1" lang="ja-JP" altLang="ja-JP" sz="1600">
                <a:solidFill>
                  <a:srgbClr val="FF0000"/>
                </a:solidFill>
                <a:latin typeface="メイリオ" panose="020B0604030504040204" pitchFamily="50" charset="-128"/>
                <a:ea typeface="メイリオ" panose="020B0604030504040204" pitchFamily="50" charset="-128"/>
                <a:cs typeface="+mn-cs"/>
              </a:rPr>
              <a:t>「参考２　計画期間内に実施を予定している削減対策」</a:t>
            </a:r>
            <a:r>
              <a:rPr kumimoji="1" lang="ja-JP" altLang="en-US" sz="1600">
                <a:solidFill>
                  <a:srgbClr val="FF0000"/>
                </a:solidFill>
                <a:latin typeface="メイリオ" panose="020B0604030504040204" pitchFamily="50" charset="-128"/>
                <a:ea typeface="メイリオ" panose="020B0604030504040204" pitchFamily="50" charset="-128"/>
                <a:cs typeface="+mn-cs"/>
              </a:rPr>
              <a:t>は</a:t>
            </a:r>
            <a:endParaRPr kumimoji="1" lang="en-US" altLang="ja-JP" sz="1600">
              <a:solidFill>
                <a:srgbClr val="FF0000"/>
              </a:solidFill>
              <a:latin typeface="メイリオ" panose="020B0604030504040204" pitchFamily="50" charset="-128"/>
              <a:ea typeface="メイリオ" panose="020B0604030504040204" pitchFamily="50" charset="-128"/>
              <a:cs typeface="+mn-cs"/>
            </a:endParaRPr>
          </a:p>
          <a:p>
            <a:r>
              <a:rPr kumimoji="1" lang="ja-JP" altLang="en-US" sz="1600">
                <a:solidFill>
                  <a:srgbClr val="FF0000"/>
                </a:solidFill>
                <a:latin typeface="メイリオ" panose="020B0604030504040204" pitchFamily="50" charset="-128"/>
                <a:ea typeface="メイリオ" panose="020B0604030504040204" pitchFamily="50" charset="-128"/>
                <a:cs typeface="+mn-cs"/>
              </a:rPr>
              <a:t>開始年度にて</a:t>
            </a:r>
            <a:r>
              <a:rPr kumimoji="1" lang="ja-JP" altLang="ja-JP" sz="1600">
                <a:solidFill>
                  <a:srgbClr val="FF0000"/>
                </a:solidFill>
                <a:latin typeface="メイリオ" panose="020B0604030504040204" pitchFamily="50" charset="-128"/>
                <a:ea typeface="メイリオ" panose="020B0604030504040204" pitchFamily="50" charset="-128"/>
                <a:cs typeface="+mn-cs"/>
              </a:rPr>
              <a:t>記述してください。</a:t>
            </a:r>
          </a:p>
          <a:p>
            <a:endParaRPr kumimoji="1" lang="en-US" altLang="ja-JP" sz="1600">
              <a:latin typeface="メイリオ" panose="020B0604030504040204" pitchFamily="50" charset="-128"/>
              <a:ea typeface="メイリオ" panose="020B0604030504040204" pitchFamily="50" charset="-128"/>
            </a:endParaRPr>
          </a:p>
          <a:p>
            <a:endParaRPr kumimoji="1" lang="ja-JP" altLang="en-US" sz="1600">
              <a:latin typeface="メイリオ" panose="020B0604030504040204" pitchFamily="50" charset="-128"/>
              <a:ea typeface="メイリオ" panose="020B0604030504040204" pitchFamily="50" charset="-128"/>
            </a:endParaRPr>
          </a:p>
        </xdr:txBody>
      </xdr:sp>
      <xdr:cxnSp macro="">
        <xdr:nvCxnSpPr>
          <xdr:cNvPr id="4" name="直線矢印コネクタ 3">
            <a:extLst>
              <a:ext uri="{FF2B5EF4-FFF2-40B4-BE49-F238E27FC236}">
                <a16:creationId xmlns:a16="http://schemas.microsoft.com/office/drawing/2014/main" id="{00000000-0008-0000-0300-000004000000}"/>
              </a:ext>
            </a:extLst>
          </xdr:cNvPr>
          <xdr:cNvCxnSpPr/>
        </xdr:nvCxnSpPr>
        <xdr:spPr>
          <a:xfrm flipH="1">
            <a:off x="3139440" y="281940"/>
            <a:ext cx="3208020" cy="121920"/>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 name="右中かっこ 4">
            <a:extLst>
              <a:ext uri="{FF2B5EF4-FFF2-40B4-BE49-F238E27FC236}">
                <a16:creationId xmlns:a16="http://schemas.microsoft.com/office/drawing/2014/main" id="{00000000-0008-0000-0300-000005000000}"/>
              </a:ext>
            </a:extLst>
          </xdr:cNvPr>
          <xdr:cNvSpPr/>
        </xdr:nvSpPr>
        <xdr:spPr>
          <a:xfrm rot="16200000">
            <a:off x="2571750" y="-1611630"/>
            <a:ext cx="342900" cy="4358640"/>
          </a:xfrm>
          <a:prstGeom prst="rightBrace">
            <a:avLst>
              <a:gd name="adj1" fmla="val 36202"/>
              <a:gd name="adj2" fmla="val 58861"/>
            </a:avLst>
          </a:prstGeom>
          <a:ln w="317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xnSp macro="">
        <xdr:nvCxnSpPr>
          <xdr:cNvPr id="6" name="直線矢印コネクタ 5">
            <a:extLst>
              <a:ext uri="{FF2B5EF4-FFF2-40B4-BE49-F238E27FC236}">
                <a16:creationId xmlns:a16="http://schemas.microsoft.com/office/drawing/2014/main" id="{00000000-0008-0000-0300-000006000000}"/>
              </a:ext>
            </a:extLst>
          </xdr:cNvPr>
          <xdr:cNvCxnSpPr/>
        </xdr:nvCxnSpPr>
        <xdr:spPr>
          <a:xfrm flipH="1">
            <a:off x="3680460" y="18722340"/>
            <a:ext cx="3375660" cy="99060"/>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7" name="右中かっこ 6">
            <a:extLst>
              <a:ext uri="{FF2B5EF4-FFF2-40B4-BE49-F238E27FC236}">
                <a16:creationId xmlns:a16="http://schemas.microsoft.com/office/drawing/2014/main" id="{00000000-0008-0000-0300-000007000000}"/>
              </a:ext>
            </a:extLst>
          </xdr:cNvPr>
          <xdr:cNvSpPr/>
        </xdr:nvSpPr>
        <xdr:spPr>
          <a:xfrm rot="16200000">
            <a:off x="2548890" y="16805910"/>
            <a:ext cx="342900" cy="4404360"/>
          </a:xfrm>
          <a:prstGeom prst="rightBrace">
            <a:avLst>
              <a:gd name="adj1" fmla="val 36202"/>
              <a:gd name="adj2" fmla="val 72148"/>
            </a:avLst>
          </a:prstGeom>
          <a:ln w="317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7010400" y="18044160"/>
            <a:ext cx="5654040" cy="13944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メイリオ" panose="020B0604030504040204" pitchFamily="50" charset="-128"/>
                <a:ea typeface="メイリオ" panose="020B0604030504040204" pitchFamily="50" charset="-128"/>
              </a:rPr>
              <a:t>開始年度にて</a:t>
            </a:r>
            <a:endParaRPr kumimoji="1" lang="en-US" altLang="ja-JP" sz="1600">
              <a:latin typeface="メイリオ" panose="020B0604030504040204" pitchFamily="50" charset="-128"/>
              <a:ea typeface="メイリオ" panose="020B0604030504040204" pitchFamily="50" charset="-128"/>
            </a:endParaRPr>
          </a:p>
          <a:p>
            <a:r>
              <a:rPr kumimoji="1" lang="ja-JP" altLang="en-US" sz="1600">
                <a:latin typeface="メイリオ" panose="020B0604030504040204" pitchFamily="50" charset="-128"/>
                <a:ea typeface="メイリオ" panose="020B0604030504040204" pitchFamily="50" charset="-128"/>
              </a:rPr>
              <a:t>「参考２　計画期間内に実施を予定している削減対策」の</a:t>
            </a:r>
            <a:endParaRPr kumimoji="1" lang="en-US" altLang="ja-JP" sz="1600">
              <a:latin typeface="メイリオ" panose="020B0604030504040204" pitchFamily="50" charset="-128"/>
              <a:ea typeface="メイリオ" panose="020B0604030504040204" pitchFamily="50" charset="-128"/>
            </a:endParaRPr>
          </a:p>
          <a:p>
            <a:r>
              <a:rPr kumimoji="1" lang="ja-JP" altLang="en-US" sz="1600">
                <a:latin typeface="メイリオ" panose="020B0604030504040204" pitchFamily="50" charset="-128"/>
                <a:ea typeface="メイリオ" panose="020B0604030504040204" pitchFamily="50" charset="-128"/>
              </a:rPr>
              <a:t>記述してください。</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18</xdr:col>
      <xdr:colOff>53340</xdr:colOff>
      <xdr:row>0</xdr:row>
      <xdr:rowOff>0</xdr:rowOff>
    </xdr:from>
    <xdr:to>
      <xdr:col>26</xdr:col>
      <xdr:colOff>358140</xdr:colOff>
      <xdr:row>4</xdr:row>
      <xdr:rowOff>83820</xdr:rowOff>
    </xdr:to>
    <xdr:sp macro="" textlink="">
      <xdr:nvSpPr>
        <xdr:cNvPr id="2" name="テキスト ボックス 2_仮参加" hidden="1">
          <a:extLst>
            <a:ext uri="{FF2B5EF4-FFF2-40B4-BE49-F238E27FC236}">
              <a16:creationId xmlns:a16="http://schemas.microsoft.com/office/drawing/2014/main" id="{00000000-0008-0000-0400-000002000000}"/>
            </a:ext>
          </a:extLst>
        </xdr:cNvPr>
        <xdr:cNvSpPr txBox="1"/>
      </xdr:nvSpPr>
      <xdr:spPr>
        <a:xfrm>
          <a:off x="10096500" y="0"/>
          <a:ext cx="5242560" cy="15925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latin typeface="メイリオ" panose="020B0604030504040204" pitchFamily="50" charset="-128"/>
              <a:ea typeface="メイリオ" panose="020B0604030504040204" pitchFamily="50" charset="-128"/>
            </a:rPr>
            <a:t>開始年度にて</a:t>
          </a:r>
          <a:endParaRPr kumimoji="1" lang="en-US" altLang="ja-JP" sz="1600">
            <a:solidFill>
              <a:srgbClr val="FF0000"/>
            </a:solidFill>
            <a:latin typeface="メイリオ" panose="020B0604030504040204" pitchFamily="50" charset="-128"/>
            <a:ea typeface="メイリオ" panose="020B0604030504040204" pitchFamily="50" charset="-128"/>
          </a:endParaRPr>
        </a:p>
        <a:p>
          <a:r>
            <a:rPr kumimoji="1" lang="ja-JP" altLang="en-US" sz="1600">
              <a:solidFill>
                <a:srgbClr val="FF0000"/>
              </a:solidFill>
              <a:latin typeface="メイリオ" panose="020B0604030504040204" pitchFamily="50" charset="-128"/>
              <a:ea typeface="メイリオ" panose="020B0604030504040204" pitchFamily="50" charset="-128"/>
            </a:rPr>
            <a:t>「エネルギー使用量計算シート」の入力は不要です。</a:t>
          </a:r>
          <a:endParaRPr kumimoji="1" lang="en-US" altLang="ja-JP" sz="1600">
            <a:solidFill>
              <a:srgbClr val="FF0000"/>
            </a:solidFill>
            <a:latin typeface="メイリオ" panose="020B0604030504040204" pitchFamily="50" charset="-128"/>
            <a:ea typeface="メイリオ" panose="020B0604030504040204" pitchFamily="50" charset="-128"/>
          </a:endParaRPr>
        </a:p>
        <a:p>
          <a:r>
            <a:rPr kumimoji="1" lang="ja-JP" altLang="en-US" sz="1600">
              <a:solidFill>
                <a:srgbClr val="FF0000"/>
              </a:solidFill>
              <a:latin typeface="メイリオ" panose="020B0604030504040204" pitchFamily="50" charset="-128"/>
              <a:ea typeface="メイリオ" panose="020B0604030504040204" pitchFamily="50" charset="-128"/>
            </a:rPr>
            <a:t>次年度に入力してください。</a:t>
          </a:r>
          <a:endParaRPr kumimoji="1" lang="en-US" altLang="ja-JP" sz="1600">
            <a:solidFill>
              <a:srgbClr val="FF0000"/>
            </a:solidFill>
            <a:latin typeface="メイリオ" panose="020B0604030504040204" pitchFamily="50" charset="-128"/>
            <a:ea typeface="メイリオ" panose="020B0604030504040204" pitchFamily="50" charset="-128"/>
          </a:endParaRPr>
        </a:p>
        <a:p>
          <a:endParaRPr kumimoji="1" lang="ja-JP" altLang="en-US" sz="1600">
            <a:latin typeface="メイリオ" panose="020B0604030504040204" pitchFamily="50" charset="-128"/>
            <a:ea typeface="メイリオ" panose="020B060403050404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19</xdr:col>
      <xdr:colOff>55418</xdr:colOff>
      <xdr:row>0</xdr:row>
      <xdr:rowOff>13853</xdr:rowOff>
    </xdr:from>
    <xdr:ext cx="877163" cy="466165"/>
    <xdr:sp macro="" textlink="">
      <xdr:nvSpPr>
        <xdr:cNvPr id="12" name="テキスト ボックス 11">
          <a:extLst>
            <a:ext uri="{FF2B5EF4-FFF2-40B4-BE49-F238E27FC236}">
              <a16:creationId xmlns:a16="http://schemas.microsoft.com/office/drawing/2014/main" id="{00000000-0008-0000-0500-00000C000000}"/>
            </a:ext>
          </a:extLst>
        </xdr:cNvPr>
        <xdr:cNvSpPr txBox="1"/>
      </xdr:nvSpPr>
      <xdr:spPr>
        <a:xfrm>
          <a:off x="9171709" y="13853"/>
          <a:ext cx="877163" cy="466165"/>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noAutofit/>
        </a:bodyPr>
        <a:lstStyle/>
        <a:p>
          <a:r>
            <a:rPr kumimoji="1" lang="ja-JP" altLang="en-US" sz="1800">
              <a:latin typeface="メイリオ" panose="020B0604030504040204" pitchFamily="50" charset="-128"/>
              <a:ea typeface="メイリオ" panose="020B0604030504040204" pitchFamily="50" charset="-128"/>
            </a:rPr>
            <a:t>非公表</a:t>
          </a:r>
        </a:p>
      </xdr:txBody>
    </xdr:sp>
    <xdr:clientData/>
  </xdr:oneCellAnchor>
  <xdr:twoCellAnchor editAs="absolute">
    <xdr:from>
      <xdr:col>19</xdr:col>
      <xdr:colOff>26307</xdr:colOff>
      <xdr:row>16</xdr:row>
      <xdr:rowOff>165847</xdr:rowOff>
    </xdr:from>
    <xdr:to>
      <xdr:col>19</xdr:col>
      <xdr:colOff>160110</xdr:colOff>
      <xdr:row>20</xdr:row>
      <xdr:rowOff>168568</xdr:rowOff>
    </xdr:to>
    <xdr:sp macro="" textlink="">
      <xdr:nvSpPr>
        <xdr:cNvPr id="26" name="右中かっこ 25">
          <a:extLst>
            <a:ext uri="{FF2B5EF4-FFF2-40B4-BE49-F238E27FC236}">
              <a16:creationId xmlns:a16="http://schemas.microsoft.com/office/drawing/2014/main" id="{00000000-0008-0000-0500-00001A000000}"/>
            </a:ext>
          </a:extLst>
        </xdr:cNvPr>
        <xdr:cNvSpPr/>
      </xdr:nvSpPr>
      <xdr:spPr>
        <a:xfrm>
          <a:off x="9336768" y="4269921"/>
          <a:ext cx="133803" cy="982436"/>
        </a:xfrm>
        <a:prstGeom prst="rightBrace">
          <a:avLst>
            <a:gd name="adj1" fmla="val 45370"/>
            <a:gd name="adj2" fmla="val 50749"/>
          </a:avLst>
        </a:prstGeom>
        <a:no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editAs="absolute">
    <xdr:from>
      <xdr:col>19</xdr:col>
      <xdr:colOff>707569</xdr:colOff>
      <xdr:row>27</xdr:row>
      <xdr:rowOff>97357</xdr:rowOff>
    </xdr:from>
    <xdr:to>
      <xdr:col>20</xdr:col>
      <xdr:colOff>16781</xdr:colOff>
      <xdr:row>34</xdr:row>
      <xdr:rowOff>233721</xdr:rowOff>
    </xdr:to>
    <xdr:sp macro="" textlink="">
      <xdr:nvSpPr>
        <xdr:cNvPr id="27" name="右中かっこ 26">
          <a:extLst>
            <a:ext uri="{FF2B5EF4-FFF2-40B4-BE49-F238E27FC236}">
              <a16:creationId xmlns:a16="http://schemas.microsoft.com/office/drawing/2014/main" id="{00000000-0008-0000-0500-00001B000000}"/>
            </a:ext>
          </a:extLst>
        </xdr:cNvPr>
        <xdr:cNvSpPr/>
      </xdr:nvSpPr>
      <xdr:spPr>
        <a:xfrm rot="10800000">
          <a:off x="10014855" y="6901996"/>
          <a:ext cx="275319" cy="1847395"/>
        </a:xfrm>
        <a:prstGeom prst="rightBrace">
          <a:avLst>
            <a:gd name="adj1" fmla="val 63252"/>
            <a:gd name="adj2" fmla="val 49772"/>
          </a:avLst>
        </a:prstGeom>
        <a:no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editAs="absolute">
    <xdr:from>
      <xdr:col>19</xdr:col>
      <xdr:colOff>163285</xdr:colOff>
      <xdr:row>18</xdr:row>
      <xdr:rowOff>174565</xdr:rowOff>
    </xdr:from>
    <xdr:to>
      <xdr:col>19</xdr:col>
      <xdr:colOff>707569</xdr:colOff>
      <xdr:row>31</xdr:row>
      <xdr:rowOff>50322</xdr:rowOff>
    </xdr:to>
    <xdr:cxnSp macro="">
      <xdr:nvCxnSpPr>
        <xdr:cNvPr id="31" name="直線矢印コネクタ 30">
          <a:extLst>
            <a:ext uri="{FF2B5EF4-FFF2-40B4-BE49-F238E27FC236}">
              <a16:creationId xmlns:a16="http://schemas.microsoft.com/office/drawing/2014/main" id="{00000000-0008-0000-0500-00001F000000}"/>
            </a:ext>
          </a:extLst>
        </xdr:cNvPr>
        <xdr:cNvCxnSpPr>
          <a:stCxn id="26" idx="1"/>
          <a:endCxn id="27" idx="1"/>
        </xdr:cNvCxnSpPr>
      </xdr:nvCxnSpPr>
      <xdr:spPr>
        <a:xfrm>
          <a:off x="9470571" y="4768497"/>
          <a:ext cx="544284" cy="3059828"/>
        </a:xfrm>
        <a:prstGeom prst="straightConnector1">
          <a:avLst/>
        </a:prstGeom>
        <a:noFill/>
        <a:ln w="9525" cap="flat" cmpd="sng" algn="ctr">
          <a:solidFill>
            <a:sysClr val="windowText" lastClr="000000"/>
          </a:solidFill>
          <a:prstDash val="solid"/>
          <a:tailEnd type="arrow"/>
        </a:ln>
        <a:effectLst>
          <a:outerShdw blurRad="40000" dist="20000" dir="5400000" rotWithShape="0">
            <a:srgbClr val="000000">
              <a:alpha val="38000"/>
            </a:srgbClr>
          </a:outerShdw>
        </a:effectLst>
      </xdr:spPr>
    </xdr:cxnSp>
    <xdr:clientData/>
  </xdr:twoCellAnchor>
  <xdr:twoCellAnchor editAs="absolute">
    <xdr:from>
      <xdr:col>14</xdr:col>
      <xdr:colOff>0</xdr:colOff>
      <xdr:row>28</xdr:row>
      <xdr:rowOff>86927</xdr:rowOff>
    </xdr:from>
    <xdr:to>
      <xdr:col>19</xdr:col>
      <xdr:colOff>925285</xdr:colOff>
      <xdr:row>36</xdr:row>
      <xdr:rowOff>168568</xdr:rowOff>
    </xdr:to>
    <xdr:cxnSp macro="">
      <xdr:nvCxnSpPr>
        <xdr:cNvPr id="17" name="直線矢印コネクタ 16">
          <a:extLst>
            <a:ext uri="{FF2B5EF4-FFF2-40B4-BE49-F238E27FC236}">
              <a16:creationId xmlns:a16="http://schemas.microsoft.com/office/drawing/2014/main" id="{00000000-0008-0000-0500-000011000000}"/>
            </a:ext>
          </a:extLst>
        </xdr:cNvPr>
        <xdr:cNvCxnSpPr/>
      </xdr:nvCxnSpPr>
      <xdr:spPr>
        <a:xfrm>
          <a:off x="9293679" y="7130143"/>
          <a:ext cx="935717" cy="2041071"/>
        </a:xfrm>
        <a:prstGeom prst="straightConnector1">
          <a:avLst/>
        </a:prstGeom>
        <a:noFill/>
        <a:ln w="9525" cap="flat" cmpd="sng" algn="ctr">
          <a:solidFill>
            <a:sysClr val="windowText" lastClr="000000"/>
          </a:solidFill>
          <a:prstDash val="solid"/>
          <a:tailEnd type="arrow"/>
        </a:ln>
        <a:effectLst>
          <a:outerShdw blurRad="40000" dist="20000" dir="5400000" rotWithShape="0">
            <a:srgbClr val="000000">
              <a:alpha val="38000"/>
            </a:srgbClr>
          </a:outerShdw>
        </a:effectLst>
      </xdr:spPr>
    </xdr:cxnSp>
    <xdr:clientData/>
  </xdr:twoCellAnchor>
  <xdr:twoCellAnchor editAs="absolute">
    <xdr:from>
      <xdr:col>19</xdr:col>
      <xdr:colOff>30389</xdr:colOff>
      <xdr:row>31</xdr:row>
      <xdr:rowOff>179294</xdr:rowOff>
    </xdr:from>
    <xdr:to>
      <xdr:col>19</xdr:col>
      <xdr:colOff>164192</xdr:colOff>
      <xdr:row>35</xdr:row>
      <xdr:rowOff>182016</xdr:rowOff>
    </xdr:to>
    <xdr:sp macro="" textlink="">
      <xdr:nvSpPr>
        <xdr:cNvPr id="20" name="右中かっこ 19">
          <a:extLst>
            <a:ext uri="{FF2B5EF4-FFF2-40B4-BE49-F238E27FC236}">
              <a16:creationId xmlns:a16="http://schemas.microsoft.com/office/drawing/2014/main" id="{00000000-0008-0000-0500-000014000000}"/>
            </a:ext>
          </a:extLst>
        </xdr:cNvPr>
        <xdr:cNvSpPr/>
      </xdr:nvSpPr>
      <xdr:spPr>
        <a:xfrm>
          <a:off x="9334500" y="7960179"/>
          <a:ext cx="133803" cy="982436"/>
        </a:xfrm>
        <a:prstGeom prst="rightBrace">
          <a:avLst>
            <a:gd name="adj1" fmla="val 45370"/>
            <a:gd name="adj2" fmla="val 50749"/>
          </a:avLst>
        </a:prstGeom>
        <a:no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editAs="absolute">
    <xdr:from>
      <xdr:col>19</xdr:col>
      <xdr:colOff>731607</xdr:colOff>
      <xdr:row>38</xdr:row>
      <xdr:rowOff>196075</xdr:rowOff>
    </xdr:from>
    <xdr:to>
      <xdr:col>20</xdr:col>
      <xdr:colOff>2240</xdr:colOff>
      <xdr:row>46</xdr:row>
      <xdr:rowOff>220116</xdr:rowOff>
    </xdr:to>
    <xdr:sp macro="" textlink="">
      <xdr:nvSpPr>
        <xdr:cNvPr id="21" name="右中かっこ 20">
          <a:extLst>
            <a:ext uri="{FF2B5EF4-FFF2-40B4-BE49-F238E27FC236}">
              <a16:creationId xmlns:a16="http://schemas.microsoft.com/office/drawing/2014/main" id="{00000000-0008-0000-0500-000015000000}"/>
            </a:ext>
          </a:extLst>
        </xdr:cNvPr>
        <xdr:cNvSpPr/>
      </xdr:nvSpPr>
      <xdr:spPr>
        <a:xfrm flipH="1">
          <a:off x="10038893" y="9691460"/>
          <a:ext cx="220892" cy="1983469"/>
        </a:xfrm>
        <a:prstGeom prst="rightBrace">
          <a:avLst>
            <a:gd name="adj1" fmla="val 63252"/>
            <a:gd name="adj2" fmla="val 49772"/>
          </a:avLst>
        </a:prstGeom>
        <a:no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editAs="absolute">
    <xdr:from>
      <xdr:col>19</xdr:col>
      <xdr:colOff>161017</xdr:colOff>
      <xdr:row>33</xdr:row>
      <xdr:rowOff>188013</xdr:rowOff>
    </xdr:from>
    <xdr:to>
      <xdr:col>19</xdr:col>
      <xdr:colOff>693964</xdr:colOff>
      <xdr:row>42</xdr:row>
      <xdr:rowOff>135004</xdr:rowOff>
    </xdr:to>
    <xdr:cxnSp macro="">
      <xdr:nvCxnSpPr>
        <xdr:cNvPr id="22" name="直線矢印コネクタ 21">
          <a:extLst>
            <a:ext uri="{FF2B5EF4-FFF2-40B4-BE49-F238E27FC236}">
              <a16:creationId xmlns:a16="http://schemas.microsoft.com/office/drawing/2014/main" id="{00000000-0008-0000-0500-000016000000}"/>
            </a:ext>
          </a:extLst>
        </xdr:cNvPr>
        <xdr:cNvCxnSpPr>
          <a:stCxn id="20" idx="1"/>
        </xdr:cNvCxnSpPr>
      </xdr:nvCxnSpPr>
      <xdr:spPr>
        <a:xfrm>
          <a:off x="9468303" y="8458755"/>
          <a:ext cx="532947" cy="2154816"/>
        </a:xfrm>
        <a:prstGeom prst="straightConnector1">
          <a:avLst/>
        </a:prstGeom>
        <a:noFill/>
        <a:ln w="9525" cap="flat" cmpd="sng" algn="ctr">
          <a:solidFill>
            <a:sysClr val="windowText" lastClr="000000"/>
          </a:solidFill>
          <a:prstDash val="solid"/>
          <a:tailEnd type="arrow"/>
        </a:ln>
        <a:effectLst>
          <a:outerShdw blurRad="40000" dist="20000" dir="5400000" rotWithShape="0">
            <a:srgbClr val="000000">
              <a:alpha val="38000"/>
            </a:srgbClr>
          </a:outerShdw>
        </a:effectLst>
      </xdr:spPr>
    </xdr:cxnSp>
    <xdr:clientData/>
  </xdr:twoCellAnchor>
  <xdr:twoCellAnchor editAs="absolute">
    <xdr:from>
      <xdr:col>19</xdr:col>
      <xdr:colOff>47171</xdr:colOff>
      <xdr:row>35</xdr:row>
      <xdr:rowOff>209684</xdr:rowOff>
    </xdr:from>
    <xdr:to>
      <xdr:col>19</xdr:col>
      <xdr:colOff>180974</xdr:colOff>
      <xdr:row>39</xdr:row>
      <xdr:rowOff>206056</xdr:rowOff>
    </xdr:to>
    <xdr:sp macro="" textlink="">
      <xdr:nvSpPr>
        <xdr:cNvPr id="25" name="右中かっこ 24">
          <a:extLst>
            <a:ext uri="{FF2B5EF4-FFF2-40B4-BE49-F238E27FC236}">
              <a16:creationId xmlns:a16="http://schemas.microsoft.com/office/drawing/2014/main" id="{00000000-0008-0000-0500-000019000000}"/>
            </a:ext>
          </a:extLst>
        </xdr:cNvPr>
        <xdr:cNvSpPr/>
      </xdr:nvSpPr>
      <xdr:spPr>
        <a:xfrm>
          <a:off x="9357632" y="8967108"/>
          <a:ext cx="133803" cy="982436"/>
        </a:xfrm>
        <a:prstGeom prst="rightBrace">
          <a:avLst>
            <a:gd name="adj1" fmla="val 45370"/>
            <a:gd name="adj2" fmla="val 50749"/>
          </a:avLst>
        </a:prstGeom>
        <a:no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editAs="absolute">
    <xdr:from>
      <xdr:col>19</xdr:col>
      <xdr:colOff>625928</xdr:colOff>
      <xdr:row>47</xdr:row>
      <xdr:rowOff>120489</xdr:rowOff>
    </xdr:from>
    <xdr:to>
      <xdr:col>20</xdr:col>
      <xdr:colOff>54427</xdr:colOff>
      <xdr:row>71</xdr:row>
      <xdr:rowOff>5280</xdr:rowOff>
    </xdr:to>
    <xdr:sp macro="" textlink="">
      <xdr:nvSpPr>
        <xdr:cNvPr id="32" name="右中かっこ 31">
          <a:extLst>
            <a:ext uri="{FF2B5EF4-FFF2-40B4-BE49-F238E27FC236}">
              <a16:creationId xmlns:a16="http://schemas.microsoft.com/office/drawing/2014/main" id="{00000000-0008-0000-0500-000020000000}"/>
            </a:ext>
          </a:extLst>
        </xdr:cNvPr>
        <xdr:cNvSpPr/>
      </xdr:nvSpPr>
      <xdr:spPr>
        <a:xfrm rot="10800000">
          <a:off x="9933214" y="11810999"/>
          <a:ext cx="394606" cy="5769427"/>
        </a:xfrm>
        <a:prstGeom prst="rightBrace">
          <a:avLst>
            <a:gd name="adj1" fmla="val 63252"/>
            <a:gd name="adj2" fmla="val 49772"/>
          </a:avLst>
        </a:prstGeom>
        <a:no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editAs="absolute">
    <xdr:from>
      <xdr:col>19</xdr:col>
      <xdr:colOff>184149</xdr:colOff>
      <xdr:row>37</xdr:row>
      <xdr:rowOff>215228</xdr:rowOff>
    </xdr:from>
    <xdr:to>
      <xdr:col>19</xdr:col>
      <xdr:colOff>625928</xdr:colOff>
      <xdr:row>59</xdr:row>
      <xdr:rowOff>72864</xdr:rowOff>
    </xdr:to>
    <xdr:cxnSp macro="">
      <xdr:nvCxnSpPr>
        <xdr:cNvPr id="33" name="直線矢印コネクタ 32">
          <a:extLst>
            <a:ext uri="{FF2B5EF4-FFF2-40B4-BE49-F238E27FC236}">
              <a16:creationId xmlns:a16="http://schemas.microsoft.com/office/drawing/2014/main" id="{00000000-0008-0000-0500-000021000000}"/>
            </a:ext>
          </a:extLst>
        </xdr:cNvPr>
        <xdr:cNvCxnSpPr>
          <a:stCxn id="25" idx="1"/>
          <a:endCxn id="32" idx="1"/>
        </xdr:cNvCxnSpPr>
      </xdr:nvCxnSpPr>
      <xdr:spPr>
        <a:xfrm>
          <a:off x="9491435" y="9465684"/>
          <a:ext cx="441779" cy="5243183"/>
        </a:xfrm>
        <a:prstGeom prst="straightConnector1">
          <a:avLst/>
        </a:prstGeom>
        <a:noFill/>
        <a:ln w="9525" cap="flat" cmpd="sng" algn="ctr">
          <a:solidFill>
            <a:sysClr val="windowText" lastClr="000000"/>
          </a:solidFill>
          <a:prstDash val="solid"/>
          <a:tailEnd type="arrow"/>
        </a:ln>
        <a:effectLst>
          <a:outerShdw blurRad="40000" dist="20000" dir="5400000" rotWithShape="0">
            <a:srgbClr val="000000">
              <a:alpha val="38000"/>
            </a:srgbClr>
          </a:outerShdw>
        </a:effectLst>
      </xdr:spPr>
    </xdr:cxnSp>
    <xdr:clientData/>
  </xdr:twoCellAnchor>
  <xdr:twoCellAnchor>
    <xdr:from>
      <xdr:col>23</xdr:col>
      <xdr:colOff>374073</xdr:colOff>
      <xdr:row>18</xdr:row>
      <xdr:rowOff>96982</xdr:rowOff>
    </xdr:from>
    <xdr:to>
      <xdr:col>27</xdr:col>
      <xdr:colOff>748144</xdr:colOff>
      <xdr:row>24</xdr:row>
      <xdr:rowOff>27709</xdr:rowOff>
    </xdr:to>
    <xdr:sp macro="" textlink="">
      <xdr:nvSpPr>
        <xdr:cNvPr id="4" name="テキスト ボックス 3_仮参加" hidden="1">
          <a:extLst>
            <a:ext uri="{FF2B5EF4-FFF2-40B4-BE49-F238E27FC236}">
              <a16:creationId xmlns:a16="http://schemas.microsoft.com/office/drawing/2014/main" id="{00000000-0008-0000-0500-000004000000}"/>
            </a:ext>
          </a:extLst>
        </xdr:cNvPr>
        <xdr:cNvSpPr txBox="1"/>
      </xdr:nvSpPr>
      <xdr:spPr>
        <a:xfrm>
          <a:off x="14450291" y="4752109"/>
          <a:ext cx="4655126" cy="142701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latin typeface="メイリオ" panose="020B0604030504040204" pitchFamily="50" charset="-128"/>
              <a:ea typeface="メイリオ" panose="020B0604030504040204" pitchFamily="50" charset="-128"/>
            </a:rPr>
            <a:t>開始年度にて</a:t>
          </a:r>
          <a:endParaRPr kumimoji="1" lang="en-US" altLang="ja-JP" sz="1600">
            <a:solidFill>
              <a:srgbClr val="FF0000"/>
            </a:solidFill>
            <a:latin typeface="メイリオ" panose="020B0604030504040204" pitchFamily="50" charset="-128"/>
            <a:ea typeface="メイリオ" panose="020B0604030504040204" pitchFamily="50" charset="-128"/>
          </a:endParaRPr>
        </a:p>
        <a:p>
          <a:r>
            <a:rPr kumimoji="1" lang="ja-JP" altLang="en-US" sz="1600">
              <a:solidFill>
                <a:srgbClr val="FF0000"/>
              </a:solidFill>
              <a:latin typeface="メイリオ" panose="020B0604030504040204" pitchFamily="50" charset="-128"/>
              <a:ea typeface="メイリオ" panose="020B0604030504040204" pitchFamily="50" charset="-128"/>
            </a:rPr>
            <a:t>エネルギー使用量等の入力は不要です。</a:t>
          </a:r>
          <a:endParaRPr kumimoji="1" lang="en-US" altLang="ja-JP" sz="1600">
            <a:solidFill>
              <a:srgbClr val="FF0000"/>
            </a:solidFill>
            <a:latin typeface="メイリオ" panose="020B0604030504040204" pitchFamily="50" charset="-128"/>
            <a:ea typeface="メイリオ" panose="020B0604030504040204" pitchFamily="50" charset="-128"/>
          </a:endParaRPr>
        </a:p>
        <a:p>
          <a:r>
            <a:rPr kumimoji="1" lang="ja-JP" altLang="en-US" sz="1600">
              <a:solidFill>
                <a:srgbClr val="FF0000"/>
              </a:solidFill>
              <a:latin typeface="メイリオ" panose="020B0604030504040204" pitchFamily="50" charset="-128"/>
              <a:ea typeface="メイリオ" panose="020B0604030504040204" pitchFamily="50" charset="-128"/>
            </a:rPr>
            <a:t>次年度に入力してください。</a:t>
          </a:r>
          <a:endParaRPr kumimoji="1" lang="en-US" altLang="ja-JP" sz="1600">
            <a:solidFill>
              <a:srgbClr val="FF0000"/>
            </a:solidFill>
            <a:latin typeface="メイリオ" panose="020B0604030504040204" pitchFamily="50" charset="-128"/>
            <a:ea typeface="メイリオ" panose="020B0604030504040204" pitchFamily="50" charset="-128"/>
          </a:endParaRPr>
        </a:p>
        <a:p>
          <a:endParaRPr kumimoji="1" lang="ja-JP" altLang="en-US" sz="1600">
            <a:latin typeface="メイリオ" panose="020B0604030504040204" pitchFamily="50" charset="-128"/>
            <a:ea typeface="メイリオ" panose="020B0604030504040204"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13</xdr:col>
      <xdr:colOff>333375</xdr:colOff>
      <xdr:row>1</xdr:row>
      <xdr:rowOff>19050</xdr:rowOff>
    </xdr:from>
    <xdr:ext cx="877163" cy="542456"/>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5057775" y="369570"/>
          <a:ext cx="877163" cy="542456"/>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1800">
              <a:latin typeface="メイリオ" panose="020B0604030504040204" pitchFamily="50" charset="-128"/>
              <a:ea typeface="メイリオ" panose="020B0604030504040204" pitchFamily="50" charset="-128"/>
            </a:rPr>
            <a:t>非公表</a:t>
          </a:r>
        </a:p>
      </xdr:txBody>
    </xdr:sp>
    <xdr:clientData fPrintsWithSheet="0"/>
  </xdr:oneCellAnchor>
</xdr:wsDr>
</file>

<file path=xl/drawings/drawing8.xml><?xml version="1.0" encoding="utf-8"?>
<xdr:wsDr xmlns:xdr="http://schemas.openxmlformats.org/drawingml/2006/spreadsheetDrawing" xmlns:a="http://schemas.openxmlformats.org/drawingml/2006/main">
  <xdr:oneCellAnchor>
    <xdr:from>
      <xdr:col>14</xdr:col>
      <xdr:colOff>100965</xdr:colOff>
      <xdr:row>0</xdr:row>
      <xdr:rowOff>384810</xdr:rowOff>
    </xdr:from>
    <xdr:ext cx="877163" cy="542456"/>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5313045" y="384810"/>
          <a:ext cx="877163" cy="542456"/>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1800">
              <a:latin typeface="メイリオ" panose="020B0604030504040204" pitchFamily="50" charset="-128"/>
              <a:ea typeface="メイリオ" panose="020B0604030504040204" pitchFamily="50" charset="-128"/>
            </a:rPr>
            <a:t>公表用</a:t>
          </a:r>
        </a:p>
      </xdr:txBody>
    </xdr:sp>
    <xdr:clientData fPrintsWithSheet="0"/>
  </xdr:oneCellAnchor>
</xdr:wsDr>
</file>

<file path=xl/drawings/drawing9.xml><?xml version="1.0" encoding="utf-8"?>
<xdr:wsDr xmlns:xdr="http://schemas.openxmlformats.org/drawingml/2006/spreadsheetDrawing" xmlns:a="http://schemas.openxmlformats.org/drawingml/2006/main">
  <xdr:twoCellAnchor editAs="absolute">
    <xdr:from>
      <xdr:col>36</xdr:col>
      <xdr:colOff>7620</xdr:colOff>
      <xdr:row>1</xdr:row>
      <xdr:rowOff>22860</xdr:rowOff>
    </xdr:from>
    <xdr:to>
      <xdr:col>47</xdr:col>
      <xdr:colOff>128196</xdr:colOff>
      <xdr:row>34</xdr:row>
      <xdr:rowOff>230059</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6774180" y="266700"/>
          <a:ext cx="6384216" cy="101817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a:solidFill>
                <a:schemeClr val="dk1"/>
              </a:solidFill>
              <a:effectLst/>
              <a:latin typeface="メイリオ" panose="020B0604030504040204" pitchFamily="50" charset="-128"/>
              <a:ea typeface="メイリオ" panose="020B0604030504040204" pitchFamily="50" charset="-128"/>
              <a:cs typeface="+mn-cs"/>
            </a:rPr>
            <a:t>本様式は、第二計画期間（</a:t>
          </a:r>
          <a:r>
            <a:rPr lang="en-US" altLang="ja-JP" sz="1100">
              <a:solidFill>
                <a:schemeClr val="dk1"/>
              </a:solidFill>
              <a:effectLst/>
              <a:latin typeface="メイリオ" panose="020B0604030504040204" pitchFamily="50" charset="-128"/>
              <a:ea typeface="メイリオ" panose="020B0604030504040204" pitchFamily="50" charset="-128"/>
              <a:cs typeface="+mn-cs"/>
            </a:rPr>
            <a:t>2023</a:t>
          </a:r>
          <a:r>
            <a:rPr lang="ja-JP" altLang="en-US" sz="1100">
              <a:solidFill>
                <a:schemeClr val="dk1"/>
              </a:solidFill>
              <a:effectLst/>
              <a:latin typeface="メイリオ" panose="020B0604030504040204" pitchFamily="50" charset="-128"/>
              <a:ea typeface="メイリオ" panose="020B0604030504040204" pitchFamily="50" charset="-128"/>
              <a:cs typeface="+mn-cs"/>
            </a:rPr>
            <a:t>年～</a:t>
          </a:r>
          <a:r>
            <a:rPr lang="en-US" altLang="ja-JP" sz="1100">
              <a:solidFill>
                <a:schemeClr val="dk1"/>
              </a:solidFill>
              <a:effectLst/>
              <a:latin typeface="メイリオ" panose="020B0604030504040204" pitchFamily="50" charset="-128"/>
              <a:ea typeface="メイリオ" panose="020B0604030504040204" pitchFamily="50" charset="-128"/>
              <a:cs typeface="+mn-cs"/>
            </a:rPr>
            <a:t>2025</a:t>
          </a:r>
          <a:r>
            <a:rPr lang="ja-JP" altLang="en-US" sz="1100">
              <a:solidFill>
                <a:schemeClr val="dk1"/>
              </a:solidFill>
              <a:effectLst/>
              <a:latin typeface="メイリオ" panose="020B0604030504040204" pitchFamily="50" charset="-128"/>
              <a:ea typeface="メイリオ" panose="020B0604030504040204" pitchFamily="50" charset="-128"/>
              <a:cs typeface="+mn-cs"/>
            </a:rPr>
            <a:t>年参加事業者）の計画書・報告書支援ツールです。</a:t>
          </a:r>
          <a:endParaRPr lang="en-US" altLang="ja-JP" sz="1100">
            <a:solidFill>
              <a:schemeClr val="dk1"/>
            </a:solidFill>
            <a:effectLst/>
            <a:latin typeface="メイリオ" panose="020B0604030504040204" pitchFamily="50" charset="-128"/>
            <a:ea typeface="メイリオ" panose="020B0604030504040204" pitchFamily="50" charset="-128"/>
            <a:cs typeface="+mn-cs"/>
          </a:endParaRPr>
        </a:p>
        <a:p>
          <a:r>
            <a:rPr lang="ja-JP" altLang="en-US" sz="1100">
              <a:solidFill>
                <a:schemeClr val="dk1"/>
              </a:solidFill>
              <a:effectLst/>
              <a:latin typeface="メイリオ" panose="020B0604030504040204" pitchFamily="50" charset="-128"/>
              <a:ea typeface="メイリオ" panose="020B0604030504040204" pitchFamily="50" charset="-128"/>
              <a:cs typeface="+mn-cs"/>
            </a:rPr>
            <a:t>報告年度によって記入するシートは異なります。</a:t>
          </a:r>
          <a:endParaRPr lang="en-US" altLang="ja-JP" sz="1100">
            <a:solidFill>
              <a:schemeClr val="dk1"/>
            </a:solidFill>
            <a:effectLst/>
            <a:latin typeface="メイリオ" panose="020B0604030504040204" pitchFamily="50" charset="-128"/>
            <a:ea typeface="メイリオ" panose="020B0604030504040204" pitchFamily="50" charset="-128"/>
            <a:cs typeface="+mn-cs"/>
          </a:endParaRPr>
        </a:p>
        <a:p>
          <a:r>
            <a:rPr lang="ja-JP" altLang="en-US" sz="1100">
              <a:solidFill>
                <a:schemeClr val="dk1"/>
              </a:solidFill>
              <a:effectLst/>
              <a:latin typeface="メイリオ" panose="020B0604030504040204" pitchFamily="50" charset="-128"/>
              <a:ea typeface="メイリオ" panose="020B0604030504040204" pitchFamily="50" charset="-128"/>
              <a:cs typeface="+mn-cs"/>
            </a:rPr>
            <a:t>下記のとおり、該当</a:t>
          </a:r>
          <a:r>
            <a:rPr lang="ja-JP" altLang="ja-JP" sz="1100">
              <a:solidFill>
                <a:schemeClr val="dk1"/>
              </a:solidFill>
              <a:effectLst/>
              <a:latin typeface="メイリオ" panose="020B0604030504040204" pitchFamily="50" charset="-128"/>
              <a:ea typeface="メイリオ" panose="020B0604030504040204" pitchFamily="50" charset="-128"/>
              <a:cs typeface="+mn-cs"/>
            </a:rPr>
            <a:t>年度の入力シート</a:t>
          </a:r>
          <a:r>
            <a:rPr lang="ja-JP" altLang="en-US" sz="1100">
              <a:solidFill>
                <a:schemeClr val="dk1"/>
              </a:solidFill>
              <a:effectLst/>
              <a:latin typeface="メイリオ" panose="020B0604030504040204" pitchFamily="50" charset="-128"/>
              <a:ea typeface="メイリオ" panose="020B0604030504040204" pitchFamily="50" charset="-128"/>
              <a:cs typeface="+mn-cs"/>
            </a:rPr>
            <a:t>に必要事項をご記入ください。</a:t>
          </a:r>
          <a:endParaRPr lang="en-US" altLang="ja-JP" sz="1100">
            <a:solidFill>
              <a:schemeClr val="dk1"/>
            </a:solidFill>
            <a:effectLst/>
            <a:latin typeface="メイリオ" panose="020B0604030504040204" pitchFamily="50" charset="-128"/>
            <a:ea typeface="メイリオ" panose="020B0604030504040204" pitchFamily="50" charset="-128"/>
            <a:cs typeface="+mn-cs"/>
          </a:endParaRPr>
        </a:p>
        <a:p>
          <a:r>
            <a:rPr lang="ja-JP" altLang="en-US" sz="1100">
              <a:solidFill>
                <a:schemeClr val="dk1"/>
              </a:solidFill>
              <a:effectLst/>
              <a:latin typeface="メイリオ" panose="020B0604030504040204" pitchFamily="50" charset="-128"/>
              <a:ea typeface="メイリオ" panose="020B0604030504040204" pitchFamily="50" charset="-128"/>
              <a:cs typeface="+mn-cs"/>
            </a:rPr>
            <a:t>（</a:t>
          </a:r>
          <a:r>
            <a:rPr lang="ja-JP" altLang="en-US" sz="1100">
              <a:solidFill>
                <a:srgbClr val="FF0000"/>
              </a:solidFill>
              <a:effectLst/>
              <a:latin typeface="メイリオ" panose="020B0604030504040204" pitchFamily="50" charset="-128"/>
              <a:ea typeface="メイリオ" panose="020B0604030504040204" pitchFamily="50" charset="-128"/>
              <a:cs typeface="+mn-cs"/>
            </a:rPr>
            <a:t>過年度に報告した温室効果ガス排出量や取組内容は、変更しないでください</a:t>
          </a:r>
          <a:r>
            <a:rPr lang="ja-JP" altLang="en-US" sz="1100">
              <a:solidFill>
                <a:schemeClr val="dk1"/>
              </a:solidFill>
              <a:effectLst/>
              <a:latin typeface="メイリオ" panose="020B0604030504040204" pitchFamily="50" charset="-128"/>
              <a:ea typeface="メイリオ" panose="020B0604030504040204" pitchFamily="50" charset="-128"/>
              <a:cs typeface="+mn-cs"/>
            </a:rPr>
            <a:t>）。</a:t>
          </a:r>
          <a:endParaRPr lang="ja-JP" altLang="ja-JP" sz="1100">
            <a:solidFill>
              <a:schemeClr val="dk1"/>
            </a:solidFill>
            <a:effectLst/>
            <a:latin typeface="メイリオ" panose="020B0604030504040204" pitchFamily="50" charset="-128"/>
            <a:ea typeface="メイリオ" panose="020B0604030504040204" pitchFamily="50" charset="-128"/>
            <a:cs typeface="+mn-cs"/>
          </a:endParaRPr>
        </a:p>
        <a:p>
          <a:r>
            <a:rPr lang="en-US" altLang="ja-JP" sz="1100">
              <a:solidFill>
                <a:schemeClr val="dk1"/>
              </a:solidFill>
              <a:effectLst/>
              <a:latin typeface="メイリオ" panose="020B0604030504040204" pitchFamily="50" charset="-128"/>
              <a:ea typeface="メイリオ" panose="020B0604030504040204" pitchFamily="50" charset="-128"/>
              <a:cs typeface="+mn-cs"/>
            </a:rPr>
            <a:t> </a:t>
          </a:r>
          <a:endParaRPr lang="ja-JP" altLang="ja-JP" sz="1100">
            <a:solidFill>
              <a:schemeClr val="dk1"/>
            </a:solidFill>
            <a:effectLst/>
            <a:latin typeface="メイリオ" panose="020B0604030504040204" pitchFamily="50" charset="-128"/>
            <a:ea typeface="メイリオ" panose="020B0604030504040204" pitchFamily="50" charset="-128"/>
            <a:cs typeface="+mn-cs"/>
          </a:endParaRPr>
        </a:p>
        <a:p>
          <a:r>
            <a:rPr lang="ja-JP" altLang="en-US" sz="1100" b="1" cap="all">
              <a:solidFill>
                <a:schemeClr val="dk1"/>
              </a:solidFill>
              <a:effectLst/>
              <a:latin typeface="メイリオ" panose="020B0604030504040204" pitchFamily="50" charset="-128"/>
              <a:ea typeface="メイリオ" panose="020B0604030504040204" pitchFamily="50" charset="-128"/>
              <a:cs typeface="+mn-cs"/>
            </a:rPr>
            <a:t>●</a:t>
          </a:r>
          <a:r>
            <a:rPr lang="ja-JP" altLang="ja-JP" sz="1100" b="1" cap="all">
              <a:solidFill>
                <a:schemeClr val="dk1"/>
              </a:solidFill>
              <a:effectLst/>
              <a:latin typeface="メイリオ" panose="020B0604030504040204" pitchFamily="50" charset="-128"/>
              <a:ea typeface="メイリオ" panose="020B0604030504040204" pitchFamily="50" charset="-128"/>
              <a:cs typeface="+mn-cs"/>
            </a:rPr>
            <a:t>基準年度</a:t>
          </a:r>
          <a:endParaRPr lang="ja-JP" altLang="ja-JP" sz="1100">
            <a:solidFill>
              <a:schemeClr val="dk1"/>
            </a:solidFill>
            <a:effectLst/>
            <a:latin typeface="メイリオ" panose="020B0604030504040204" pitchFamily="50" charset="-128"/>
            <a:ea typeface="メイリオ" panose="020B0604030504040204" pitchFamily="50" charset="-128"/>
            <a:cs typeface="+mn-cs"/>
          </a:endParaRPr>
        </a:p>
        <a:p>
          <a:r>
            <a:rPr lang="ja-JP" altLang="ja-JP" sz="1100">
              <a:solidFill>
                <a:schemeClr val="dk1"/>
              </a:solidFill>
              <a:effectLst/>
              <a:latin typeface="メイリオ" panose="020B0604030504040204" pitchFamily="50" charset="-128"/>
              <a:ea typeface="メイリオ" panose="020B0604030504040204" pitchFamily="50" charset="-128"/>
              <a:cs typeface="+mn-cs"/>
            </a:rPr>
            <a:t>はじめに</a:t>
          </a:r>
        </a:p>
        <a:p>
          <a:r>
            <a:rPr lang="ja-JP" altLang="ja-JP" sz="1100">
              <a:solidFill>
                <a:schemeClr val="dk1"/>
              </a:solidFill>
              <a:effectLst/>
              <a:latin typeface="メイリオ" panose="020B0604030504040204" pitchFamily="50" charset="-128"/>
              <a:ea typeface="メイリオ" panose="020B0604030504040204" pitchFamily="50" charset="-128"/>
              <a:cs typeface="+mn-cs"/>
            </a:rPr>
            <a:t>計画書①（事業所概要・目標）</a:t>
          </a:r>
        </a:p>
        <a:p>
          <a:r>
            <a:rPr lang="ja-JP" altLang="ja-JP" sz="1100">
              <a:solidFill>
                <a:schemeClr val="dk1"/>
              </a:solidFill>
              <a:effectLst/>
              <a:latin typeface="メイリオ" panose="020B0604030504040204" pitchFamily="50" charset="-128"/>
              <a:ea typeface="メイリオ" panose="020B0604030504040204" pitchFamily="50" charset="-128"/>
              <a:cs typeface="+mn-cs"/>
            </a:rPr>
            <a:t>計画書②</a:t>
          </a:r>
          <a:r>
            <a:rPr lang="en-US" altLang="ja-JP" sz="1100">
              <a:solidFill>
                <a:schemeClr val="dk1"/>
              </a:solidFill>
              <a:effectLst/>
              <a:latin typeface="メイリオ" panose="020B0604030504040204" pitchFamily="50" charset="-128"/>
              <a:ea typeface="メイリオ" panose="020B0604030504040204" pitchFamily="50" charset="-128"/>
              <a:cs typeface="+mn-cs"/>
            </a:rPr>
            <a:t> (</a:t>
          </a:r>
          <a:r>
            <a:rPr lang="ja-JP" altLang="ja-JP" sz="1100">
              <a:solidFill>
                <a:schemeClr val="dk1"/>
              </a:solidFill>
              <a:effectLst/>
              <a:latin typeface="メイリオ" panose="020B0604030504040204" pitchFamily="50" charset="-128"/>
              <a:ea typeface="メイリオ" panose="020B0604030504040204" pitchFamily="50" charset="-128"/>
              <a:cs typeface="+mn-cs"/>
            </a:rPr>
            <a:t>取組）</a:t>
          </a:r>
        </a:p>
        <a:p>
          <a:r>
            <a:rPr lang="ja-JP" altLang="ja-JP" sz="1100">
              <a:solidFill>
                <a:schemeClr val="dk1"/>
              </a:solidFill>
              <a:effectLst/>
              <a:latin typeface="メイリオ" panose="020B0604030504040204" pitchFamily="50" charset="-128"/>
              <a:ea typeface="メイリオ" panose="020B0604030504040204" pitchFamily="50" charset="-128"/>
              <a:cs typeface="+mn-cs"/>
            </a:rPr>
            <a:t>計画書③（任意記載）</a:t>
          </a:r>
          <a:endParaRPr lang="en-US" altLang="ja-JP" sz="1100">
            <a:solidFill>
              <a:schemeClr val="dk1"/>
            </a:solidFill>
            <a:effectLst/>
            <a:latin typeface="メイリオ" panose="020B0604030504040204" pitchFamily="50" charset="-128"/>
            <a:ea typeface="メイリオ" panose="020B0604030504040204" pitchFamily="50" charset="-128"/>
            <a:cs typeface="+mn-cs"/>
          </a:endParaRPr>
        </a:p>
        <a:p>
          <a:r>
            <a:rPr lang="ja-JP" altLang="en-US" sz="1100">
              <a:solidFill>
                <a:schemeClr val="dk1"/>
              </a:solidFill>
              <a:effectLst/>
              <a:latin typeface="メイリオ" panose="020B0604030504040204" pitchFamily="50" charset="-128"/>
              <a:ea typeface="メイリオ" panose="020B0604030504040204" pitchFamily="50" charset="-128"/>
              <a:cs typeface="+mn-cs"/>
            </a:rPr>
            <a:t>計算シート（基準年度）</a:t>
          </a:r>
          <a:endParaRPr lang="ja-JP" altLang="ja-JP" sz="1100">
            <a:solidFill>
              <a:schemeClr val="dk1"/>
            </a:solidFill>
            <a:effectLst/>
            <a:latin typeface="メイリオ" panose="020B0604030504040204" pitchFamily="50" charset="-128"/>
            <a:ea typeface="メイリオ" panose="020B0604030504040204" pitchFamily="50" charset="-128"/>
            <a:cs typeface="+mn-cs"/>
          </a:endParaRPr>
        </a:p>
        <a:p>
          <a:r>
            <a:rPr lang="ja-JP" altLang="ja-JP" sz="1100">
              <a:solidFill>
                <a:schemeClr val="dk1"/>
              </a:solidFill>
              <a:effectLst/>
              <a:latin typeface="メイリオ" panose="020B0604030504040204" pitchFamily="50" charset="-128"/>
              <a:ea typeface="メイリオ" panose="020B0604030504040204" pitchFamily="50" charset="-128"/>
              <a:cs typeface="+mn-cs"/>
            </a:rPr>
            <a:t>事業所排出量内訳（基準年度）</a:t>
          </a:r>
        </a:p>
        <a:p>
          <a:endParaRPr lang="en-US" altLang="ja-JP" sz="1100" b="1" cap="all">
            <a:solidFill>
              <a:schemeClr val="dk1"/>
            </a:solidFill>
            <a:effectLst/>
            <a:latin typeface="メイリオ" panose="020B0604030504040204" pitchFamily="50" charset="-128"/>
            <a:ea typeface="メイリオ" panose="020B0604030504040204" pitchFamily="50" charset="-128"/>
            <a:cs typeface="+mn-cs"/>
          </a:endParaRPr>
        </a:p>
        <a:p>
          <a:r>
            <a:rPr lang="ja-JP" altLang="en-US" sz="1100" b="1" cap="all">
              <a:solidFill>
                <a:schemeClr val="dk1"/>
              </a:solidFill>
              <a:effectLst/>
              <a:latin typeface="メイリオ" panose="020B0604030504040204" pitchFamily="50" charset="-128"/>
              <a:ea typeface="メイリオ" panose="020B0604030504040204" pitchFamily="50" charset="-128"/>
              <a:cs typeface="+mn-cs"/>
            </a:rPr>
            <a:t>●</a:t>
          </a:r>
          <a:r>
            <a:rPr lang="ja-JP" altLang="ja-JP" sz="1100" b="1" cap="all">
              <a:solidFill>
                <a:schemeClr val="dk1"/>
              </a:solidFill>
              <a:effectLst/>
              <a:latin typeface="メイリオ" panose="020B0604030504040204" pitchFamily="50" charset="-128"/>
              <a:ea typeface="メイリオ" panose="020B0604030504040204" pitchFamily="50" charset="-128"/>
              <a:cs typeface="+mn-cs"/>
            </a:rPr>
            <a:t>第</a:t>
          </a:r>
          <a:r>
            <a:rPr lang="en-US" altLang="ja-JP" sz="1100" b="1" cap="all">
              <a:solidFill>
                <a:schemeClr val="dk1"/>
              </a:solidFill>
              <a:effectLst/>
              <a:latin typeface="メイリオ" panose="020B0604030504040204" pitchFamily="50" charset="-128"/>
              <a:ea typeface="メイリオ" panose="020B0604030504040204" pitchFamily="50" charset="-128"/>
              <a:cs typeface="+mn-cs"/>
            </a:rPr>
            <a:t>1</a:t>
          </a:r>
          <a:r>
            <a:rPr lang="ja-JP" altLang="ja-JP" sz="1100" b="1" cap="all">
              <a:solidFill>
                <a:schemeClr val="dk1"/>
              </a:solidFill>
              <a:effectLst/>
              <a:latin typeface="メイリオ" panose="020B0604030504040204" pitchFamily="50" charset="-128"/>
              <a:ea typeface="メイリオ" panose="020B0604030504040204" pitchFamily="50" charset="-128"/>
              <a:cs typeface="+mn-cs"/>
            </a:rPr>
            <a:t>年度</a:t>
          </a:r>
          <a:endParaRPr lang="ja-JP" altLang="ja-JP" sz="1100">
            <a:solidFill>
              <a:schemeClr val="dk1"/>
            </a:solidFill>
            <a:effectLst/>
            <a:latin typeface="メイリオ" panose="020B0604030504040204" pitchFamily="50" charset="-128"/>
            <a:ea typeface="メイリオ" panose="020B0604030504040204" pitchFamily="50" charset="-128"/>
            <a:cs typeface="+mn-cs"/>
          </a:endParaRPr>
        </a:p>
        <a:p>
          <a:r>
            <a:rPr lang="ja-JP" altLang="ja-JP" sz="1100">
              <a:solidFill>
                <a:schemeClr val="dk1"/>
              </a:solidFill>
              <a:effectLst/>
              <a:latin typeface="メイリオ" panose="020B0604030504040204" pitchFamily="50" charset="-128"/>
              <a:ea typeface="メイリオ" panose="020B0604030504040204" pitchFamily="50" charset="-128"/>
              <a:cs typeface="+mn-cs"/>
            </a:rPr>
            <a:t>はじめに</a:t>
          </a:r>
        </a:p>
        <a:p>
          <a:r>
            <a:rPr lang="ja-JP" altLang="ja-JP" sz="1100">
              <a:solidFill>
                <a:schemeClr val="dk1"/>
              </a:solidFill>
              <a:effectLst/>
              <a:latin typeface="メイリオ" panose="020B0604030504040204" pitchFamily="50" charset="-128"/>
              <a:ea typeface="メイリオ" panose="020B0604030504040204" pitchFamily="50" charset="-128"/>
              <a:cs typeface="+mn-cs"/>
            </a:rPr>
            <a:t>報告書①（事業所概要・実績）</a:t>
          </a:r>
        </a:p>
        <a:p>
          <a:r>
            <a:rPr lang="ja-JP" altLang="ja-JP" sz="1100">
              <a:solidFill>
                <a:schemeClr val="dk1"/>
              </a:solidFill>
              <a:effectLst/>
              <a:latin typeface="メイリオ" panose="020B0604030504040204" pitchFamily="50" charset="-128"/>
              <a:ea typeface="メイリオ" panose="020B0604030504040204" pitchFamily="50" charset="-128"/>
              <a:cs typeface="+mn-cs"/>
            </a:rPr>
            <a:t>報告書② 第</a:t>
          </a:r>
          <a:r>
            <a:rPr lang="en-US" altLang="ja-JP" sz="1100">
              <a:solidFill>
                <a:schemeClr val="dk1"/>
              </a:solidFill>
              <a:effectLst/>
              <a:latin typeface="メイリオ" panose="020B0604030504040204" pitchFamily="50" charset="-128"/>
              <a:ea typeface="メイリオ" panose="020B0604030504040204" pitchFamily="50" charset="-128"/>
              <a:cs typeface="+mn-cs"/>
            </a:rPr>
            <a:t>1</a:t>
          </a:r>
          <a:r>
            <a:rPr lang="ja-JP" altLang="ja-JP" sz="1100">
              <a:solidFill>
                <a:schemeClr val="dk1"/>
              </a:solidFill>
              <a:effectLst/>
              <a:latin typeface="メイリオ" panose="020B0604030504040204" pitchFamily="50" charset="-128"/>
              <a:ea typeface="メイリオ" panose="020B0604030504040204" pitchFamily="50" charset="-128"/>
              <a:cs typeface="+mn-cs"/>
            </a:rPr>
            <a:t>年度</a:t>
          </a:r>
          <a:r>
            <a:rPr lang="en-US" altLang="ja-JP" sz="1100">
              <a:solidFill>
                <a:schemeClr val="dk1"/>
              </a:solidFill>
              <a:effectLst/>
              <a:latin typeface="メイリオ" panose="020B0604030504040204" pitchFamily="50" charset="-128"/>
              <a:ea typeface="メイリオ" panose="020B0604030504040204" pitchFamily="50" charset="-128"/>
              <a:cs typeface="+mn-cs"/>
            </a:rPr>
            <a:t>(</a:t>
          </a:r>
          <a:r>
            <a:rPr lang="ja-JP" altLang="ja-JP" sz="1100">
              <a:solidFill>
                <a:schemeClr val="dk1"/>
              </a:solidFill>
              <a:effectLst/>
              <a:latin typeface="メイリオ" panose="020B0604030504040204" pitchFamily="50" charset="-128"/>
              <a:ea typeface="メイリオ" panose="020B0604030504040204" pitchFamily="50" charset="-128"/>
              <a:cs typeface="+mn-cs"/>
            </a:rPr>
            <a:t>取組）</a:t>
          </a:r>
        </a:p>
        <a:p>
          <a:r>
            <a:rPr lang="ja-JP" altLang="ja-JP" sz="1100">
              <a:solidFill>
                <a:schemeClr val="dk1"/>
              </a:solidFill>
              <a:effectLst/>
              <a:latin typeface="メイリオ" panose="020B0604030504040204" pitchFamily="50" charset="-128"/>
              <a:ea typeface="メイリオ" panose="020B0604030504040204" pitchFamily="50" charset="-128"/>
              <a:cs typeface="+mn-cs"/>
            </a:rPr>
            <a:t>報告書③（任意記載）</a:t>
          </a:r>
          <a:endParaRPr lang="en-US" altLang="ja-JP" sz="1100">
            <a:solidFill>
              <a:schemeClr val="dk1"/>
            </a:solidFill>
            <a:effectLst/>
            <a:latin typeface="メイリオ" panose="020B0604030504040204" pitchFamily="50" charset="-128"/>
            <a:ea typeface="メイリオ" panose="020B0604030504040204" pitchFamily="50" charset="-128"/>
            <a:cs typeface="+mn-cs"/>
          </a:endParaRPr>
        </a:p>
        <a:p>
          <a:r>
            <a:rPr lang="ja-JP" altLang="en-US" sz="1100">
              <a:solidFill>
                <a:schemeClr val="dk1"/>
              </a:solidFill>
              <a:effectLst/>
              <a:latin typeface="メイリオ" panose="020B0604030504040204" pitchFamily="50" charset="-128"/>
              <a:ea typeface="メイリオ" panose="020B0604030504040204" pitchFamily="50" charset="-128"/>
              <a:cs typeface="+mn-cs"/>
            </a:rPr>
            <a:t>計算シート（第</a:t>
          </a:r>
          <a:r>
            <a:rPr lang="en-US" altLang="ja-JP" sz="1100">
              <a:solidFill>
                <a:schemeClr val="dk1"/>
              </a:solidFill>
              <a:effectLst/>
              <a:latin typeface="メイリオ" panose="020B0604030504040204" pitchFamily="50" charset="-128"/>
              <a:ea typeface="メイリオ" panose="020B0604030504040204" pitchFamily="50" charset="-128"/>
              <a:cs typeface="+mn-cs"/>
            </a:rPr>
            <a:t>1</a:t>
          </a:r>
          <a:r>
            <a:rPr lang="ja-JP" altLang="en-US" sz="1100">
              <a:solidFill>
                <a:schemeClr val="dk1"/>
              </a:solidFill>
              <a:effectLst/>
              <a:latin typeface="メイリオ" panose="020B0604030504040204" pitchFamily="50" charset="-128"/>
              <a:ea typeface="メイリオ" panose="020B0604030504040204" pitchFamily="50" charset="-128"/>
              <a:cs typeface="+mn-cs"/>
            </a:rPr>
            <a:t>～第</a:t>
          </a:r>
          <a:r>
            <a:rPr lang="en-US" altLang="ja-JP" sz="1100">
              <a:solidFill>
                <a:schemeClr val="dk1"/>
              </a:solidFill>
              <a:effectLst/>
              <a:latin typeface="メイリオ" panose="020B0604030504040204" pitchFamily="50" charset="-128"/>
              <a:ea typeface="メイリオ" panose="020B0604030504040204" pitchFamily="50" charset="-128"/>
              <a:cs typeface="+mn-cs"/>
            </a:rPr>
            <a:t>3</a:t>
          </a:r>
          <a:r>
            <a:rPr lang="ja-JP" altLang="en-US" sz="1100">
              <a:solidFill>
                <a:schemeClr val="dk1"/>
              </a:solidFill>
              <a:effectLst/>
              <a:latin typeface="メイリオ" panose="020B0604030504040204" pitchFamily="50" charset="-128"/>
              <a:ea typeface="メイリオ" panose="020B0604030504040204" pitchFamily="50" charset="-128"/>
              <a:cs typeface="+mn-cs"/>
            </a:rPr>
            <a:t>年度）</a:t>
          </a:r>
          <a:endParaRPr lang="ja-JP" altLang="ja-JP" sz="1100">
            <a:solidFill>
              <a:schemeClr val="dk1"/>
            </a:solidFill>
            <a:effectLst/>
            <a:latin typeface="メイリオ" panose="020B0604030504040204" pitchFamily="50" charset="-128"/>
            <a:ea typeface="メイリオ" panose="020B0604030504040204" pitchFamily="50" charset="-128"/>
            <a:cs typeface="+mn-cs"/>
          </a:endParaRPr>
        </a:p>
        <a:p>
          <a:r>
            <a:rPr lang="ja-JP" altLang="ja-JP" sz="1100">
              <a:solidFill>
                <a:schemeClr val="dk1"/>
              </a:solidFill>
              <a:effectLst/>
              <a:latin typeface="メイリオ" panose="020B0604030504040204" pitchFamily="50" charset="-128"/>
              <a:ea typeface="メイリオ" panose="020B0604030504040204" pitchFamily="50" charset="-128"/>
              <a:cs typeface="+mn-cs"/>
            </a:rPr>
            <a:t>事業所排出量内訳（第</a:t>
          </a:r>
          <a:r>
            <a:rPr lang="en-US" altLang="ja-JP" sz="1100">
              <a:solidFill>
                <a:schemeClr val="dk1"/>
              </a:solidFill>
              <a:effectLst/>
              <a:latin typeface="メイリオ" panose="020B0604030504040204" pitchFamily="50" charset="-128"/>
              <a:ea typeface="メイリオ" panose="020B0604030504040204" pitchFamily="50" charset="-128"/>
              <a:cs typeface="+mn-cs"/>
            </a:rPr>
            <a:t>1</a:t>
          </a:r>
          <a:r>
            <a:rPr lang="ja-JP" altLang="ja-JP" sz="1100">
              <a:solidFill>
                <a:schemeClr val="dk1"/>
              </a:solidFill>
              <a:effectLst/>
              <a:latin typeface="メイリオ" panose="020B0604030504040204" pitchFamily="50" charset="-128"/>
              <a:ea typeface="メイリオ" panose="020B0604030504040204" pitchFamily="50" charset="-128"/>
              <a:cs typeface="+mn-cs"/>
            </a:rPr>
            <a:t>年度</a:t>
          </a:r>
          <a:r>
            <a:rPr lang="en-US" altLang="ja-JP" sz="1100">
              <a:solidFill>
                <a:schemeClr val="dk1"/>
              </a:solidFill>
              <a:effectLst/>
              <a:latin typeface="メイリオ" panose="020B0604030504040204" pitchFamily="50" charset="-128"/>
              <a:ea typeface="メイリオ" panose="020B0604030504040204" pitchFamily="50" charset="-128"/>
              <a:cs typeface="+mn-cs"/>
            </a:rPr>
            <a:t>)</a:t>
          </a:r>
          <a:endParaRPr lang="ja-JP" altLang="ja-JP" sz="1100">
            <a:solidFill>
              <a:schemeClr val="dk1"/>
            </a:solidFill>
            <a:effectLst/>
            <a:latin typeface="メイリオ" panose="020B0604030504040204" pitchFamily="50" charset="-128"/>
            <a:ea typeface="メイリオ" panose="020B0604030504040204" pitchFamily="50" charset="-128"/>
            <a:cs typeface="+mn-cs"/>
          </a:endParaRPr>
        </a:p>
        <a:p>
          <a:endParaRPr lang="en-US" altLang="ja-JP" sz="1100" b="1" cap="all">
            <a:solidFill>
              <a:schemeClr val="dk1"/>
            </a:solidFill>
            <a:effectLst/>
            <a:latin typeface="メイリオ" panose="020B0604030504040204" pitchFamily="50" charset="-128"/>
            <a:ea typeface="メイリオ" panose="020B0604030504040204" pitchFamily="50" charset="-128"/>
            <a:cs typeface="+mn-cs"/>
          </a:endParaRPr>
        </a:p>
        <a:p>
          <a:r>
            <a:rPr lang="ja-JP" altLang="en-US" sz="1100" b="1" cap="all">
              <a:solidFill>
                <a:schemeClr val="dk1"/>
              </a:solidFill>
              <a:effectLst/>
              <a:latin typeface="メイリオ" panose="020B0604030504040204" pitchFamily="50" charset="-128"/>
              <a:ea typeface="メイリオ" panose="020B0604030504040204" pitchFamily="50" charset="-128"/>
              <a:cs typeface="+mn-cs"/>
            </a:rPr>
            <a:t>●</a:t>
          </a:r>
          <a:r>
            <a:rPr lang="ja-JP" altLang="ja-JP" sz="1100" b="1" cap="all">
              <a:solidFill>
                <a:schemeClr val="dk1"/>
              </a:solidFill>
              <a:effectLst/>
              <a:latin typeface="メイリオ" panose="020B0604030504040204" pitchFamily="50" charset="-128"/>
              <a:ea typeface="メイリオ" panose="020B0604030504040204" pitchFamily="50" charset="-128"/>
              <a:cs typeface="+mn-cs"/>
            </a:rPr>
            <a:t>第</a:t>
          </a:r>
          <a:r>
            <a:rPr lang="en-US" altLang="ja-JP" sz="1100" b="1" cap="all">
              <a:solidFill>
                <a:schemeClr val="dk1"/>
              </a:solidFill>
              <a:effectLst/>
              <a:latin typeface="メイリオ" panose="020B0604030504040204" pitchFamily="50" charset="-128"/>
              <a:ea typeface="メイリオ" panose="020B0604030504040204" pitchFamily="50" charset="-128"/>
              <a:cs typeface="+mn-cs"/>
            </a:rPr>
            <a:t>2</a:t>
          </a:r>
          <a:r>
            <a:rPr lang="ja-JP" altLang="ja-JP" sz="1100" b="1" cap="all">
              <a:solidFill>
                <a:schemeClr val="dk1"/>
              </a:solidFill>
              <a:effectLst/>
              <a:latin typeface="メイリオ" panose="020B0604030504040204" pitchFamily="50" charset="-128"/>
              <a:ea typeface="メイリオ" panose="020B0604030504040204" pitchFamily="50" charset="-128"/>
              <a:cs typeface="+mn-cs"/>
            </a:rPr>
            <a:t>年度</a:t>
          </a:r>
          <a:endParaRPr lang="ja-JP" altLang="ja-JP" sz="1100">
            <a:solidFill>
              <a:schemeClr val="dk1"/>
            </a:solidFill>
            <a:effectLst/>
            <a:latin typeface="メイリオ" panose="020B0604030504040204" pitchFamily="50" charset="-128"/>
            <a:ea typeface="メイリオ" panose="020B0604030504040204" pitchFamily="50" charset="-128"/>
            <a:cs typeface="+mn-cs"/>
          </a:endParaRPr>
        </a:p>
        <a:p>
          <a:r>
            <a:rPr lang="ja-JP" altLang="ja-JP" sz="1100">
              <a:solidFill>
                <a:schemeClr val="dk1"/>
              </a:solidFill>
              <a:effectLst/>
              <a:latin typeface="メイリオ" panose="020B0604030504040204" pitchFamily="50" charset="-128"/>
              <a:ea typeface="メイリオ" panose="020B0604030504040204" pitchFamily="50" charset="-128"/>
              <a:cs typeface="+mn-cs"/>
            </a:rPr>
            <a:t>はじめに</a:t>
          </a:r>
        </a:p>
        <a:p>
          <a:r>
            <a:rPr lang="ja-JP" altLang="ja-JP" sz="1100">
              <a:solidFill>
                <a:schemeClr val="dk1"/>
              </a:solidFill>
              <a:effectLst/>
              <a:latin typeface="メイリオ" panose="020B0604030504040204" pitchFamily="50" charset="-128"/>
              <a:ea typeface="メイリオ" panose="020B0604030504040204" pitchFamily="50" charset="-128"/>
              <a:cs typeface="+mn-cs"/>
            </a:rPr>
            <a:t>報告書①（事業所概要・実績）</a:t>
          </a:r>
        </a:p>
        <a:p>
          <a:r>
            <a:rPr lang="ja-JP" altLang="ja-JP" sz="1100">
              <a:solidFill>
                <a:schemeClr val="dk1"/>
              </a:solidFill>
              <a:effectLst/>
              <a:latin typeface="メイリオ" panose="020B0604030504040204" pitchFamily="50" charset="-128"/>
              <a:ea typeface="メイリオ" panose="020B0604030504040204" pitchFamily="50" charset="-128"/>
              <a:cs typeface="+mn-cs"/>
            </a:rPr>
            <a:t>報告書② 第</a:t>
          </a:r>
          <a:r>
            <a:rPr lang="en-US" altLang="ja-JP" sz="1100">
              <a:solidFill>
                <a:schemeClr val="dk1"/>
              </a:solidFill>
              <a:effectLst/>
              <a:latin typeface="メイリオ" panose="020B0604030504040204" pitchFamily="50" charset="-128"/>
              <a:ea typeface="メイリオ" panose="020B0604030504040204" pitchFamily="50" charset="-128"/>
              <a:cs typeface="+mn-cs"/>
            </a:rPr>
            <a:t>2</a:t>
          </a:r>
          <a:r>
            <a:rPr lang="ja-JP" altLang="ja-JP" sz="1100">
              <a:solidFill>
                <a:schemeClr val="dk1"/>
              </a:solidFill>
              <a:effectLst/>
              <a:latin typeface="メイリオ" panose="020B0604030504040204" pitchFamily="50" charset="-128"/>
              <a:ea typeface="メイリオ" panose="020B0604030504040204" pitchFamily="50" charset="-128"/>
              <a:cs typeface="+mn-cs"/>
            </a:rPr>
            <a:t>年度</a:t>
          </a:r>
          <a:r>
            <a:rPr lang="en-US" altLang="ja-JP" sz="1100">
              <a:solidFill>
                <a:schemeClr val="dk1"/>
              </a:solidFill>
              <a:effectLst/>
              <a:latin typeface="メイリオ" panose="020B0604030504040204" pitchFamily="50" charset="-128"/>
              <a:ea typeface="メイリオ" panose="020B0604030504040204" pitchFamily="50" charset="-128"/>
              <a:cs typeface="+mn-cs"/>
            </a:rPr>
            <a:t>(</a:t>
          </a:r>
          <a:r>
            <a:rPr lang="ja-JP" altLang="ja-JP" sz="1100">
              <a:solidFill>
                <a:schemeClr val="dk1"/>
              </a:solidFill>
              <a:effectLst/>
              <a:latin typeface="メイリオ" panose="020B0604030504040204" pitchFamily="50" charset="-128"/>
              <a:ea typeface="メイリオ" panose="020B0604030504040204" pitchFamily="50" charset="-128"/>
              <a:cs typeface="+mn-cs"/>
            </a:rPr>
            <a:t>取組）</a:t>
          </a:r>
        </a:p>
        <a:p>
          <a:r>
            <a:rPr lang="ja-JP" altLang="ja-JP" sz="1100">
              <a:solidFill>
                <a:schemeClr val="dk1"/>
              </a:solidFill>
              <a:effectLst/>
              <a:latin typeface="メイリオ" panose="020B0604030504040204" pitchFamily="50" charset="-128"/>
              <a:ea typeface="メイリオ" panose="020B0604030504040204" pitchFamily="50" charset="-128"/>
              <a:cs typeface="+mn-cs"/>
            </a:rPr>
            <a:t>報告書③（任意記載）</a:t>
          </a:r>
          <a:endParaRPr lang="en-US" altLang="ja-JP" sz="1100">
            <a:solidFill>
              <a:schemeClr val="dk1"/>
            </a:solidFill>
            <a:effectLst/>
            <a:latin typeface="メイリオ" panose="020B0604030504040204" pitchFamily="50" charset="-128"/>
            <a:ea typeface="メイリオ" panose="020B0604030504040204" pitchFamily="50" charset="-128"/>
            <a:cs typeface="+mn-cs"/>
          </a:endParaRPr>
        </a:p>
        <a:p>
          <a:r>
            <a:rPr lang="ja-JP" altLang="en-US" sz="1100">
              <a:solidFill>
                <a:schemeClr val="dk1"/>
              </a:solidFill>
              <a:effectLst/>
              <a:latin typeface="メイリオ" panose="020B0604030504040204" pitchFamily="50" charset="-128"/>
              <a:ea typeface="メイリオ" panose="020B0604030504040204" pitchFamily="50" charset="-128"/>
              <a:cs typeface="+mn-cs"/>
            </a:rPr>
            <a:t>計算シート（第</a:t>
          </a:r>
          <a:r>
            <a:rPr lang="en-US" altLang="ja-JP" sz="1100">
              <a:solidFill>
                <a:schemeClr val="dk1"/>
              </a:solidFill>
              <a:effectLst/>
              <a:latin typeface="メイリオ" panose="020B0604030504040204" pitchFamily="50" charset="-128"/>
              <a:ea typeface="メイリオ" panose="020B0604030504040204" pitchFamily="50" charset="-128"/>
              <a:cs typeface="+mn-cs"/>
            </a:rPr>
            <a:t>1</a:t>
          </a:r>
          <a:r>
            <a:rPr lang="ja-JP" altLang="en-US" sz="1100">
              <a:solidFill>
                <a:schemeClr val="dk1"/>
              </a:solidFill>
              <a:effectLst/>
              <a:latin typeface="メイリオ" panose="020B0604030504040204" pitchFamily="50" charset="-128"/>
              <a:ea typeface="メイリオ" panose="020B0604030504040204" pitchFamily="50" charset="-128"/>
              <a:cs typeface="+mn-cs"/>
            </a:rPr>
            <a:t>～第</a:t>
          </a:r>
          <a:r>
            <a:rPr lang="en-US" altLang="ja-JP" sz="1100">
              <a:solidFill>
                <a:schemeClr val="dk1"/>
              </a:solidFill>
              <a:effectLst/>
              <a:latin typeface="メイリオ" panose="020B0604030504040204" pitchFamily="50" charset="-128"/>
              <a:ea typeface="メイリオ" panose="020B0604030504040204" pitchFamily="50" charset="-128"/>
              <a:cs typeface="+mn-cs"/>
            </a:rPr>
            <a:t>3</a:t>
          </a:r>
          <a:r>
            <a:rPr lang="ja-JP" altLang="en-US" sz="1100">
              <a:solidFill>
                <a:schemeClr val="dk1"/>
              </a:solidFill>
              <a:effectLst/>
              <a:latin typeface="メイリオ" panose="020B0604030504040204" pitchFamily="50" charset="-128"/>
              <a:ea typeface="メイリオ" panose="020B0604030504040204" pitchFamily="50" charset="-128"/>
              <a:cs typeface="+mn-cs"/>
            </a:rPr>
            <a:t>年度）</a:t>
          </a:r>
          <a:endParaRPr lang="ja-JP" altLang="ja-JP" sz="1100">
            <a:solidFill>
              <a:schemeClr val="dk1"/>
            </a:solidFill>
            <a:effectLst/>
            <a:latin typeface="メイリオ" panose="020B0604030504040204" pitchFamily="50" charset="-128"/>
            <a:ea typeface="メイリオ" panose="020B0604030504040204" pitchFamily="50" charset="-128"/>
            <a:cs typeface="+mn-cs"/>
          </a:endParaRPr>
        </a:p>
        <a:p>
          <a:r>
            <a:rPr lang="ja-JP" altLang="ja-JP" sz="1100">
              <a:solidFill>
                <a:schemeClr val="dk1"/>
              </a:solidFill>
              <a:effectLst/>
              <a:latin typeface="メイリオ" panose="020B0604030504040204" pitchFamily="50" charset="-128"/>
              <a:ea typeface="メイリオ" panose="020B0604030504040204" pitchFamily="50" charset="-128"/>
              <a:cs typeface="+mn-cs"/>
            </a:rPr>
            <a:t>事業所排出量内訳（第</a:t>
          </a:r>
          <a:r>
            <a:rPr lang="en-US" altLang="ja-JP" sz="1100">
              <a:solidFill>
                <a:schemeClr val="dk1"/>
              </a:solidFill>
              <a:effectLst/>
              <a:latin typeface="メイリオ" panose="020B0604030504040204" pitchFamily="50" charset="-128"/>
              <a:ea typeface="メイリオ" panose="020B0604030504040204" pitchFamily="50" charset="-128"/>
              <a:cs typeface="+mn-cs"/>
            </a:rPr>
            <a:t>2</a:t>
          </a:r>
          <a:r>
            <a:rPr lang="ja-JP" altLang="ja-JP" sz="1100">
              <a:solidFill>
                <a:schemeClr val="dk1"/>
              </a:solidFill>
              <a:effectLst/>
              <a:latin typeface="メイリオ" panose="020B0604030504040204" pitchFamily="50" charset="-128"/>
              <a:ea typeface="メイリオ" panose="020B0604030504040204" pitchFamily="50" charset="-128"/>
              <a:cs typeface="+mn-cs"/>
            </a:rPr>
            <a:t>年度</a:t>
          </a:r>
          <a:r>
            <a:rPr lang="en-US" altLang="ja-JP" sz="1100">
              <a:solidFill>
                <a:schemeClr val="dk1"/>
              </a:solidFill>
              <a:effectLst/>
              <a:latin typeface="メイリオ" panose="020B0604030504040204" pitchFamily="50" charset="-128"/>
              <a:ea typeface="メイリオ" panose="020B0604030504040204" pitchFamily="50" charset="-128"/>
              <a:cs typeface="+mn-cs"/>
            </a:rPr>
            <a:t>)</a:t>
          </a:r>
          <a:endParaRPr lang="ja-JP" altLang="ja-JP" sz="1100">
            <a:solidFill>
              <a:schemeClr val="dk1"/>
            </a:solidFill>
            <a:effectLst/>
            <a:latin typeface="メイリオ" panose="020B0604030504040204" pitchFamily="50" charset="-128"/>
            <a:ea typeface="メイリオ" panose="020B0604030504040204" pitchFamily="50" charset="-128"/>
            <a:cs typeface="+mn-cs"/>
          </a:endParaRPr>
        </a:p>
        <a:p>
          <a:endParaRPr lang="en-US" altLang="ja-JP" sz="1100" b="1" cap="all">
            <a:solidFill>
              <a:schemeClr val="dk1"/>
            </a:solidFill>
            <a:effectLst/>
            <a:latin typeface="メイリオ" panose="020B0604030504040204" pitchFamily="50" charset="-128"/>
            <a:ea typeface="メイリオ" panose="020B0604030504040204" pitchFamily="50" charset="-128"/>
            <a:cs typeface="+mn-cs"/>
          </a:endParaRPr>
        </a:p>
        <a:p>
          <a:r>
            <a:rPr lang="ja-JP" altLang="en-US" sz="1100" b="1" cap="all">
              <a:solidFill>
                <a:schemeClr val="dk1"/>
              </a:solidFill>
              <a:effectLst/>
              <a:latin typeface="メイリオ" panose="020B0604030504040204" pitchFamily="50" charset="-128"/>
              <a:ea typeface="メイリオ" panose="020B0604030504040204" pitchFamily="50" charset="-128"/>
              <a:cs typeface="+mn-cs"/>
            </a:rPr>
            <a:t>●</a:t>
          </a:r>
          <a:r>
            <a:rPr lang="ja-JP" altLang="ja-JP" sz="1100" b="1" cap="all">
              <a:solidFill>
                <a:schemeClr val="dk1"/>
              </a:solidFill>
              <a:effectLst/>
              <a:latin typeface="メイリオ" panose="020B0604030504040204" pitchFamily="50" charset="-128"/>
              <a:ea typeface="メイリオ" panose="020B0604030504040204" pitchFamily="50" charset="-128"/>
              <a:cs typeface="+mn-cs"/>
            </a:rPr>
            <a:t>第</a:t>
          </a:r>
          <a:r>
            <a:rPr lang="en-US" altLang="ja-JP" sz="1100" b="1" cap="all">
              <a:solidFill>
                <a:schemeClr val="dk1"/>
              </a:solidFill>
              <a:effectLst/>
              <a:latin typeface="メイリオ" panose="020B0604030504040204" pitchFamily="50" charset="-128"/>
              <a:ea typeface="メイリオ" panose="020B0604030504040204" pitchFamily="50" charset="-128"/>
              <a:cs typeface="+mn-cs"/>
            </a:rPr>
            <a:t>3</a:t>
          </a:r>
          <a:r>
            <a:rPr lang="ja-JP" altLang="ja-JP" sz="1100" b="1" cap="all">
              <a:solidFill>
                <a:schemeClr val="dk1"/>
              </a:solidFill>
              <a:effectLst/>
              <a:latin typeface="メイリオ" panose="020B0604030504040204" pitchFamily="50" charset="-128"/>
              <a:ea typeface="メイリオ" panose="020B0604030504040204" pitchFamily="50" charset="-128"/>
              <a:cs typeface="+mn-cs"/>
            </a:rPr>
            <a:t>年度</a:t>
          </a:r>
          <a:endParaRPr lang="ja-JP" altLang="ja-JP" sz="1100">
            <a:solidFill>
              <a:schemeClr val="dk1"/>
            </a:solidFill>
            <a:effectLst/>
            <a:latin typeface="メイリオ" panose="020B0604030504040204" pitchFamily="50" charset="-128"/>
            <a:ea typeface="メイリオ" panose="020B0604030504040204" pitchFamily="50" charset="-128"/>
            <a:cs typeface="+mn-cs"/>
          </a:endParaRPr>
        </a:p>
        <a:p>
          <a:r>
            <a:rPr lang="ja-JP" altLang="ja-JP" sz="1100">
              <a:solidFill>
                <a:schemeClr val="dk1"/>
              </a:solidFill>
              <a:effectLst/>
              <a:latin typeface="メイリオ" panose="020B0604030504040204" pitchFamily="50" charset="-128"/>
              <a:ea typeface="メイリオ" panose="020B0604030504040204" pitchFamily="50" charset="-128"/>
              <a:cs typeface="+mn-cs"/>
            </a:rPr>
            <a:t>はじめに</a:t>
          </a:r>
        </a:p>
        <a:p>
          <a:r>
            <a:rPr lang="ja-JP" altLang="ja-JP" sz="1100">
              <a:solidFill>
                <a:schemeClr val="dk1"/>
              </a:solidFill>
              <a:effectLst/>
              <a:latin typeface="メイリオ" panose="020B0604030504040204" pitchFamily="50" charset="-128"/>
              <a:ea typeface="メイリオ" panose="020B0604030504040204" pitchFamily="50" charset="-128"/>
              <a:cs typeface="+mn-cs"/>
            </a:rPr>
            <a:t>報告書①（事業所概要・実績）</a:t>
          </a:r>
        </a:p>
        <a:p>
          <a:r>
            <a:rPr lang="ja-JP" altLang="ja-JP" sz="1100">
              <a:solidFill>
                <a:schemeClr val="dk1"/>
              </a:solidFill>
              <a:effectLst/>
              <a:latin typeface="メイリオ" panose="020B0604030504040204" pitchFamily="50" charset="-128"/>
              <a:ea typeface="メイリオ" panose="020B0604030504040204" pitchFamily="50" charset="-128"/>
              <a:cs typeface="+mn-cs"/>
            </a:rPr>
            <a:t>報告書② 第</a:t>
          </a:r>
          <a:r>
            <a:rPr lang="en-US" altLang="ja-JP" sz="1100">
              <a:solidFill>
                <a:schemeClr val="dk1"/>
              </a:solidFill>
              <a:effectLst/>
              <a:latin typeface="メイリオ" panose="020B0604030504040204" pitchFamily="50" charset="-128"/>
              <a:ea typeface="メイリオ" panose="020B0604030504040204" pitchFamily="50" charset="-128"/>
              <a:cs typeface="+mn-cs"/>
            </a:rPr>
            <a:t>3</a:t>
          </a:r>
          <a:r>
            <a:rPr lang="ja-JP" altLang="ja-JP" sz="1100">
              <a:solidFill>
                <a:schemeClr val="dk1"/>
              </a:solidFill>
              <a:effectLst/>
              <a:latin typeface="メイリオ" panose="020B0604030504040204" pitchFamily="50" charset="-128"/>
              <a:ea typeface="メイリオ" panose="020B0604030504040204" pitchFamily="50" charset="-128"/>
              <a:cs typeface="+mn-cs"/>
            </a:rPr>
            <a:t>年度</a:t>
          </a:r>
          <a:r>
            <a:rPr lang="en-US" altLang="ja-JP" sz="1100">
              <a:solidFill>
                <a:schemeClr val="dk1"/>
              </a:solidFill>
              <a:effectLst/>
              <a:latin typeface="メイリオ" panose="020B0604030504040204" pitchFamily="50" charset="-128"/>
              <a:ea typeface="メイリオ" panose="020B0604030504040204" pitchFamily="50" charset="-128"/>
              <a:cs typeface="+mn-cs"/>
            </a:rPr>
            <a:t>(</a:t>
          </a:r>
          <a:r>
            <a:rPr lang="ja-JP" altLang="ja-JP" sz="1100">
              <a:solidFill>
                <a:schemeClr val="dk1"/>
              </a:solidFill>
              <a:effectLst/>
              <a:latin typeface="メイリオ" panose="020B0604030504040204" pitchFamily="50" charset="-128"/>
              <a:ea typeface="メイリオ" panose="020B0604030504040204" pitchFamily="50" charset="-128"/>
              <a:cs typeface="+mn-cs"/>
            </a:rPr>
            <a:t>取組）</a:t>
          </a:r>
        </a:p>
        <a:p>
          <a:r>
            <a:rPr lang="ja-JP" altLang="ja-JP" sz="1100">
              <a:solidFill>
                <a:schemeClr val="dk1"/>
              </a:solidFill>
              <a:effectLst/>
              <a:latin typeface="メイリオ" panose="020B0604030504040204" pitchFamily="50" charset="-128"/>
              <a:ea typeface="メイリオ" panose="020B0604030504040204" pitchFamily="50" charset="-128"/>
              <a:cs typeface="+mn-cs"/>
            </a:rPr>
            <a:t>報告書③（任意記載）</a:t>
          </a:r>
          <a:endParaRPr lang="en-US" altLang="ja-JP" sz="1100">
            <a:solidFill>
              <a:schemeClr val="dk1"/>
            </a:solidFill>
            <a:effectLst/>
            <a:latin typeface="メイリオ" panose="020B0604030504040204" pitchFamily="50" charset="-128"/>
            <a:ea typeface="メイリオ" panose="020B0604030504040204" pitchFamily="50" charset="-128"/>
            <a:cs typeface="+mn-cs"/>
          </a:endParaRPr>
        </a:p>
        <a:p>
          <a:r>
            <a:rPr lang="ja-JP" altLang="en-US" sz="1100">
              <a:solidFill>
                <a:schemeClr val="dk1"/>
              </a:solidFill>
              <a:effectLst/>
              <a:latin typeface="メイリオ" panose="020B0604030504040204" pitchFamily="50" charset="-128"/>
              <a:ea typeface="メイリオ" panose="020B0604030504040204" pitchFamily="50" charset="-128"/>
              <a:cs typeface="+mn-cs"/>
            </a:rPr>
            <a:t>計算シート（第</a:t>
          </a:r>
          <a:r>
            <a:rPr lang="en-US" altLang="ja-JP" sz="1100">
              <a:solidFill>
                <a:schemeClr val="dk1"/>
              </a:solidFill>
              <a:effectLst/>
              <a:latin typeface="メイリオ" panose="020B0604030504040204" pitchFamily="50" charset="-128"/>
              <a:ea typeface="メイリオ" panose="020B0604030504040204" pitchFamily="50" charset="-128"/>
              <a:cs typeface="+mn-cs"/>
            </a:rPr>
            <a:t>1</a:t>
          </a:r>
          <a:r>
            <a:rPr lang="ja-JP" altLang="en-US" sz="1100">
              <a:solidFill>
                <a:schemeClr val="dk1"/>
              </a:solidFill>
              <a:effectLst/>
              <a:latin typeface="メイリオ" panose="020B0604030504040204" pitchFamily="50" charset="-128"/>
              <a:ea typeface="メイリオ" panose="020B0604030504040204" pitchFamily="50" charset="-128"/>
              <a:cs typeface="+mn-cs"/>
            </a:rPr>
            <a:t>～第</a:t>
          </a:r>
          <a:r>
            <a:rPr lang="en-US" altLang="ja-JP" sz="1100">
              <a:solidFill>
                <a:schemeClr val="dk1"/>
              </a:solidFill>
              <a:effectLst/>
              <a:latin typeface="メイリオ" panose="020B0604030504040204" pitchFamily="50" charset="-128"/>
              <a:ea typeface="メイリオ" panose="020B0604030504040204" pitchFamily="50" charset="-128"/>
              <a:cs typeface="+mn-cs"/>
            </a:rPr>
            <a:t>3</a:t>
          </a:r>
          <a:r>
            <a:rPr lang="ja-JP" altLang="en-US" sz="1100">
              <a:solidFill>
                <a:schemeClr val="dk1"/>
              </a:solidFill>
              <a:effectLst/>
              <a:latin typeface="メイリオ" panose="020B0604030504040204" pitchFamily="50" charset="-128"/>
              <a:ea typeface="メイリオ" panose="020B0604030504040204" pitchFamily="50" charset="-128"/>
              <a:cs typeface="+mn-cs"/>
            </a:rPr>
            <a:t>年度）</a:t>
          </a:r>
          <a:endParaRPr lang="ja-JP" altLang="ja-JP" sz="1100">
            <a:solidFill>
              <a:schemeClr val="dk1"/>
            </a:solidFill>
            <a:effectLst/>
            <a:latin typeface="メイリオ" panose="020B0604030504040204" pitchFamily="50" charset="-128"/>
            <a:ea typeface="メイリオ" panose="020B0604030504040204" pitchFamily="50" charset="-128"/>
            <a:cs typeface="+mn-cs"/>
          </a:endParaRPr>
        </a:p>
        <a:p>
          <a:r>
            <a:rPr lang="ja-JP" altLang="ja-JP" sz="1100">
              <a:solidFill>
                <a:schemeClr val="dk1"/>
              </a:solidFill>
              <a:effectLst/>
              <a:latin typeface="メイリオ" panose="020B0604030504040204" pitchFamily="50" charset="-128"/>
              <a:ea typeface="メイリオ" panose="020B0604030504040204" pitchFamily="50" charset="-128"/>
              <a:cs typeface="+mn-cs"/>
            </a:rPr>
            <a:t>事業所排出量内訳（第</a:t>
          </a:r>
          <a:r>
            <a:rPr lang="en-US" altLang="ja-JP" sz="1100">
              <a:solidFill>
                <a:schemeClr val="dk1"/>
              </a:solidFill>
              <a:effectLst/>
              <a:latin typeface="メイリオ" panose="020B0604030504040204" pitchFamily="50" charset="-128"/>
              <a:ea typeface="メイリオ" panose="020B0604030504040204" pitchFamily="50" charset="-128"/>
              <a:cs typeface="+mn-cs"/>
            </a:rPr>
            <a:t>3</a:t>
          </a:r>
          <a:r>
            <a:rPr lang="ja-JP" altLang="ja-JP" sz="1100">
              <a:solidFill>
                <a:schemeClr val="dk1"/>
              </a:solidFill>
              <a:effectLst/>
              <a:latin typeface="メイリオ" panose="020B0604030504040204" pitchFamily="50" charset="-128"/>
              <a:ea typeface="メイリオ" panose="020B0604030504040204" pitchFamily="50" charset="-128"/>
              <a:cs typeface="+mn-cs"/>
            </a:rPr>
            <a:t>年度</a:t>
          </a:r>
          <a:r>
            <a:rPr lang="en-US" altLang="ja-JP" sz="1100">
              <a:solidFill>
                <a:schemeClr val="dk1"/>
              </a:solidFill>
              <a:effectLst/>
              <a:latin typeface="メイリオ" panose="020B0604030504040204" pitchFamily="50" charset="-128"/>
              <a:ea typeface="メイリオ" panose="020B0604030504040204" pitchFamily="50" charset="-128"/>
              <a:cs typeface="+mn-cs"/>
            </a:rPr>
            <a:t>)</a:t>
          </a:r>
          <a:endParaRPr lang="ja-JP" altLang="ja-JP" sz="1100">
            <a:solidFill>
              <a:schemeClr val="dk1"/>
            </a:solidFill>
            <a:effectLst/>
            <a:latin typeface="メイリオ" panose="020B0604030504040204" pitchFamily="50" charset="-128"/>
            <a:ea typeface="メイリオ" panose="020B0604030504040204" pitchFamily="50" charset="-128"/>
            <a:cs typeface="+mn-cs"/>
          </a:endParaRPr>
        </a:p>
        <a:p>
          <a:endParaRPr kumimoji="1" lang="ja-JP" altLang="en-US" sz="1100">
            <a:latin typeface="メイリオ" panose="020B0604030504040204" pitchFamily="50" charset="-128"/>
            <a:ea typeface="メイリオ" panose="020B0604030504040204"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3.xml"/><Relationship Id="rId1" Type="http://schemas.openxmlformats.org/officeDocument/2006/relationships/printerSettings" Target="../printerSettings/printerSettings15.bin"/><Relationship Id="rId4" Type="http://schemas.openxmlformats.org/officeDocument/2006/relationships/comments" Target="../comments3.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4.xml"/><Relationship Id="rId1" Type="http://schemas.openxmlformats.org/officeDocument/2006/relationships/printerSettings" Target="../printerSettings/printerSettings16.bin"/><Relationship Id="rId4" Type="http://schemas.openxmlformats.org/officeDocument/2006/relationships/comments" Target="../comments4.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5.xml"/><Relationship Id="rId1" Type="http://schemas.openxmlformats.org/officeDocument/2006/relationships/printerSettings" Target="../printerSettings/printerSettings17.bin"/><Relationship Id="rId4" Type="http://schemas.openxmlformats.org/officeDocument/2006/relationships/comments" Target="../comments5.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sheetPr>
  <dimension ref="A1:Z41"/>
  <sheetViews>
    <sheetView tabSelected="1" view="pageBreakPreview" topLeftCell="B2" zoomScaleNormal="100" zoomScaleSheetLayoutView="100" workbookViewId="0">
      <selection activeCell="E4" sqref="E4"/>
    </sheetView>
  </sheetViews>
  <sheetFormatPr defaultColWidth="8.88671875" defaultRowHeight="16.2"/>
  <cols>
    <col min="1" max="1" width="4.109375" style="12" hidden="1" customWidth="1"/>
    <col min="2" max="2" width="14.44140625" style="12" bestFit="1" customWidth="1"/>
    <col min="3" max="3" width="20.109375" style="12" bestFit="1" customWidth="1"/>
    <col min="4" max="4" width="3.109375" style="13" customWidth="1"/>
    <col min="5" max="5" width="6.109375" style="12" customWidth="1"/>
    <col min="6" max="7" width="5.6640625" style="12" customWidth="1"/>
    <col min="8" max="8" width="6.33203125" style="12" customWidth="1"/>
    <col min="9" max="14" width="5.6640625" style="12" customWidth="1"/>
    <col min="15" max="15" width="26.6640625" style="12" hidden="1" customWidth="1"/>
    <col min="16" max="17" width="5.6640625" style="12" customWidth="1"/>
    <col min="18" max="18" width="22.109375" style="12" hidden="1" customWidth="1"/>
    <col min="19" max="19" width="8.109375" style="12" hidden="1" customWidth="1"/>
    <col min="20" max="20" width="9.6640625" style="12" customWidth="1"/>
    <col min="21" max="23" width="5.6640625" style="12" customWidth="1"/>
    <col min="24" max="25" width="8.88671875" style="12"/>
    <col min="26" max="26" width="8.88671875" style="12" hidden="1" customWidth="1"/>
    <col min="27" max="16384" width="8.88671875" style="12"/>
  </cols>
  <sheetData>
    <row r="1" spans="1:26" ht="30.6" hidden="1" customHeight="1">
      <c r="A1" s="251"/>
      <c r="B1" s="12" t="s">
        <v>4068</v>
      </c>
      <c r="C1" s="12" t="s">
        <v>4069</v>
      </c>
      <c r="D1" s="12" t="s">
        <v>4233</v>
      </c>
      <c r="E1" s="12" t="s">
        <v>4070</v>
      </c>
      <c r="F1" s="12" t="s">
        <v>4071</v>
      </c>
      <c r="G1" s="12" t="s">
        <v>4072</v>
      </c>
      <c r="H1" s="12" t="s">
        <v>4073</v>
      </c>
      <c r="I1" s="12" t="s">
        <v>4074</v>
      </c>
      <c r="J1" s="12" t="s">
        <v>4075</v>
      </c>
      <c r="K1" s="12" t="s">
        <v>4076</v>
      </c>
      <c r="L1" s="12" t="s">
        <v>4077</v>
      </c>
      <c r="M1" s="12" t="s">
        <v>4078</v>
      </c>
      <c r="N1" s="12" t="s">
        <v>4079</v>
      </c>
      <c r="O1" s="12" t="s">
        <v>4234</v>
      </c>
    </row>
    <row r="2" spans="1:26" ht="8.25" customHeight="1">
      <c r="S2" s="62"/>
      <c r="Z2" s="252">
        <v>2012</v>
      </c>
    </row>
    <row r="3" spans="1:26" ht="20.25" customHeight="1">
      <c r="A3" s="12">
        <v>3</v>
      </c>
      <c r="B3" s="12" t="s">
        <v>76</v>
      </c>
      <c r="C3" s="12" t="s">
        <v>3091</v>
      </c>
      <c r="E3" s="27" t="str">
        <f>IF(E4="","",IF(E4=2025,2025,E4+1))</f>
        <v/>
      </c>
      <c r="F3" s="19" t="s">
        <v>85</v>
      </c>
      <c r="G3" s="49" t="s">
        <v>3092</v>
      </c>
      <c r="H3" s="21">
        <v>2025</v>
      </c>
      <c r="I3" s="19" t="s">
        <v>85</v>
      </c>
      <c r="K3" s="13"/>
    </row>
    <row r="4" spans="1:26" ht="20.25" customHeight="1">
      <c r="A4" s="12">
        <v>4</v>
      </c>
      <c r="C4" s="12" t="s">
        <v>77</v>
      </c>
      <c r="E4" s="256"/>
      <c r="F4" s="19" t="s">
        <v>85</v>
      </c>
    </row>
    <row r="5" spans="1:26" ht="20.25" customHeight="1">
      <c r="A5" s="12">
        <v>5</v>
      </c>
      <c r="C5" s="12" t="s">
        <v>4135</v>
      </c>
      <c r="D5" s="253"/>
      <c r="E5" s="257"/>
      <c r="F5" s="19" t="s">
        <v>2</v>
      </c>
      <c r="G5" s="258"/>
      <c r="H5" s="19" t="s">
        <v>4051</v>
      </c>
      <c r="I5" s="258"/>
      <c r="J5" s="19" t="s">
        <v>4052</v>
      </c>
    </row>
    <row r="6" spans="1:26" ht="20.25" customHeight="1">
      <c r="A6" s="12">
        <v>6</v>
      </c>
      <c r="B6" s="12" t="s">
        <v>18</v>
      </c>
      <c r="C6" s="12" t="s">
        <v>20</v>
      </c>
      <c r="D6" s="253"/>
      <c r="E6" s="604"/>
      <c r="F6" s="604"/>
      <c r="G6" s="604"/>
      <c r="H6" s="604"/>
      <c r="I6" s="604"/>
      <c r="J6" s="604"/>
      <c r="K6" s="604"/>
      <c r="L6" s="604"/>
      <c r="M6" s="604"/>
      <c r="N6" s="604"/>
    </row>
    <row r="7" spans="1:26" ht="20.25" customHeight="1">
      <c r="A7" s="12">
        <v>7</v>
      </c>
      <c r="C7" s="12" t="s">
        <v>19</v>
      </c>
      <c r="D7" s="253"/>
      <c r="E7" s="604"/>
      <c r="F7" s="604"/>
      <c r="G7" s="604"/>
      <c r="H7" s="604"/>
      <c r="I7" s="604"/>
      <c r="J7" s="604"/>
      <c r="K7" s="604"/>
      <c r="L7" s="604"/>
      <c r="M7" s="604"/>
      <c r="N7" s="604"/>
    </row>
    <row r="8" spans="1:26" ht="20.25" customHeight="1">
      <c r="A8" s="12">
        <v>8</v>
      </c>
      <c r="C8" s="12" t="s">
        <v>21</v>
      </c>
      <c r="D8" s="253"/>
      <c r="E8" s="604"/>
      <c r="F8" s="604"/>
      <c r="G8" s="604"/>
      <c r="H8" s="604"/>
      <c r="I8" s="604"/>
      <c r="J8" s="604"/>
      <c r="K8" s="604"/>
      <c r="L8" s="604"/>
      <c r="M8" s="604"/>
      <c r="N8" s="604"/>
    </row>
    <row r="9" spans="1:26" ht="20.25" customHeight="1">
      <c r="A9" s="12">
        <v>9</v>
      </c>
      <c r="C9" s="12" t="s">
        <v>22</v>
      </c>
      <c r="D9" s="253"/>
      <c r="E9" s="604"/>
      <c r="F9" s="604"/>
      <c r="G9" s="604"/>
      <c r="H9" s="604"/>
      <c r="I9" s="604"/>
      <c r="J9" s="604"/>
      <c r="K9" s="604"/>
      <c r="L9" s="604"/>
      <c r="M9" s="604"/>
      <c r="N9" s="604"/>
    </row>
    <row r="10" spans="1:26" ht="20.25" customHeight="1">
      <c r="A10" s="12">
        <v>10</v>
      </c>
      <c r="B10" s="12" t="s">
        <v>4053</v>
      </c>
      <c r="C10" s="12" t="s">
        <v>4054</v>
      </c>
      <c r="D10" s="254"/>
      <c r="E10" s="575"/>
      <c r="F10" s="12" t="s">
        <v>4057</v>
      </c>
      <c r="S10" s="574"/>
    </row>
    <row r="11" spans="1:26" ht="20.25" customHeight="1">
      <c r="A11" s="12">
        <v>11</v>
      </c>
      <c r="C11" s="12" t="s">
        <v>4055</v>
      </c>
      <c r="D11" s="254"/>
      <c r="E11" s="575"/>
      <c r="F11" s="12" t="s">
        <v>4058</v>
      </c>
      <c r="S11" s="574"/>
    </row>
    <row r="12" spans="1:26" ht="20.25" customHeight="1">
      <c r="A12" s="12">
        <v>12</v>
      </c>
      <c r="C12" s="12" t="s">
        <v>4056</v>
      </c>
      <c r="D12" s="254"/>
      <c r="E12" s="575"/>
      <c r="F12" s="12" t="s">
        <v>4059</v>
      </c>
      <c r="S12" s="574"/>
    </row>
    <row r="13" spans="1:26" ht="20.25" customHeight="1">
      <c r="A13" s="12">
        <v>13</v>
      </c>
      <c r="C13" s="12" t="s">
        <v>4060</v>
      </c>
      <c r="D13" s="254"/>
      <c r="E13" s="576"/>
      <c r="F13" s="12" t="s">
        <v>4061</v>
      </c>
      <c r="S13" s="574" t="b">
        <v>1</v>
      </c>
    </row>
    <row r="14" spans="1:26" ht="20.25" customHeight="1">
      <c r="A14" s="12">
        <v>14</v>
      </c>
      <c r="B14" s="12" t="s">
        <v>29</v>
      </c>
      <c r="C14" s="12" t="s">
        <v>23</v>
      </c>
      <c r="D14" s="253"/>
      <c r="E14" s="604"/>
      <c r="F14" s="604"/>
      <c r="G14" s="604"/>
      <c r="H14" s="604"/>
      <c r="I14" s="604"/>
      <c r="J14" s="604"/>
      <c r="K14" s="604"/>
      <c r="L14" s="604"/>
      <c r="M14" s="604"/>
      <c r="N14" s="604"/>
    </row>
    <row r="15" spans="1:26" ht="20.25" customHeight="1">
      <c r="A15" s="12">
        <v>15</v>
      </c>
      <c r="C15" s="12" t="s">
        <v>24</v>
      </c>
      <c r="D15" s="253"/>
      <c r="E15" s="19" t="s">
        <v>4229</v>
      </c>
      <c r="F15" s="259"/>
      <c r="G15" s="19" t="s">
        <v>4230</v>
      </c>
      <c r="H15" s="259"/>
    </row>
    <row r="16" spans="1:26" ht="20.25" customHeight="1">
      <c r="A16" s="12">
        <v>16</v>
      </c>
      <c r="D16" s="253"/>
      <c r="E16" s="604"/>
      <c r="F16" s="604"/>
      <c r="G16" s="604"/>
      <c r="H16" s="604"/>
      <c r="I16" s="604"/>
      <c r="J16" s="604"/>
      <c r="K16" s="604"/>
      <c r="L16" s="604"/>
      <c r="M16" s="604"/>
      <c r="N16" s="604"/>
      <c r="R16" s="255" t="s">
        <v>157</v>
      </c>
      <c r="S16" s="12" t="str">
        <f>E17&amp;F17</f>
        <v/>
      </c>
    </row>
    <row r="17" spans="1:19" ht="20.25" customHeight="1">
      <c r="A17" s="12">
        <v>17</v>
      </c>
      <c r="C17" s="12" t="s">
        <v>27</v>
      </c>
      <c r="D17" s="253"/>
      <c r="E17" s="260"/>
      <c r="F17" s="260"/>
      <c r="G17" s="260"/>
      <c r="H17" s="260"/>
      <c r="R17" s="255" t="s">
        <v>3550</v>
      </c>
      <c r="S17" s="12" t="str">
        <f>IFERROR(VLOOKUP(S16,中分類,2,FALSE),"")</f>
        <v/>
      </c>
    </row>
    <row r="18" spans="1:19" ht="20.25" customHeight="1">
      <c r="A18" s="12">
        <v>18</v>
      </c>
      <c r="C18" s="12" t="s">
        <v>28</v>
      </c>
      <c r="D18" s="253"/>
      <c r="E18" s="607" t="str">
        <f>S17</f>
        <v/>
      </c>
      <c r="F18" s="607"/>
      <c r="G18" s="607"/>
      <c r="H18" s="607"/>
      <c r="I18" s="607"/>
      <c r="J18" s="607"/>
      <c r="K18" s="607"/>
      <c r="L18" s="607"/>
      <c r="M18" s="607"/>
      <c r="N18" s="607"/>
      <c r="R18" s="255" t="s">
        <v>3551</v>
      </c>
      <c r="S18" s="12" t="str">
        <f>E17&amp;F17&amp;G17</f>
        <v/>
      </c>
    </row>
    <row r="19" spans="1:19" ht="20.25" customHeight="1">
      <c r="A19" s="12">
        <v>19</v>
      </c>
      <c r="D19" s="253"/>
      <c r="E19" s="607"/>
      <c r="F19" s="607"/>
      <c r="G19" s="19"/>
      <c r="R19" s="255" t="s">
        <v>3552</v>
      </c>
      <c r="S19" s="12" t="str">
        <f>IFERROR(VLOOKUP(S18,小分類,2,FALSE),"")</f>
        <v/>
      </c>
    </row>
    <row r="20" spans="1:19" ht="20.25" customHeight="1">
      <c r="A20" s="12">
        <v>20</v>
      </c>
      <c r="D20" s="253"/>
      <c r="E20" s="607"/>
      <c r="F20" s="607"/>
      <c r="G20" s="19"/>
      <c r="R20" s="255" t="s">
        <v>3088</v>
      </c>
      <c r="S20" s="12" t="str">
        <f>E17&amp;F17&amp;G17&amp;H17</f>
        <v/>
      </c>
    </row>
    <row r="21" spans="1:19" ht="20.25" customHeight="1">
      <c r="A21" s="12">
        <v>21</v>
      </c>
      <c r="B21" s="12" t="s">
        <v>30</v>
      </c>
      <c r="C21" s="12" t="s">
        <v>31</v>
      </c>
      <c r="D21" s="253"/>
      <c r="E21" s="604"/>
      <c r="F21" s="604"/>
      <c r="G21" s="604"/>
      <c r="H21" s="604"/>
      <c r="I21" s="604"/>
      <c r="J21" s="604"/>
      <c r="K21" s="604"/>
      <c r="L21" s="604"/>
      <c r="M21" s="604"/>
      <c r="N21" s="604"/>
      <c r="R21" s="255" t="s">
        <v>159</v>
      </c>
      <c r="S21" s="12" t="str">
        <f>IFERROR(VLOOKUP(S20,細分類,2,FALSE),"")</f>
        <v/>
      </c>
    </row>
    <row r="22" spans="1:19" ht="20.25" customHeight="1">
      <c r="A22" s="12">
        <v>22</v>
      </c>
      <c r="C22" s="12" t="s">
        <v>32</v>
      </c>
      <c r="D22" s="253"/>
      <c r="E22" s="19" t="s">
        <v>25</v>
      </c>
      <c r="F22" s="259"/>
      <c r="G22" s="19" t="s">
        <v>26</v>
      </c>
      <c r="H22" s="259"/>
    </row>
    <row r="23" spans="1:19" ht="20.25" customHeight="1">
      <c r="A23" s="12">
        <v>23</v>
      </c>
      <c r="D23" s="253"/>
      <c r="E23" s="604"/>
      <c r="F23" s="604"/>
      <c r="G23" s="604"/>
      <c r="H23" s="604"/>
      <c r="I23" s="604"/>
      <c r="J23" s="604"/>
      <c r="K23" s="604"/>
      <c r="L23" s="604"/>
      <c r="M23" s="604"/>
      <c r="N23" s="604"/>
    </row>
    <row r="24" spans="1:19" ht="20.25" customHeight="1">
      <c r="A24" s="12">
        <v>24</v>
      </c>
      <c r="C24" s="12" t="s">
        <v>33</v>
      </c>
      <c r="D24" s="253"/>
      <c r="E24" s="604"/>
      <c r="F24" s="604"/>
      <c r="G24" s="604"/>
      <c r="H24" s="604"/>
      <c r="I24" s="604"/>
      <c r="J24" s="604"/>
      <c r="K24" s="604"/>
      <c r="L24" s="604"/>
      <c r="M24" s="604"/>
      <c r="N24" s="604"/>
    </row>
    <row r="25" spans="1:19" ht="20.25" customHeight="1">
      <c r="A25" s="12">
        <v>25</v>
      </c>
      <c r="C25" s="12" t="s">
        <v>34</v>
      </c>
      <c r="D25" s="253"/>
      <c r="E25" s="605"/>
      <c r="F25" s="605"/>
      <c r="G25" s="605"/>
      <c r="H25" s="605"/>
      <c r="I25" s="605"/>
      <c r="J25" s="605"/>
      <c r="K25" s="605"/>
      <c r="L25" s="605"/>
      <c r="M25" s="605"/>
      <c r="N25" s="605"/>
    </row>
    <row r="26" spans="1:19" ht="20.25" customHeight="1">
      <c r="A26" s="12">
        <v>26</v>
      </c>
      <c r="C26" s="12" t="s">
        <v>35</v>
      </c>
      <c r="D26" s="253"/>
      <c r="E26" s="605"/>
      <c r="F26" s="605"/>
      <c r="G26" s="605"/>
      <c r="H26" s="605"/>
      <c r="I26" s="605"/>
      <c r="J26" s="605"/>
      <c r="K26" s="605"/>
      <c r="L26" s="605"/>
      <c r="M26" s="605"/>
      <c r="N26" s="605"/>
    </row>
    <row r="27" spans="1:19" ht="20.25" customHeight="1">
      <c r="A27" s="12">
        <v>27</v>
      </c>
      <c r="C27" s="12" t="s">
        <v>36</v>
      </c>
      <c r="D27" s="253"/>
      <c r="E27" s="606"/>
      <c r="F27" s="604"/>
      <c r="G27" s="604"/>
      <c r="H27" s="604"/>
      <c r="I27" s="604"/>
      <c r="J27" s="604"/>
      <c r="K27" s="604"/>
      <c r="L27" s="604"/>
      <c r="M27" s="604"/>
      <c r="N27" s="604"/>
    </row>
    <row r="28" spans="1:19" ht="8.25" customHeight="1">
      <c r="A28" s="12">
        <v>28</v>
      </c>
      <c r="D28" s="253"/>
    </row>
    <row r="29" spans="1:19" ht="20.25" customHeight="1">
      <c r="A29" s="12">
        <v>29</v>
      </c>
      <c r="B29" s="12" t="s">
        <v>4131</v>
      </c>
      <c r="C29" s="12" t="s">
        <v>4132</v>
      </c>
      <c r="D29" s="253"/>
      <c r="E29" s="19" t="s">
        <v>4133</v>
      </c>
      <c r="F29" s="67"/>
      <c r="G29" s="19" t="s">
        <v>4134</v>
      </c>
    </row>
    <row r="30" spans="1:19" ht="20.25" customHeight="1">
      <c r="A30" s="12">
        <v>30</v>
      </c>
      <c r="C30" s="12" t="s">
        <v>4135</v>
      </c>
      <c r="D30" s="253"/>
      <c r="E30" s="261"/>
      <c r="F30" s="19" t="s">
        <v>2</v>
      </c>
      <c r="G30" s="67"/>
      <c r="H30" s="19" t="s">
        <v>4051</v>
      </c>
      <c r="I30" s="67"/>
      <c r="J30" s="19" t="s">
        <v>0</v>
      </c>
    </row>
    <row r="31" spans="1:19" ht="20.25" customHeight="1"/>
    <row r="32" spans="1:19" ht="20.25" customHeight="1"/>
    <row r="33" ht="20.25" customHeight="1"/>
    <row r="34" ht="20.25" customHeight="1"/>
    <row r="35" ht="20.25" customHeight="1"/>
    <row r="36" ht="20.25" customHeight="1"/>
    <row r="37" ht="20.25" customHeight="1"/>
    <row r="38" ht="20.25" customHeight="1"/>
    <row r="39" ht="20.25" customHeight="1"/>
    <row r="40" ht="20.25" customHeight="1"/>
    <row r="41" ht="20.25" customHeight="1"/>
  </sheetData>
  <sheetProtection algorithmName="SHA-512" hashValue="I3ts+TXb1h/N3wMmIHycKE+67Zu7+yDIRvhx4H5AzTg0gKFacVByb7oL7f/0AzVznt3KEJn32fWyfj5lrQ7aKw==" saltValue="uBDbwLEW4A7r6MR1+8DnMA==" spinCount="100000" sheet="1" objects="1" scenarios="1" selectLockedCells="1"/>
  <mergeCells count="15">
    <mergeCell ref="E16:N16"/>
    <mergeCell ref="E23:N23"/>
    <mergeCell ref="E6:N6"/>
    <mergeCell ref="E7:N7"/>
    <mergeCell ref="E8:N8"/>
    <mergeCell ref="E9:N9"/>
    <mergeCell ref="E14:N14"/>
    <mergeCell ref="E19:F19"/>
    <mergeCell ref="E20:F20"/>
    <mergeCell ref="E18:N18"/>
    <mergeCell ref="E24:N24"/>
    <mergeCell ref="E25:N25"/>
    <mergeCell ref="E26:N26"/>
    <mergeCell ref="E27:N27"/>
    <mergeCell ref="E21:N21"/>
  </mergeCells>
  <phoneticPr fontId="1"/>
  <conditionalFormatting sqref="E3">
    <cfRule type="expression" dxfId="115" priority="16" stopIfTrue="1">
      <formula>$E$3&lt;&gt;""</formula>
    </cfRule>
  </conditionalFormatting>
  <conditionalFormatting sqref="E4">
    <cfRule type="expression" dxfId="114" priority="15" stopIfTrue="1">
      <formula>$E$4&lt;&gt;""</formula>
    </cfRule>
  </conditionalFormatting>
  <conditionalFormatting sqref="E5">
    <cfRule type="expression" dxfId="113" priority="3" stopIfTrue="1">
      <formula>$E$5&lt;&gt;""</formula>
    </cfRule>
  </conditionalFormatting>
  <conditionalFormatting sqref="E6">
    <cfRule type="expression" dxfId="112" priority="52" stopIfTrue="1">
      <formula>$E$6&lt;&gt;""</formula>
    </cfRule>
  </conditionalFormatting>
  <conditionalFormatting sqref="E7">
    <cfRule type="expression" dxfId="111" priority="51" stopIfTrue="1">
      <formula>$E$7&lt;&gt;""</formula>
    </cfRule>
  </conditionalFormatting>
  <conditionalFormatting sqref="E8">
    <cfRule type="expression" dxfId="110" priority="50" stopIfTrue="1">
      <formula>$E$8&lt;&gt;""</formula>
    </cfRule>
  </conditionalFormatting>
  <conditionalFormatting sqref="E10:E13">
    <cfRule type="expression" dxfId="109" priority="20">
      <formula>OR($S$10,$S$11,$S$12,$S$13)</formula>
    </cfRule>
  </conditionalFormatting>
  <conditionalFormatting sqref="E14">
    <cfRule type="expression" dxfId="108" priority="48" stopIfTrue="1">
      <formula>$E$14&lt;&gt;""</formula>
    </cfRule>
  </conditionalFormatting>
  <conditionalFormatting sqref="E16">
    <cfRule type="expression" dxfId="107" priority="45" stopIfTrue="1">
      <formula>$E$16&lt;&gt;""</formula>
    </cfRule>
  </conditionalFormatting>
  <conditionalFormatting sqref="E17">
    <cfRule type="expression" dxfId="106" priority="9" stopIfTrue="1">
      <formula>$E$17&lt;&gt;""</formula>
    </cfRule>
  </conditionalFormatting>
  <conditionalFormatting sqref="E21">
    <cfRule type="expression" dxfId="105" priority="40" stopIfTrue="1">
      <formula>$E$21&lt;&gt;""</formula>
    </cfRule>
  </conditionalFormatting>
  <conditionalFormatting sqref="E23">
    <cfRule type="expression" dxfId="104" priority="37" stopIfTrue="1">
      <formula>$E$23&lt;&gt;""</formula>
    </cfRule>
  </conditionalFormatting>
  <conditionalFormatting sqref="E24">
    <cfRule type="expression" dxfId="103" priority="33" stopIfTrue="1">
      <formula>$E$24&lt;&gt;""</formula>
    </cfRule>
  </conditionalFormatting>
  <conditionalFormatting sqref="E25">
    <cfRule type="expression" dxfId="102" priority="34" stopIfTrue="1">
      <formula>$E$25&lt;&gt;""</formula>
    </cfRule>
  </conditionalFormatting>
  <conditionalFormatting sqref="E26">
    <cfRule type="expression" dxfId="101" priority="35" stopIfTrue="1">
      <formula>$E$26&lt;&gt;""</formula>
    </cfRule>
  </conditionalFormatting>
  <conditionalFormatting sqref="E27">
    <cfRule type="expression" dxfId="100" priority="36" stopIfTrue="1">
      <formula>$E$27&lt;&gt;""</formula>
    </cfRule>
  </conditionalFormatting>
  <conditionalFormatting sqref="E30">
    <cfRule type="expression" dxfId="99" priority="2" stopIfTrue="1">
      <formula>$E$30&lt;&gt;""</formula>
    </cfRule>
  </conditionalFormatting>
  <conditionalFormatting sqref="E9:N9">
    <cfRule type="expression" dxfId="98" priority="1">
      <formula>$E$9&lt;&gt;""</formula>
    </cfRule>
  </conditionalFormatting>
  <conditionalFormatting sqref="F15">
    <cfRule type="expression" dxfId="97" priority="11" stopIfTrue="1">
      <formula>$F$15&lt;&gt;""</formula>
    </cfRule>
  </conditionalFormatting>
  <conditionalFormatting sqref="F17">
    <cfRule type="expression" dxfId="96" priority="8" stopIfTrue="1">
      <formula>$F$17&lt;&gt;""</formula>
    </cfRule>
  </conditionalFormatting>
  <conditionalFormatting sqref="F22">
    <cfRule type="expression" dxfId="95" priority="5" stopIfTrue="1">
      <formula>$F$22&lt;&gt;""</formula>
    </cfRule>
  </conditionalFormatting>
  <conditionalFormatting sqref="F29">
    <cfRule type="expression" dxfId="94" priority="31">
      <formula>$F$29&gt;0</formula>
    </cfRule>
  </conditionalFormatting>
  <conditionalFormatting sqref="G5">
    <cfRule type="expression" dxfId="93" priority="13" stopIfTrue="1">
      <formula>$G$5&lt;&gt;""</formula>
    </cfRule>
  </conditionalFormatting>
  <conditionalFormatting sqref="G17">
    <cfRule type="expression" dxfId="92" priority="7" stopIfTrue="1">
      <formula>$G$17&lt;&gt;""</formula>
    </cfRule>
  </conditionalFormatting>
  <conditionalFormatting sqref="G30">
    <cfRule type="expression" dxfId="91" priority="18">
      <formula>G30&gt;0</formula>
    </cfRule>
  </conditionalFormatting>
  <conditionalFormatting sqref="H15">
    <cfRule type="expression" dxfId="90" priority="10" stopIfTrue="1">
      <formula>$H$15&lt;&gt;""</formula>
    </cfRule>
  </conditionalFormatting>
  <conditionalFormatting sqref="H17">
    <cfRule type="expression" dxfId="89" priority="6" stopIfTrue="1">
      <formula>$H$17&lt;&gt;""</formula>
    </cfRule>
  </conditionalFormatting>
  <conditionalFormatting sqref="H22">
    <cfRule type="expression" dxfId="88" priority="4" stopIfTrue="1">
      <formula>$H$22&lt;&gt;""</formula>
    </cfRule>
  </conditionalFormatting>
  <conditionalFormatting sqref="I5">
    <cfRule type="expression" dxfId="87" priority="12" stopIfTrue="1">
      <formula>$I$5&lt;&gt;""</formula>
    </cfRule>
  </conditionalFormatting>
  <conditionalFormatting sqref="I30">
    <cfRule type="expression" dxfId="86" priority="17">
      <formula>I30&gt;0</formula>
    </cfRule>
  </conditionalFormatting>
  <conditionalFormatting sqref="X17">
    <cfRule type="expression" priority="57" stopIfTrue="1">
      <formula>$X$17&lt;&gt;""</formula>
    </cfRule>
  </conditionalFormatting>
  <dataValidations count="10">
    <dataValidation type="list" imeMode="halfAlpha" allowBlank="1" showInputMessage="1" showErrorMessage="1" sqref="F29" xr:uid="{00000000-0002-0000-0100-000000000000}">
      <formula1>"１,２,３"</formula1>
    </dataValidation>
    <dataValidation imeMode="disabled" allowBlank="1" showInputMessage="1" showErrorMessage="1" sqref="H3 E25:N27" xr:uid="{00000000-0002-0000-0100-000001000000}"/>
    <dataValidation imeMode="hiragana" allowBlank="1" showInputMessage="1" showErrorMessage="1" sqref="E6:N9 E14:N14 E16:N16 E21:N21 E23:N24" xr:uid="{00000000-0002-0000-0100-000002000000}"/>
    <dataValidation type="list" allowBlank="1" showInputMessage="1" showErrorMessage="1" sqref="G30" xr:uid="{00000000-0002-0000-0100-000004000000}">
      <formula1>"1,2,3,4,5,6,7,8,9,10,11,12"</formula1>
    </dataValidation>
    <dataValidation type="list" allowBlank="1" showInputMessage="1" showErrorMessage="1" sqref="E4" xr:uid="{00000000-0002-0000-0100-000006000000}">
      <formula1>"2022,2023,2024,2025"</formula1>
    </dataValidation>
    <dataValidation type="list" imeMode="halfAlpha" allowBlank="1" showInputMessage="1" showErrorMessage="1" sqref="G5" xr:uid="{00000000-0002-0000-0100-000008000000}">
      <formula1>"1,2,3,4,5,6,7,8,9,10,11,12"</formula1>
    </dataValidation>
    <dataValidation imeMode="halfAlpha" allowBlank="1" showInputMessage="1" showErrorMessage="1" sqref="F15 F22 H22 H15" xr:uid="{00000000-0002-0000-0100-000009000000}"/>
    <dataValidation type="list" allowBlank="1" showInputMessage="1" showErrorMessage="1" sqref="E17:H17" xr:uid="{00000000-0002-0000-0100-00000B000000}">
      <formula1>"0,1,2,3,4,5,6,7,8,9"</formula1>
    </dataValidation>
    <dataValidation type="list" allowBlank="1" showInputMessage="1" showErrorMessage="1" sqref="I5 I30" xr:uid="{00000000-0002-0000-0100-00000D000000}">
      <formula1>"1,2,3,4,5,6,7,8,9,10,11,12,13,14,15,16,17,18,19,20,21,22,23,24,25,26,27,28,29,30,31"</formula1>
    </dataValidation>
    <dataValidation type="list" imeMode="halfAlpha" allowBlank="1" showInputMessage="1" showErrorMessage="1" sqref="E5 E30" xr:uid="{24D2AD13-6941-4516-A618-31B2580C9056}">
      <formula1>"2023,2024,2025,2026"</formula1>
    </dataValidation>
  </dataValidations>
  <pageMargins left="0.70866141732283472" right="0.55118110236220474" top="0.74803149606299213" bottom="0.74803149606299213"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30" r:id="rId4" name="Check Box 2">
              <controlPr defaultSize="0" autoFill="0" autoLine="0" autoPict="0" altText="">
                <anchor moveWithCells="1">
                  <from>
                    <xdr:col>4</xdr:col>
                    <xdr:colOff>106680</xdr:colOff>
                    <xdr:row>9</xdr:row>
                    <xdr:rowOff>0</xdr:rowOff>
                  </from>
                  <to>
                    <xdr:col>4</xdr:col>
                    <xdr:colOff>335280</xdr:colOff>
                    <xdr:row>10</xdr:row>
                    <xdr:rowOff>0</xdr:rowOff>
                  </to>
                </anchor>
              </controlPr>
            </control>
          </mc:Choice>
        </mc:AlternateContent>
        <mc:AlternateContent xmlns:mc="http://schemas.openxmlformats.org/markup-compatibility/2006">
          <mc:Choice Requires="x14">
            <control shapeId="22531" r:id="rId5" name="Check Box 3">
              <controlPr defaultSize="0" autoFill="0" autoLine="0" autoPict="0" altText="">
                <anchor moveWithCells="1">
                  <from>
                    <xdr:col>4</xdr:col>
                    <xdr:colOff>106680</xdr:colOff>
                    <xdr:row>10</xdr:row>
                    <xdr:rowOff>30480</xdr:rowOff>
                  </from>
                  <to>
                    <xdr:col>4</xdr:col>
                    <xdr:colOff>335280</xdr:colOff>
                    <xdr:row>11</xdr:row>
                    <xdr:rowOff>0</xdr:rowOff>
                  </to>
                </anchor>
              </controlPr>
            </control>
          </mc:Choice>
        </mc:AlternateContent>
        <mc:AlternateContent xmlns:mc="http://schemas.openxmlformats.org/markup-compatibility/2006">
          <mc:Choice Requires="x14">
            <control shapeId="22532" r:id="rId6" name="Check Box 4">
              <controlPr defaultSize="0" autoFill="0" autoLine="0" autoPict="0" altText="">
                <anchor moveWithCells="1">
                  <from>
                    <xdr:col>4</xdr:col>
                    <xdr:colOff>106680</xdr:colOff>
                    <xdr:row>11</xdr:row>
                    <xdr:rowOff>30480</xdr:rowOff>
                  </from>
                  <to>
                    <xdr:col>4</xdr:col>
                    <xdr:colOff>335280</xdr:colOff>
                    <xdr:row>12</xdr:row>
                    <xdr:rowOff>0</xdr:rowOff>
                  </to>
                </anchor>
              </controlPr>
            </control>
          </mc:Choice>
        </mc:AlternateContent>
        <mc:AlternateContent xmlns:mc="http://schemas.openxmlformats.org/markup-compatibility/2006">
          <mc:Choice Requires="x14">
            <control shapeId="22533" r:id="rId7" name="Check Box 5">
              <controlPr defaultSize="0" autoFill="0" autoLine="0" autoPict="0" altText="">
                <anchor moveWithCells="1">
                  <from>
                    <xdr:col>4</xdr:col>
                    <xdr:colOff>106680</xdr:colOff>
                    <xdr:row>12</xdr:row>
                    <xdr:rowOff>30480</xdr:rowOff>
                  </from>
                  <to>
                    <xdr:col>4</xdr:col>
                    <xdr:colOff>335280</xdr:colOff>
                    <xdr:row>13</xdr:row>
                    <xdr:rowOff>0</xdr:rowOff>
                  </to>
                </anchor>
              </controlPr>
            </control>
          </mc:Choice>
        </mc:AlternateContent>
        <mc:AlternateContent xmlns:mc="http://schemas.openxmlformats.org/markup-compatibility/2006">
          <mc:Choice Requires="x14">
            <control shapeId="22536" r:id="rId8" name="Check Box 8">
              <controlPr defaultSize="0" autoFill="0" autoLine="0" autoPict="0">
                <anchor moveWithCells="1">
                  <from>
                    <xdr:col>14</xdr:col>
                    <xdr:colOff>198120</xdr:colOff>
                    <xdr:row>2</xdr:row>
                    <xdr:rowOff>0</xdr:rowOff>
                  </from>
                  <to>
                    <xdr:col>19</xdr:col>
                    <xdr:colOff>30480</xdr:colOff>
                    <xdr:row>2</xdr:row>
                    <xdr:rowOff>236220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7">
    <tabColor theme="6" tint="0.79998168889431442"/>
  </sheetPr>
  <dimension ref="A1:I130"/>
  <sheetViews>
    <sheetView showGridLines="0" topLeftCell="A3" zoomScaleNormal="100" zoomScaleSheetLayoutView="100" workbookViewId="0">
      <selection activeCell="F6" sqref="F6"/>
    </sheetView>
  </sheetViews>
  <sheetFormatPr defaultColWidth="8.88671875" defaultRowHeight="16.2"/>
  <cols>
    <col min="1" max="1" width="3.88671875" style="12" customWidth="1"/>
    <col min="2" max="2" width="9.109375" style="12" hidden="1" customWidth="1"/>
    <col min="3" max="3" width="14.6640625" style="12" customWidth="1"/>
    <col min="4" max="4" width="43.44140625" style="12" customWidth="1"/>
    <col min="5" max="6" width="8.6640625" style="12" customWidth="1"/>
    <col min="7" max="7" width="8.109375" style="12" hidden="1" customWidth="1"/>
    <col min="8" max="8" width="1.109375" style="12" hidden="1" customWidth="1"/>
    <col min="9" max="9" width="8.109375" style="13" customWidth="1"/>
    <col min="10" max="11" width="8.109375" style="12" customWidth="1"/>
    <col min="12" max="15" width="5.6640625" style="12" customWidth="1"/>
    <col min="16" max="16384" width="8.88671875" style="12"/>
  </cols>
  <sheetData>
    <row r="1" spans="1:8" hidden="1"/>
    <row r="2" spans="1:8" hidden="1"/>
    <row r="3" spans="1:8">
      <c r="A3" s="14" t="s">
        <v>4176</v>
      </c>
      <c r="B3" s="14"/>
    </row>
    <row r="4" spans="1:8" ht="13.35" customHeight="1">
      <c r="A4" s="907" t="s">
        <v>88</v>
      </c>
      <c r="B4" s="906" t="s">
        <v>91</v>
      </c>
      <c r="C4" s="903" t="s">
        <v>89</v>
      </c>
      <c r="D4" s="903" t="s">
        <v>90</v>
      </c>
      <c r="E4" s="642" t="s">
        <v>4110</v>
      </c>
      <c r="F4" s="643"/>
      <c r="G4" s="17"/>
      <c r="H4" s="18"/>
    </row>
    <row r="5" spans="1:8" ht="33" customHeight="1">
      <c r="A5" s="907"/>
      <c r="B5" s="906"/>
      <c r="C5" s="903"/>
      <c r="D5" s="903"/>
      <c r="E5" s="20" t="s">
        <v>4104</v>
      </c>
      <c r="F5" s="20" t="s">
        <v>4096</v>
      </c>
      <c r="G5" s="20" t="s">
        <v>4101</v>
      </c>
      <c r="H5" s="20" t="s">
        <v>4102</v>
      </c>
    </row>
    <row r="6" spans="1:8" ht="65.25" customHeight="1">
      <c r="A6" s="15">
        <v>1</v>
      </c>
      <c r="B6" s="23" t="s">
        <v>92</v>
      </c>
      <c r="C6" s="23" t="s">
        <v>4026</v>
      </c>
      <c r="D6" s="23" t="s">
        <v>4205</v>
      </c>
      <c r="E6" s="24" t="str">
        <f>IF('計画書② (取組）'!E5="","",'計画書② (取組）'!E5)</f>
        <v/>
      </c>
      <c r="F6" s="26"/>
      <c r="G6" s="26"/>
      <c r="H6" s="26"/>
    </row>
    <row r="7" spans="1:8" ht="65.25" customHeight="1">
      <c r="A7" s="15">
        <v>2</v>
      </c>
      <c r="B7" s="23" t="s">
        <v>92</v>
      </c>
      <c r="C7" s="23" t="s">
        <v>4027</v>
      </c>
      <c r="D7" s="23" t="s">
        <v>4207</v>
      </c>
      <c r="E7" s="24" t="str">
        <f>IF('計画書② (取組）'!E6="","",'計画書② (取組）'!E6)</f>
        <v/>
      </c>
      <c r="F7" s="26"/>
      <c r="G7" s="26"/>
      <c r="H7" s="26"/>
    </row>
    <row r="8" spans="1:8" ht="65.25" customHeight="1">
      <c r="A8" s="15">
        <v>3</v>
      </c>
      <c r="B8" s="23" t="s">
        <v>92</v>
      </c>
      <c r="C8" s="23" t="s">
        <v>4028</v>
      </c>
      <c r="D8" s="23" t="s">
        <v>4208</v>
      </c>
      <c r="E8" s="24" t="str">
        <f>IF('計画書② (取組）'!E7="","",'計画書② (取組）'!E7)</f>
        <v/>
      </c>
      <c r="F8" s="26"/>
      <c r="G8" s="26"/>
      <c r="H8" s="26"/>
    </row>
    <row r="9" spans="1:8" ht="65.25" customHeight="1">
      <c r="A9" s="15">
        <v>4</v>
      </c>
      <c r="B9" s="23" t="s">
        <v>92</v>
      </c>
      <c r="C9" s="23" t="s">
        <v>4029</v>
      </c>
      <c r="D9" s="23" t="s">
        <v>5503</v>
      </c>
      <c r="E9" s="24" t="str">
        <f>IF('計画書② (取組）'!E8="","",'計画書② (取組）'!E8)</f>
        <v/>
      </c>
      <c r="F9" s="26"/>
      <c r="G9" s="26"/>
      <c r="H9" s="26"/>
    </row>
    <row r="10" spans="1:8" ht="65.25" customHeight="1">
      <c r="A10" s="15">
        <v>5</v>
      </c>
      <c r="B10" s="23" t="s">
        <v>92</v>
      </c>
      <c r="C10" s="23" t="s">
        <v>5504</v>
      </c>
      <c r="D10" s="23" t="s">
        <v>5505</v>
      </c>
      <c r="E10" s="24" t="str">
        <f>IF('計画書② (取組）'!E9="","",'計画書② (取組）'!E9)</f>
        <v/>
      </c>
      <c r="F10" s="26"/>
      <c r="G10" s="26"/>
      <c r="H10" s="26"/>
    </row>
    <row r="11" spans="1:8" ht="65.25" customHeight="1">
      <c r="A11" s="15">
        <v>6</v>
      </c>
      <c r="B11" s="23" t="s">
        <v>93</v>
      </c>
      <c r="C11" s="23" t="s">
        <v>4030</v>
      </c>
      <c r="D11" s="23" t="s">
        <v>4209</v>
      </c>
      <c r="E11" s="24" t="str">
        <f>IF('計画書② (取組）'!E10="","",'計画書② (取組）'!E10)</f>
        <v/>
      </c>
      <c r="F11" s="26"/>
      <c r="G11" s="26"/>
      <c r="H11" s="26"/>
    </row>
    <row r="12" spans="1:8" ht="65.25" customHeight="1">
      <c r="A12" s="15">
        <v>7</v>
      </c>
      <c r="B12" s="23" t="s">
        <v>93</v>
      </c>
      <c r="C12" s="23" t="s">
        <v>4031</v>
      </c>
      <c r="D12" s="23" t="s">
        <v>5506</v>
      </c>
      <c r="E12" s="24" t="str">
        <f>IF('計画書② (取組）'!E11="","",'計画書② (取組）'!E11)</f>
        <v/>
      </c>
      <c r="F12" s="26"/>
      <c r="G12" s="26"/>
      <c r="H12" s="26"/>
    </row>
    <row r="13" spans="1:8" ht="65.25" customHeight="1">
      <c r="A13" s="15">
        <v>8</v>
      </c>
      <c r="B13" s="23" t="s">
        <v>93</v>
      </c>
      <c r="C13" s="23" t="s">
        <v>5507</v>
      </c>
      <c r="D13" s="23" t="s">
        <v>5508</v>
      </c>
      <c r="E13" s="24" t="str">
        <f>IF('計画書② (取組）'!E12="","",'計画書② (取組）'!E12)</f>
        <v/>
      </c>
      <c r="F13" s="26"/>
      <c r="G13" s="26"/>
      <c r="H13" s="26"/>
    </row>
    <row r="14" spans="1:8" ht="65.25" customHeight="1">
      <c r="A14" s="15">
        <v>9</v>
      </c>
      <c r="B14" s="23" t="s">
        <v>93</v>
      </c>
      <c r="C14" s="23" t="s">
        <v>4032</v>
      </c>
      <c r="D14" s="23" t="s">
        <v>4210</v>
      </c>
      <c r="E14" s="24" t="str">
        <f>IF('計画書② (取組）'!E13="","",'計画書② (取組）'!E13)</f>
        <v/>
      </c>
      <c r="F14" s="26"/>
      <c r="G14" s="26"/>
      <c r="H14" s="26"/>
    </row>
    <row r="15" spans="1:8" ht="65.25" customHeight="1">
      <c r="A15" s="15">
        <v>10</v>
      </c>
      <c r="B15" s="23" t="s">
        <v>93</v>
      </c>
      <c r="C15" s="23" t="s">
        <v>4033</v>
      </c>
      <c r="D15" s="23" t="s">
        <v>4211</v>
      </c>
      <c r="E15" s="24" t="str">
        <f>IF('計画書② (取組）'!E14="","",'計画書② (取組）'!E14)</f>
        <v/>
      </c>
      <c r="F15" s="26"/>
      <c r="G15" s="26"/>
      <c r="H15" s="26"/>
    </row>
    <row r="16" spans="1:8" ht="65.25" customHeight="1">
      <c r="A16" s="15">
        <v>11</v>
      </c>
      <c r="B16" s="23" t="s">
        <v>93</v>
      </c>
      <c r="C16" s="23" t="s">
        <v>4034</v>
      </c>
      <c r="D16" s="23" t="s">
        <v>4212</v>
      </c>
      <c r="E16" s="24" t="str">
        <f>IF('計画書② (取組）'!E15="","",'計画書② (取組）'!E15)</f>
        <v/>
      </c>
      <c r="F16" s="26"/>
      <c r="G16" s="26"/>
      <c r="H16" s="26"/>
    </row>
    <row r="17" spans="1:8" ht="65.25" customHeight="1">
      <c r="A17" s="15">
        <v>12</v>
      </c>
      <c r="B17" s="23" t="s">
        <v>94</v>
      </c>
      <c r="C17" s="23" t="s">
        <v>4035</v>
      </c>
      <c r="D17" s="23" t="s">
        <v>4213</v>
      </c>
      <c r="E17" s="24" t="str">
        <f>IF('計画書② (取組）'!E16="","",'計画書② (取組）'!E16)</f>
        <v/>
      </c>
      <c r="F17" s="26"/>
      <c r="G17" s="26"/>
      <c r="H17" s="26"/>
    </row>
    <row r="18" spans="1:8" ht="65.25" customHeight="1">
      <c r="A18" s="15">
        <v>13</v>
      </c>
      <c r="B18" s="23" t="s">
        <v>94</v>
      </c>
      <c r="C18" s="23" t="s">
        <v>4036</v>
      </c>
      <c r="D18" s="23" t="s">
        <v>4214</v>
      </c>
      <c r="E18" s="24" t="str">
        <f>IF('計画書② (取組）'!E17="","",'計画書② (取組）'!E17)</f>
        <v/>
      </c>
      <c r="F18" s="26"/>
      <c r="G18" s="26"/>
      <c r="H18" s="26"/>
    </row>
    <row r="19" spans="1:8" ht="65.25" hidden="1" customHeight="1">
      <c r="A19" s="15">
        <v>14</v>
      </c>
      <c r="B19" s="23" t="s">
        <v>94</v>
      </c>
      <c r="C19" s="23"/>
      <c r="D19" s="23"/>
      <c r="E19" s="24" t="str">
        <f>IF('計画書② (取組）'!E18="","",'計画書② (取組）'!E18)</f>
        <v/>
      </c>
      <c r="F19" s="26"/>
      <c r="G19" s="26"/>
      <c r="H19" s="26"/>
    </row>
    <row r="20" spans="1:8" ht="65.25" hidden="1" customHeight="1">
      <c r="A20" s="15">
        <v>15</v>
      </c>
      <c r="B20" s="23" t="s">
        <v>94</v>
      </c>
      <c r="C20" s="23"/>
      <c r="D20" s="23"/>
      <c r="E20" s="24" t="str">
        <f>IF('計画書② (取組）'!E19="","",'計画書② (取組）'!E19)</f>
        <v/>
      </c>
      <c r="F20" s="26"/>
      <c r="G20" s="26"/>
      <c r="H20" s="26"/>
    </row>
    <row r="21" spans="1:8" ht="65.25" hidden="1" customHeight="1">
      <c r="A21" s="15">
        <v>16</v>
      </c>
      <c r="B21" s="23" t="s">
        <v>95</v>
      </c>
      <c r="C21" s="23"/>
      <c r="D21" s="23"/>
      <c r="E21" s="24" t="str">
        <f>IF('計画書② (取組）'!E20="","",'計画書② (取組）'!E20)</f>
        <v/>
      </c>
      <c r="F21" s="26"/>
      <c r="G21" s="26"/>
      <c r="H21" s="26"/>
    </row>
    <row r="22" spans="1:8" ht="65.25" hidden="1" customHeight="1">
      <c r="A22" s="15">
        <v>17</v>
      </c>
      <c r="B22" s="23" t="s">
        <v>95</v>
      </c>
      <c r="C22" s="23"/>
      <c r="D22" s="23"/>
      <c r="E22" s="24" t="str">
        <f>IF('計画書② (取組）'!E21="","",'計画書② (取組）'!E21)</f>
        <v/>
      </c>
      <c r="F22" s="26"/>
      <c r="G22" s="26"/>
      <c r="H22" s="26"/>
    </row>
    <row r="23" spans="1:8" ht="65.25" hidden="1" customHeight="1">
      <c r="A23" s="15">
        <v>18</v>
      </c>
      <c r="B23" s="23" t="s">
        <v>95</v>
      </c>
      <c r="C23" s="23"/>
      <c r="D23" s="23"/>
      <c r="E23" s="24" t="str">
        <f>IF('計画書② (取組）'!E22="","",'計画書② (取組）'!E22)</f>
        <v/>
      </c>
      <c r="F23" s="26"/>
      <c r="G23" s="26"/>
      <c r="H23" s="26"/>
    </row>
    <row r="24" spans="1:8" ht="65.25" hidden="1" customHeight="1">
      <c r="A24" s="15">
        <v>19</v>
      </c>
      <c r="B24" s="23" t="s">
        <v>96</v>
      </c>
      <c r="C24" s="23"/>
      <c r="D24" s="23"/>
      <c r="E24" s="24" t="str">
        <f>IF('計画書② (取組）'!E23="","",'計画書② (取組）'!E23)</f>
        <v/>
      </c>
      <c r="F24" s="26"/>
      <c r="G24" s="26"/>
      <c r="H24" s="26"/>
    </row>
    <row r="25" spans="1:8" ht="65.25" hidden="1" customHeight="1">
      <c r="A25" s="21">
        <v>20</v>
      </c>
      <c r="B25" s="35" t="s">
        <v>97</v>
      </c>
      <c r="C25" s="35"/>
      <c r="D25" s="35"/>
      <c r="E25" s="24" t="str">
        <f>IF('計画書② (取組）'!E24="","",'計画書② (取組）'!E24)</f>
        <v/>
      </c>
      <c r="F25" s="26"/>
      <c r="G25" s="26"/>
      <c r="H25" s="26"/>
    </row>
    <row r="26" spans="1:8" ht="65.25" hidden="1" customHeight="1">
      <c r="A26" s="21">
        <v>21</v>
      </c>
      <c r="B26" s="35" t="s">
        <v>97</v>
      </c>
      <c r="C26" s="35"/>
      <c r="D26" s="35"/>
      <c r="E26" s="24" t="str">
        <f>IF('計画書② (取組）'!E25="","",'計画書② (取組）'!E25)</f>
        <v/>
      </c>
      <c r="F26" s="26"/>
      <c r="G26" s="26"/>
      <c r="H26" s="26"/>
    </row>
    <row r="27" spans="1:8" ht="65.25" hidden="1" customHeight="1">
      <c r="A27" s="21">
        <v>22</v>
      </c>
      <c r="B27" s="35" t="s">
        <v>97</v>
      </c>
      <c r="C27" s="35"/>
      <c r="D27" s="35"/>
      <c r="E27" s="24" t="str">
        <f>IF('計画書② (取組）'!E26="","",'計画書② (取組）'!E26)</f>
        <v/>
      </c>
      <c r="F27" s="26"/>
      <c r="G27" s="26"/>
      <c r="H27" s="26"/>
    </row>
    <row r="28" spans="1:8" ht="65.25" hidden="1" customHeight="1">
      <c r="A28" s="21">
        <v>23</v>
      </c>
      <c r="B28" s="35" t="s">
        <v>98</v>
      </c>
      <c r="C28" s="35"/>
      <c r="D28" s="35"/>
      <c r="E28" s="24" t="str">
        <f>IF('計画書② (取組）'!E27="","",'計画書② (取組）'!E27)</f>
        <v/>
      </c>
      <c r="F28" s="26"/>
      <c r="G28" s="26"/>
      <c r="H28" s="26"/>
    </row>
    <row r="29" spans="1:8" ht="65.25" hidden="1" customHeight="1">
      <c r="A29" s="21">
        <v>24</v>
      </c>
      <c r="B29" s="35" t="s">
        <v>98</v>
      </c>
      <c r="C29" s="35"/>
      <c r="D29" s="35"/>
      <c r="E29" s="24" t="str">
        <f>IF('計画書② (取組）'!E28="","",'計画書② (取組）'!E28)</f>
        <v/>
      </c>
      <c r="F29" s="26"/>
      <c r="G29" s="26"/>
      <c r="H29" s="26"/>
    </row>
    <row r="30" spans="1:8" ht="65.25" hidden="1" customHeight="1">
      <c r="A30" s="21">
        <v>25</v>
      </c>
      <c r="B30" s="35" t="s">
        <v>99</v>
      </c>
      <c r="C30" s="35"/>
      <c r="D30" s="35"/>
      <c r="E30" s="24" t="str">
        <f>IF('計画書② (取組）'!E29="","",'計画書② (取組）'!E29)</f>
        <v/>
      </c>
      <c r="F30" s="26"/>
      <c r="G30" s="26"/>
      <c r="H30" s="26"/>
    </row>
    <row r="31" spans="1:8" ht="65.25" hidden="1" customHeight="1">
      <c r="A31" s="21">
        <v>26</v>
      </c>
      <c r="B31" s="35" t="s">
        <v>100</v>
      </c>
      <c r="C31" s="35"/>
      <c r="D31" s="35"/>
      <c r="E31" s="24" t="str">
        <f>IF('計画書② (取組）'!E30="","",'計画書② (取組）'!E30)</f>
        <v/>
      </c>
      <c r="F31" s="26"/>
      <c r="G31" s="26"/>
      <c r="H31" s="26"/>
    </row>
    <row r="32" spans="1:8" ht="65.25" hidden="1" customHeight="1">
      <c r="A32" s="21">
        <v>27</v>
      </c>
      <c r="B32" s="35" t="s">
        <v>101</v>
      </c>
      <c r="C32" s="35"/>
      <c r="D32" s="35"/>
      <c r="E32" s="24" t="str">
        <f>IF('計画書② (取組）'!E31="","",'計画書② (取組）'!E31)</f>
        <v/>
      </c>
      <c r="F32" s="26"/>
      <c r="G32" s="26"/>
      <c r="H32" s="26"/>
    </row>
    <row r="33" spans="1:9" ht="65.25" hidden="1" customHeight="1">
      <c r="A33" s="21">
        <v>28</v>
      </c>
      <c r="B33" s="35" t="s">
        <v>102</v>
      </c>
      <c r="C33" s="35"/>
      <c r="D33" s="35"/>
      <c r="E33" s="24" t="str">
        <f>IF('計画書② (取組）'!E32="","",'計画書② (取組）'!E32)</f>
        <v/>
      </c>
      <c r="F33" s="26"/>
      <c r="G33" s="26"/>
      <c r="H33" s="26"/>
    </row>
    <row r="34" spans="1:9" ht="65.25" hidden="1" customHeight="1">
      <c r="A34" s="21">
        <v>29</v>
      </c>
      <c r="B34" s="35" t="s">
        <v>3098</v>
      </c>
      <c r="C34" s="35"/>
      <c r="D34" s="35"/>
      <c r="E34" s="24" t="str">
        <f>IF('計画書② (取組）'!E33="","",'計画書② (取組）'!E33)</f>
        <v/>
      </c>
      <c r="F34" s="26"/>
      <c r="G34" s="26"/>
      <c r="H34" s="26"/>
    </row>
    <row r="35" spans="1:9" ht="65.25" hidden="1" customHeight="1">
      <c r="A35" s="21">
        <v>30</v>
      </c>
      <c r="B35" s="35" t="s">
        <v>3098</v>
      </c>
      <c r="C35" s="35"/>
      <c r="D35" s="35"/>
      <c r="E35" s="24" t="str">
        <f>IF('計画書② (取組）'!E34="","",'計画書② (取組）'!E34)</f>
        <v/>
      </c>
      <c r="F35" s="26"/>
      <c r="G35" s="26"/>
      <c r="H35" s="26"/>
    </row>
    <row r="37" spans="1:9">
      <c r="A37" s="12" t="s">
        <v>4129</v>
      </c>
    </row>
    <row r="38" spans="1:9" ht="90" customHeight="1">
      <c r="A38" s="808" t="s">
        <v>4096</v>
      </c>
      <c r="B38" s="808"/>
      <c r="C38" s="808"/>
      <c r="D38" s="904"/>
      <c r="E38" s="904"/>
      <c r="F38" s="904"/>
    </row>
    <row r="39" spans="1:9" ht="40.5" hidden="1" customHeight="1">
      <c r="A39" s="808" t="s">
        <v>4101</v>
      </c>
      <c r="B39" s="808"/>
      <c r="C39" s="808"/>
      <c r="D39" s="904"/>
      <c r="E39" s="904"/>
      <c r="F39" s="904"/>
    </row>
    <row r="40" spans="1:9" ht="40.5" hidden="1" customHeight="1">
      <c r="A40" s="808" t="s">
        <v>4102</v>
      </c>
      <c r="B40" s="808"/>
      <c r="C40" s="808"/>
      <c r="D40" s="904"/>
      <c r="E40" s="904"/>
      <c r="F40" s="904"/>
    </row>
    <row r="41" spans="1:9" ht="28.35" customHeight="1"/>
    <row r="42" spans="1:9">
      <c r="A42" s="14" t="s">
        <v>4177</v>
      </c>
      <c r="B42" s="14"/>
    </row>
    <row r="43" spans="1:9" ht="13.35" customHeight="1">
      <c r="A43" s="905" t="s">
        <v>88</v>
      </c>
      <c r="B43" s="906" t="s">
        <v>91</v>
      </c>
      <c r="C43" s="903" t="s">
        <v>89</v>
      </c>
      <c r="D43" s="903" t="s">
        <v>90</v>
      </c>
      <c r="E43" s="642" t="s">
        <v>4110</v>
      </c>
      <c r="F43" s="643"/>
      <c r="G43" s="17"/>
      <c r="H43" s="18"/>
    </row>
    <row r="44" spans="1:9" ht="33" customHeight="1">
      <c r="A44" s="905"/>
      <c r="B44" s="906"/>
      <c r="C44" s="903"/>
      <c r="D44" s="903"/>
      <c r="E44" s="20" t="s">
        <v>4104</v>
      </c>
      <c r="F44" s="20" t="s">
        <v>4096</v>
      </c>
      <c r="G44" s="20" t="s">
        <v>4101</v>
      </c>
      <c r="H44" s="20" t="s">
        <v>4102</v>
      </c>
      <c r="I44" s="37"/>
    </row>
    <row r="45" spans="1:9" ht="65.25" customHeight="1">
      <c r="A45" s="15">
        <v>1</v>
      </c>
      <c r="B45" s="82"/>
      <c r="C45" s="41" t="str">
        <f>対策リスト!AV2&amp;""</f>
        <v/>
      </c>
      <c r="D45" s="23" t="str">
        <f t="shared" ref="D45:D58" si="0">IFERROR(VLOOKUP(C45,選択対策,2,0),"")</f>
        <v/>
      </c>
      <c r="E45" s="24" t="str">
        <f>IF(C45="","",IFERROR(IF(VLOOKUP(C45,'計画書② (取組）'!$C$39:$F$59,3,0)="","未入力",VLOOKUP(C45,'計画書② (取組）'!$C$39:$F$59,3,0)),"-------"))</f>
        <v/>
      </c>
      <c r="F45" s="26"/>
      <c r="G45" s="26"/>
      <c r="H45" s="26"/>
      <c r="I45" s="42"/>
    </row>
    <row r="46" spans="1:9" ht="65.25" customHeight="1">
      <c r="A46" s="15">
        <v>2</v>
      </c>
      <c r="B46" s="82"/>
      <c r="C46" s="41" t="str">
        <f>対策リスト!AV3&amp;""</f>
        <v/>
      </c>
      <c r="D46" s="23" t="str">
        <f t="shared" si="0"/>
        <v/>
      </c>
      <c r="E46" s="24" t="str">
        <f>IF(C46="","",IFERROR(IF(VLOOKUP(C46,'計画書② (取組）'!$C$39:$F$59,3,0)="","未入力",VLOOKUP(C46,'計画書② (取組）'!$C$39:$F$59,3,0)),"-------"))</f>
        <v/>
      </c>
      <c r="F46" s="26"/>
      <c r="G46" s="26"/>
      <c r="H46" s="26"/>
      <c r="I46" s="42"/>
    </row>
    <row r="47" spans="1:9" ht="65.25" customHeight="1">
      <c r="A47" s="15">
        <v>3</v>
      </c>
      <c r="B47" s="82"/>
      <c r="C47" s="41" t="str">
        <f>対策リスト!AV4&amp;""</f>
        <v/>
      </c>
      <c r="D47" s="23" t="str">
        <f t="shared" si="0"/>
        <v/>
      </c>
      <c r="E47" s="24" t="str">
        <f>IF(C47="","",IFERROR(IF(VLOOKUP(C47,'計画書② (取組）'!$C$39:$F$59,3,0)="","未入力",VLOOKUP(C47,'計画書② (取組）'!$C$39:$F$59,3,0)),"-------"))</f>
        <v/>
      </c>
      <c r="F47" s="26"/>
      <c r="G47" s="26"/>
      <c r="H47" s="26"/>
      <c r="I47" s="42"/>
    </row>
    <row r="48" spans="1:9" ht="65.25" customHeight="1">
      <c r="A48" s="15">
        <v>4</v>
      </c>
      <c r="B48" s="82"/>
      <c r="C48" s="41" t="str">
        <f>対策リスト!AV5&amp;""</f>
        <v/>
      </c>
      <c r="D48" s="23" t="str">
        <f t="shared" si="0"/>
        <v/>
      </c>
      <c r="E48" s="24" t="str">
        <f>IF(C48="","",IFERROR(IF(VLOOKUP(C48,'計画書② (取組）'!$C$39:$F$59,3,0)="","未入力",VLOOKUP(C48,'計画書② (取組）'!$C$39:$F$59,3,0)),"-------"))</f>
        <v/>
      </c>
      <c r="F48" s="26"/>
      <c r="G48" s="26"/>
      <c r="H48" s="26"/>
      <c r="I48" s="42"/>
    </row>
    <row r="49" spans="1:9" ht="65.25" customHeight="1">
      <c r="A49" s="15">
        <v>5</v>
      </c>
      <c r="B49" s="82"/>
      <c r="C49" s="41" t="str">
        <f>対策リスト!AV6&amp;""</f>
        <v/>
      </c>
      <c r="D49" s="23" t="str">
        <f t="shared" si="0"/>
        <v/>
      </c>
      <c r="E49" s="24" t="str">
        <f>IF(C49="","",IFERROR(IF(VLOOKUP(C49,'計画書② (取組）'!$C$39:$F$59,3,0)="","未入力",VLOOKUP(C49,'計画書② (取組）'!$C$39:$F$59,3,0)),"-------"))</f>
        <v/>
      </c>
      <c r="F49" s="26"/>
      <c r="G49" s="26"/>
      <c r="H49" s="26"/>
      <c r="I49" s="42"/>
    </row>
    <row r="50" spans="1:9" ht="65.25" customHeight="1">
      <c r="A50" s="15">
        <v>6</v>
      </c>
      <c r="B50" s="82"/>
      <c r="C50" s="41" t="str">
        <f>対策リスト!AV7&amp;""</f>
        <v/>
      </c>
      <c r="D50" s="23" t="str">
        <f t="shared" si="0"/>
        <v/>
      </c>
      <c r="E50" s="24" t="str">
        <f>IF(C50="","",IFERROR(IF(VLOOKUP(C50,'計画書② (取組）'!$C$39:$F$59,3,0)="","未入力",VLOOKUP(C50,'計画書② (取組）'!$C$39:$F$59,3,0)),"-------"))</f>
        <v/>
      </c>
      <c r="F50" s="26"/>
      <c r="G50" s="26"/>
      <c r="H50" s="26"/>
      <c r="I50" s="42"/>
    </row>
    <row r="51" spans="1:9" ht="65.25" customHeight="1">
      <c r="A51" s="15">
        <v>7</v>
      </c>
      <c r="B51" s="82"/>
      <c r="C51" s="41" t="str">
        <f>対策リスト!AV8&amp;""</f>
        <v/>
      </c>
      <c r="D51" s="23" t="str">
        <f t="shared" si="0"/>
        <v/>
      </c>
      <c r="E51" s="24" t="str">
        <f>IF(C51="","",IFERROR(IF(VLOOKUP(C51,'計画書② (取組）'!$C$39:$F$59,3,0)="","未入力",VLOOKUP(C51,'計画書② (取組）'!$C$39:$F$59,3,0)),"-------"))</f>
        <v/>
      </c>
      <c r="F51" s="26"/>
      <c r="G51" s="26"/>
      <c r="H51" s="26"/>
      <c r="I51" s="42"/>
    </row>
    <row r="52" spans="1:9" ht="65.25" customHeight="1">
      <c r="A52" s="15">
        <v>8</v>
      </c>
      <c r="B52" s="82"/>
      <c r="C52" s="41" t="str">
        <f>対策リスト!AV9&amp;""</f>
        <v/>
      </c>
      <c r="D52" s="23" t="str">
        <f t="shared" si="0"/>
        <v/>
      </c>
      <c r="E52" s="24" t="str">
        <f>IF(C52="","",IFERROR(IF(VLOOKUP(C52,'計画書② (取組）'!$C$39:$F$59,3,0)="","未入力",VLOOKUP(C52,'計画書② (取組）'!$C$39:$F$59,3,0)),"-------"))</f>
        <v/>
      </c>
      <c r="F52" s="26"/>
      <c r="G52" s="26"/>
      <c r="H52" s="26"/>
      <c r="I52" s="42"/>
    </row>
    <row r="53" spans="1:9" ht="65.25" customHeight="1">
      <c r="A53" s="15">
        <v>9</v>
      </c>
      <c r="B53" s="82"/>
      <c r="C53" s="41" t="str">
        <f>対策リスト!AV10&amp;""</f>
        <v/>
      </c>
      <c r="D53" s="23" t="str">
        <f t="shared" si="0"/>
        <v/>
      </c>
      <c r="E53" s="24" t="str">
        <f>IF(C53="","",IFERROR(IF(VLOOKUP(C53,'計画書② (取組）'!$C$39:$F$59,3,0)="","未入力",VLOOKUP(C53,'計画書② (取組）'!$C$39:$F$59,3,0)),"-------"))</f>
        <v/>
      </c>
      <c r="F53" s="26"/>
      <c r="G53" s="26"/>
      <c r="H53" s="26"/>
      <c r="I53" s="42"/>
    </row>
    <row r="54" spans="1:9" ht="65.25" customHeight="1">
      <c r="A54" s="15">
        <v>10</v>
      </c>
      <c r="B54" s="82"/>
      <c r="C54" s="41" t="str">
        <f>対策リスト!AV11&amp;""</f>
        <v/>
      </c>
      <c r="D54" s="23" t="str">
        <f t="shared" si="0"/>
        <v/>
      </c>
      <c r="E54" s="24" t="str">
        <f>IF(C54="","",IFERROR(IF(VLOOKUP(C54,'計画書② (取組）'!$C$39:$F$59,3,0)="","未入力",VLOOKUP(C54,'計画書② (取組）'!$C$39:$F$59,3,0)),"-------"))</f>
        <v/>
      </c>
      <c r="F54" s="26"/>
      <c r="G54" s="26"/>
      <c r="H54" s="26"/>
      <c r="I54" s="42"/>
    </row>
    <row r="55" spans="1:9" ht="65.25" customHeight="1">
      <c r="A55" s="15">
        <v>11</v>
      </c>
      <c r="B55" s="82"/>
      <c r="C55" s="41" t="str">
        <f>対策リスト!AV12&amp;""</f>
        <v/>
      </c>
      <c r="D55" s="23" t="str">
        <f t="shared" si="0"/>
        <v/>
      </c>
      <c r="E55" s="24" t="str">
        <f>IF(C55="","",IFERROR(IF(VLOOKUP(C55,'計画書② (取組）'!$C$39:$F$59,3,0)="","未入力",VLOOKUP(C55,'計画書② (取組）'!$C$39:$F$59,3,0)),"-------"))</f>
        <v/>
      </c>
      <c r="F55" s="26"/>
      <c r="G55" s="26"/>
      <c r="H55" s="26"/>
      <c r="I55" s="42"/>
    </row>
    <row r="56" spans="1:9" ht="65.25" customHeight="1">
      <c r="A56" s="15">
        <v>12</v>
      </c>
      <c r="B56" s="82"/>
      <c r="C56" s="41" t="str">
        <f>対策リスト!AV13&amp;""</f>
        <v/>
      </c>
      <c r="D56" s="23" t="str">
        <f t="shared" si="0"/>
        <v/>
      </c>
      <c r="E56" s="24" t="str">
        <f>IF(C56="","",IFERROR(IF(VLOOKUP(C56,'計画書② (取組）'!$C$39:$F$59,3,0)="","未入力",VLOOKUP(C56,'計画書② (取組）'!$C$39:$F$59,3,0)),"-------"))</f>
        <v/>
      </c>
      <c r="F56" s="26"/>
      <c r="G56" s="26"/>
      <c r="H56" s="26"/>
      <c r="I56" s="42"/>
    </row>
    <row r="57" spans="1:9" ht="65.25" customHeight="1">
      <c r="A57" s="15">
        <v>13</v>
      </c>
      <c r="B57" s="82"/>
      <c r="C57" s="41" t="str">
        <f>対策リスト!AV14&amp;""</f>
        <v/>
      </c>
      <c r="D57" s="23" t="str">
        <f t="shared" si="0"/>
        <v/>
      </c>
      <c r="E57" s="24" t="str">
        <f>IF(C57="","",IFERROR(IF(VLOOKUP(C57,'計画書② (取組）'!$C$39:$F$59,3,0)="","未入力",VLOOKUP(C57,'計画書② (取組）'!$C$39:$F$59,3,0)),"-------"))</f>
        <v/>
      </c>
      <c r="F57" s="26"/>
      <c r="G57" s="26"/>
      <c r="H57" s="26"/>
      <c r="I57" s="42"/>
    </row>
    <row r="58" spans="1:9" ht="65.25" customHeight="1">
      <c r="A58" s="15">
        <v>14</v>
      </c>
      <c r="B58" s="82"/>
      <c r="C58" s="41" t="str">
        <f>対策リスト!AV15&amp;""</f>
        <v/>
      </c>
      <c r="D58" s="23" t="str">
        <f t="shared" si="0"/>
        <v/>
      </c>
      <c r="E58" s="24" t="str">
        <f>IF(C58="","",IFERROR(IF(VLOOKUP(C58,'計画書② (取組）'!$C$39:$F$59,3,0)="","未入力",VLOOKUP(C58,'計画書② (取組）'!$C$39:$F$59,3,0)),"-------"))</f>
        <v/>
      </c>
      <c r="F58" s="26"/>
      <c r="G58" s="26"/>
      <c r="H58" s="26"/>
      <c r="I58" s="42"/>
    </row>
    <row r="59" spans="1:9" ht="65.25" customHeight="1">
      <c r="A59" s="15">
        <v>15</v>
      </c>
      <c r="B59" s="82"/>
      <c r="C59" s="41" t="str">
        <f>対策リスト!AV16&amp;""</f>
        <v/>
      </c>
      <c r="D59" s="23" t="str">
        <f t="shared" ref="D59:D64" si="1">IFERROR(VLOOKUP(C59,選択対策,2,0),"")</f>
        <v/>
      </c>
      <c r="E59" s="24" t="str">
        <f>IF(C59="","",IFERROR(IF(VLOOKUP(C59,'計画書② (取組）'!$C$39:$F$59,3,0)="","未入力",VLOOKUP(C59,'計画書② (取組）'!$C$39:$F$59,3,0)),"-------"))</f>
        <v/>
      </c>
      <c r="F59" s="26"/>
      <c r="G59" s="26"/>
      <c r="H59" s="26"/>
      <c r="I59" s="42"/>
    </row>
    <row r="60" spans="1:9" ht="65.25" customHeight="1">
      <c r="A60" s="15">
        <v>16</v>
      </c>
      <c r="B60" s="82"/>
      <c r="C60" s="41" t="str">
        <f>対策リスト!AV17&amp;""</f>
        <v/>
      </c>
      <c r="D60" s="23" t="str">
        <f t="shared" si="1"/>
        <v/>
      </c>
      <c r="E60" s="24" t="str">
        <f>IF(C60="","",IFERROR(IF(VLOOKUP(C60,'計画書② (取組）'!$C$39:$F$59,3,0)="","未入力",VLOOKUP(C60,'計画書② (取組）'!$C$39:$F$59,3,0)),"-------"))</f>
        <v/>
      </c>
      <c r="F60" s="26"/>
      <c r="G60" s="26"/>
      <c r="H60" s="26"/>
      <c r="I60" s="42"/>
    </row>
    <row r="61" spans="1:9" ht="65.25" customHeight="1">
      <c r="A61" s="15">
        <v>17</v>
      </c>
      <c r="B61" s="82"/>
      <c r="C61" s="41" t="str">
        <f>対策リスト!AV18&amp;""</f>
        <v/>
      </c>
      <c r="D61" s="23" t="str">
        <f t="shared" si="1"/>
        <v/>
      </c>
      <c r="E61" s="24" t="str">
        <f>IF(C61="","",IFERROR(IF(VLOOKUP(C61,'計画書② (取組）'!$C$39:$F$59,3,0)="","未入力",VLOOKUP(C61,'計画書② (取組）'!$C$39:$F$59,3,0)),"-------"))</f>
        <v/>
      </c>
      <c r="F61" s="26"/>
      <c r="G61" s="26"/>
      <c r="H61" s="26"/>
      <c r="I61" s="42"/>
    </row>
    <row r="62" spans="1:9" ht="65.25" customHeight="1">
      <c r="A62" s="15">
        <v>18</v>
      </c>
      <c r="B62" s="82"/>
      <c r="C62" s="41" t="str">
        <f>対策リスト!AV19&amp;""</f>
        <v/>
      </c>
      <c r="D62" s="23" t="str">
        <f t="shared" si="1"/>
        <v/>
      </c>
      <c r="E62" s="24" t="str">
        <f>IF(C62="","",IFERROR(IF(VLOOKUP(C62,'計画書② (取組）'!$C$39:$F$59,3,0)="","未入力",VLOOKUP(C62,'計画書② (取組）'!$C$39:$F$59,3,0)),"-------"))</f>
        <v/>
      </c>
      <c r="F62" s="26"/>
      <c r="G62" s="26"/>
      <c r="H62" s="26"/>
      <c r="I62" s="42"/>
    </row>
    <row r="63" spans="1:9" ht="65.25" customHeight="1">
      <c r="A63" s="15">
        <v>19</v>
      </c>
      <c r="B63" s="82"/>
      <c r="C63" s="41" t="str">
        <f>対策リスト!AV20&amp;""</f>
        <v/>
      </c>
      <c r="D63" s="23" t="str">
        <f t="shared" si="1"/>
        <v/>
      </c>
      <c r="E63" s="24" t="str">
        <f>IF(C63="","",IFERROR(IF(VLOOKUP(C63,'計画書② (取組）'!$C$39:$F$59,3,0)="","未入力",VLOOKUP(C63,'計画書② (取組）'!$C$39:$F$59,3,0)),"-------"))</f>
        <v/>
      </c>
      <c r="F63" s="26"/>
      <c r="G63" s="26"/>
      <c r="H63" s="26"/>
      <c r="I63" s="42"/>
    </row>
    <row r="64" spans="1:9" ht="65.25" customHeight="1">
      <c r="A64" s="15">
        <v>20</v>
      </c>
      <c r="B64" s="82"/>
      <c r="C64" s="41" t="str">
        <f>対策リスト!AV21&amp;""</f>
        <v/>
      </c>
      <c r="D64" s="23" t="str">
        <f t="shared" si="1"/>
        <v/>
      </c>
      <c r="E64" s="24" t="str">
        <f>IF(C64="","",IFERROR(IF(VLOOKUP(C64,'計画書② (取組）'!$C$39:$F$59,3,0)="","未入力",VLOOKUP(C64,'計画書② (取組）'!$C$39:$F$59,3,0)),"-------"))</f>
        <v/>
      </c>
      <c r="F64" s="26"/>
      <c r="G64" s="26"/>
      <c r="H64" s="26"/>
      <c r="I64" s="42"/>
    </row>
    <row r="67" spans="1:9">
      <c r="A67" s="14" t="s">
        <v>4178</v>
      </c>
      <c r="B67" s="14"/>
    </row>
    <row r="68" spans="1:9" ht="13.35" customHeight="1">
      <c r="A68" s="905" t="s">
        <v>88</v>
      </c>
      <c r="B68" s="645" t="s">
        <v>89</v>
      </c>
      <c r="C68" s="645"/>
      <c r="D68" s="645" t="s">
        <v>4897</v>
      </c>
      <c r="E68" s="642" t="s">
        <v>4110</v>
      </c>
      <c r="F68" s="643"/>
      <c r="G68" s="17"/>
      <c r="H68" s="18"/>
      <c r="I68" s="42"/>
    </row>
    <row r="69" spans="1:9" ht="33" customHeight="1">
      <c r="A69" s="905"/>
      <c r="B69" s="645"/>
      <c r="C69" s="645"/>
      <c r="D69" s="645"/>
      <c r="E69" s="20" t="s">
        <v>4104</v>
      </c>
      <c r="F69" s="20" t="s">
        <v>4096</v>
      </c>
      <c r="G69" s="20" t="s">
        <v>4101</v>
      </c>
      <c r="H69" s="20" t="s">
        <v>4102</v>
      </c>
      <c r="I69" s="42"/>
    </row>
    <row r="70" spans="1:9" ht="65.25" customHeight="1">
      <c r="A70" s="15">
        <v>1</v>
      </c>
      <c r="B70" s="83"/>
      <c r="C70" s="41" t="str">
        <f>対策リスト!BV2&amp;""</f>
        <v/>
      </c>
      <c r="D70" s="41" t="str">
        <f>対策リスト!BY2&amp;""</f>
        <v/>
      </c>
      <c r="E70" s="24" t="str">
        <f>IF(C70="","",IF(対策リスト!CD2="","-------",対策リスト!CD2))</f>
        <v/>
      </c>
      <c r="F70" s="26"/>
      <c r="G70" s="26"/>
      <c r="H70" s="26"/>
      <c r="I70" s="42"/>
    </row>
    <row r="71" spans="1:9" ht="65.25" customHeight="1">
      <c r="A71" s="15">
        <v>2</v>
      </c>
      <c r="B71" s="83"/>
      <c r="C71" s="41" t="str">
        <f>対策リスト!BV3&amp;""</f>
        <v/>
      </c>
      <c r="D71" s="41" t="str">
        <f>対策リスト!BY3&amp;""</f>
        <v/>
      </c>
      <c r="E71" s="24" t="str">
        <f>IF(C71="","",IF(対策リスト!CD3="","-------",対策リスト!CD3))</f>
        <v/>
      </c>
      <c r="F71" s="26"/>
      <c r="G71" s="26"/>
      <c r="H71" s="26"/>
      <c r="I71" s="42"/>
    </row>
    <row r="72" spans="1:9" ht="65.25" customHeight="1">
      <c r="A72" s="15">
        <v>3</v>
      </c>
      <c r="B72" s="83"/>
      <c r="C72" s="41" t="str">
        <f>対策リスト!BV4&amp;""</f>
        <v/>
      </c>
      <c r="D72" s="41" t="str">
        <f>対策リスト!BY4&amp;""</f>
        <v/>
      </c>
      <c r="E72" s="24" t="str">
        <f>IF(C72="","",IF(対策リスト!CD4="","-------",対策リスト!CD4))</f>
        <v/>
      </c>
      <c r="F72" s="26"/>
      <c r="G72" s="26"/>
      <c r="H72" s="26"/>
      <c r="I72" s="42"/>
    </row>
    <row r="73" spans="1:9" ht="65.25" customHeight="1">
      <c r="A73" s="15">
        <v>4</v>
      </c>
      <c r="B73" s="83"/>
      <c r="C73" s="41" t="str">
        <f>対策リスト!BV5&amp;""</f>
        <v/>
      </c>
      <c r="D73" s="41" t="str">
        <f>対策リスト!BY5&amp;""</f>
        <v/>
      </c>
      <c r="E73" s="24" t="str">
        <f>IF(C73="","",IF(対策リスト!CD5="","-------",対策リスト!CD5))</f>
        <v/>
      </c>
      <c r="F73" s="26"/>
      <c r="G73" s="26"/>
      <c r="H73" s="26"/>
      <c r="I73" s="42"/>
    </row>
    <row r="74" spans="1:9" ht="65.25" customHeight="1">
      <c r="A74" s="15">
        <v>5</v>
      </c>
      <c r="B74" s="83"/>
      <c r="C74" s="41" t="str">
        <f>対策リスト!BV6&amp;""</f>
        <v/>
      </c>
      <c r="D74" s="41" t="str">
        <f>対策リスト!BY6&amp;""</f>
        <v/>
      </c>
      <c r="E74" s="24" t="str">
        <f>IF(C74="","",IF(対策リスト!CD6="","-------",対策リスト!CD6))</f>
        <v/>
      </c>
      <c r="F74" s="26"/>
      <c r="G74" s="26"/>
      <c r="H74" s="26"/>
      <c r="I74" s="42"/>
    </row>
    <row r="75" spans="1:9" ht="65.25" customHeight="1">
      <c r="A75" s="15">
        <v>6</v>
      </c>
      <c r="B75" s="83"/>
      <c r="C75" s="41" t="str">
        <f>対策リスト!BV7&amp;""</f>
        <v/>
      </c>
      <c r="D75" s="41" t="str">
        <f>対策リスト!BY7&amp;""</f>
        <v/>
      </c>
      <c r="E75" s="24" t="str">
        <f>IF(C75="","",IF(対策リスト!CD7="","-------",対策リスト!CD7))</f>
        <v/>
      </c>
      <c r="F75" s="26"/>
      <c r="G75" s="26"/>
      <c r="H75" s="26"/>
      <c r="I75" s="42"/>
    </row>
    <row r="76" spans="1:9" ht="65.25" customHeight="1">
      <c r="A76" s="15">
        <v>7</v>
      </c>
      <c r="B76" s="83"/>
      <c r="C76" s="41" t="str">
        <f>対策リスト!BV8&amp;""</f>
        <v/>
      </c>
      <c r="D76" s="41" t="str">
        <f>対策リスト!BY8&amp;""</f>
        <v/>
      </c>
      <c r="E76" s="24" t="str">
        <f>IF(C76="","",IF(対策リスト!CD8="","-------",対策リスト!CD8))</f>
        <v/>
      </c>
      <c r="F76" s="26"/>
      <c r="G76" s="26"/>
      <c r="H76" s="26"/>
    </row>
    <row r="77" spans="1:9" ht="65.25" customHeight="1">
      <c r="A77" s="15">
        <v>8</v>
      </c>
      <c r="B77" s="83"/>
      <c r="C77" s="41" t="str">
        <f>対策リスト!BV9&amp;""</f>
        <v/>
      </c>
      <c r="D77" s="41" t="str">
        <f>対策リスト!BY9&amp;""</f>
        <v/>
      </c>
      <c r="E77" s="24" t="str">
        <f>IF(C77="","",IF(対策リスト!CD9="","-------",対策リスト!CD9))</f>
        <v/>
      </c>
      <c r="F77" s="26"/>
      <c r="G77" s="26"/>
      <c r="H77" s="26"/>
    </row>
    <row r="78" spans="1:9" ht="65.25" customHeight="1">
      <c r="A78" s="15">
        <v>9</v>
      </c>
      <c r="B78" s="83"/>
      <c r="C78" s="41" t="str">
        <f>対策リスト!BV10&amp;""</f>
        <v/>
      </c>
      <c r="D78" s="41" t="str">
        <f>対策リスト!BY10&amp;""</f>
        <v/>
      </c>
      <c r="E78" s="24" t="str">
        <f>IF(C78="","",IF(対策リスト!CD10="","-------",対策リスト!CD10))</f>
        <v/>
      </c>
      <c r="F78" s="26"/>
      <c r="G78" s="26"/>
      <c r="H78" s="26"/>
    </row>
    <row r="79" spans="1:9" ht="65.25" customHeight="1">
      <c r="A79" s="15">
        <v>10</v>
      </c>
      <c r="B79" s="83"/>
      <c r="C79" s="41" t="str">
        <f>対策リスト!BV11&amp;""</f>
        <v/>
      </c>
      <c r="D79" s="41" t="str">
        <f>対策リスト!BY11&amp;""</f>
        <v/>
      </c>
      <c r="E79" s="24" t="str">
        <f>IF(C79="","",IF(対策リスト!CD11="","-------",対策リスト!CD11))</f>
        <v/>
      </c>
      <c r="F79" s="26"/>
      <c r="G79" s="26"/>
      <c r="H79" s="26"/>
    </row>
    <row r="90" spans="1:3">
      <c r="C90" s="12" t="s">
        <v>4840</v>
      </c>
    </row>
    <row r="91" spans="1:3">
      <c r="A91" s="12">
        <v>1</v>
      </c>
      <c r="C91" s="46"/>
    </row>
    <row r="92" spans="1:3">
      <c r="A92" s="12">
        <v>2</v>
      </c>
      <c r="C92" s="46"/>
    </row>
    <row r="93" spans="1:3">
      <c r="A93" s="12">
        <v>3</v>
      </c>
      <c r="C93" s="46"/>
    </row>
    <row r="94" spans="1:3">
      <c r="A94" s="12">
        <v>4</v>
      </c>
      <c r="C94" s="46"/>
    </row>
    <row r="95" spans="1:3">
      <c r="A95" s="12">
        <v>5</v>
      </c>
      <c r="C95" s="46"/>
    </row>
    <row r="96" spans="1:3">
      <c r="A96" s="12">
        <v>6</v>
      </c>
      <c r="C96" s="46"/>
    </row>
    <row r="97" spans="1:3">
      <c r="A97" s="12">
        <v>7</v>
      </c>
      <c r="C97" s="46"/>
    </row>
    <row r="98" spans="1:3">
      <c r="A98" s="12">
        <v>8</v>
      </c>
      <c r="C98" s="46"/>
    </row>
    <row r="99" spans="1:3">
      <c r="A99" s="12">
        <v>9</v>
      </c>
      <c r="C99" s="46"/>
    </row>
    <row r="100" spans="1:3">
      <c r="A100" s="12">
        <v>10</v>
      </c>
      <c r="C100" s="46"/>
    </row>
    <row r="101" spans="1:3">
      <c r="A101" s="12">
        <v>11</v>
      </c>
      <c r="C101" s="46"/>
    </row>
    <row r="102" spans="1:3">
      <c r="A102" s="12">
        <v>12</v>
      </c>
      <c r="C102" s="46"/>
    </row>
    <row r="103" spans="1:3">
      <c r="A103" s="12">
        <v>13</v>
      </c>
      <c r="C103" s="46"/>
    </row>
    <row r="104" spans="1:3">
      <c r="A104" s="12">
        <v>14</v>
      </c>
      <c r="C104" s="46"/>
    </row>
    <row r="105" spans="1:3">
      <c r="A105" s="12">
        <v>15</v>
      </c>
      <c r="C105" s="46"/>
    </row>
    <row r="106" spans="1:3">
      <c r="A106" s="12">
        <v>16</v>
      </c>
      <c r="C106" s="46"/>
    </row>
    <row r="107" spans="1:3">
      <c r="A107" s="12">
        <v>17</v>
      </c>
      <c r="C107" s="46"/>
    </row>
    <row r="108" spans="1:3">
      <c r="A108" s="12">
        <v>18</v>
      </c>
      <c r="C108" s="46"/>
    </row>
    <row r="109" spans="1:3">
      <c r="A109" s="12">
        <v>19</v>
      </c>
      <c r="C109" s="46"/>
    </row>
    <row r="110" spans="1:3">
      <c r="A110" s="12">
        <v>20</v>
      </c>
      <c r="C110" s="46"/>
    </row>
    <row r="119" spans="1:4">
      <c r="C119" s="12" t="s">
        <v>4841</v>
      </c>
    </row>
    <row r="120" spans="1:4">
      <c r="D120" s="19" t="s">
        <v>4896</v>
      </c>
    </row>
    <row r="121" spans="1:4" ht="90" customHeight="1">
      <c r="A121" s="27">
        <v>1</v>
      </c>
      <c r="B121" s="27"/>
      <c r="C121" s="47"/>
      <c r="D121" s="48"/>
    </row>
    <row r="122" spans="1:4" ht="90" customHeight="1">
      <c r="A122" s="27">
        <v>2</v>
      </c>
      <c r="B122" s="27"/>
      <c r="C122" s="47"/>
      <c r="D122" s="48"/>
    </row>
    <row r="123" spans="1:4" ht="90" customHeight="1">
      <c r="A123" s="27">
        <v>3</v>
      </c>
      <c r="B123" s="27"/>
      <c r="C123" s="47"/>
      <c r="D123" s="48"/>
    </row>
    <row r="124" spans="1:4" ht="90" customHeight="1">
      <c r="A124" s="27">
        <v>4</v>
      </c>
      <c r="B124" s="27"/>
      <c r="C124" s="47"/>
      <c r="D124" s="48"/>
    </row>
    <row r="125" spans="1:4" ht="90" customHeight="1">
      <c r="A125" s="27">
        <v>5</v>
      </c>
      <c r="B125" s="27"/>
      <c r="C125" s="47"/>
      <c r="D125" s="48"/>
    </row>
    <row r="126" spans="1:4" ht="90" customHeight="1">
      <c r="A126" s="27">
        <v>6</v>
      </c>
      <c r="B126" s="27"/>
      <c r="C126" s="47"/>
      <c r="D126" s="48"/>
    </row>
    <row r="127" spans="1:4" ht="90" customHeight="1">
      <c r="A127" s="27">
        <v>7</v>
      </c>
      <c r="B127" s="27"/>
      <c r="C127" s="47"/>
      <c r="D127" s="48"/>
    </row>
    <row r="128" spans="1:4" ht="90" customHeight="1">
      <c r="A128" s="27">
        <v>8</v>
      </c>
      <c r="B128" s="27"/>
      <c r="C128" s="47"/>
      <c r="D128" s="48"/>
    </row>
    <row r="129" spans="1:4" ht="90" customHeight="1">
      <c r="A129" s="27">
        <v>9</v>
      </c>
      <c r="B129" s="27"/>
      <c r="C129" s="47"/>
      <c r="D129" s="48"/>
    </row>
    <row r="130" spans="1:4" ht="90" customHeight="1">
      <c r="A130" s="27">
        <v>10</v>
      </c>
      <c r="B130" s="27"/>
      <c r="C130" s="47"/>
      <c r="D130" s="48"/>
    </row>
  </sheetData>
  <sheetProtection algorithmName="SHA-512" hashValue="5DXNBu6WHYRiOXlZryjNw85m8X09J5XrG3pHLH/zU2eDfKppOUE4n1usp/TIdjj2Q8Z4xV7ASaI+BmHea4/aqw==" saltValue="fthFf27vhgSlEVujloVMug==" spinCount="100000" sheet="1" objects="1" scenarios="1" selectLockedCells="1"/>
  <mergeCells count="20">
    <mergeCell ref="C43:C44"/>
    <mergeCell ref="D43:D44"/>
    <mergeCell ref="A4:A5"/>
    <mergeCell ref="B4:B5"/>
    <mergeCell ref="C4:C5"/>
    <mergeCell ref="D4:D5"/>
    <mergeCell ref="A38:C38"/>
    <mergeCell ref="D38:F38"/>
    <mergeCell ref="A68:A69"/>
    <mergeCell ref="B68:C69"/>
    <mergeCell ref="D68:D69"/>
    <mergeCell ref="E4:F4"/>
    <mergeCell ref="E43:F43"/>
    <mergeCell ref="E68:F68"/>
    <mergeCell ref="A39:C39"/>
    <mergeCell ref="D39:F39"/>
    <mergeCell ref="A40:C40"/>
    <mergeCell ref="D40:F40"/>
    <mergeCell ref="A43:A44"/>
    <mergeCell ref="B43:B44"/>
  </mergeCells>
  <phoneticPr fontId="1"/>
  <conditionalFormatting sqref="D38">
    <cfRule type="expression" dxfId="49" priority="98">
      <formula>#REF!&lt;&gt;1</formula>
    </cfRule>
    <cfRule type="expression" dxfId="48" priority="99">
      <formula>$D$38&lt;&gt;""</formula>
    </cfRule>
  </conditionalFormatting>
  <conditionalFormatting sqref="D39">
    <cfRule type="expression" dxfId="47" priority="100" stopIfTrue="1">
      <formula>#REF!&lt;&gt;2</formula>
    </cfRule>
    <cfRule type="expression" dxfId="46" priority="101">
      <formula>$D$39&lt;&gt;""</formula>
    </cfRule>
  </conditionalFormatting>
  <conditionalFormatting sqref="D40">
    <cfRule type="expression" dxfId="45" priority="102" stopIfTrue="1">
      <formula>#REF!&lt;&gt;3</formula>
    </cfRule>
    <cfRule type="expression" dxfId="44" priority="103">
      <formula>$D$40&lt;&gt;""</formula>
    </cfRule>
  </conditionalFormatting>
  <conditionalFormatting sqref="D121:D130">
    <cfRule type="expression" dxfId="43" priority="1">
      <formula>D121&lt;&gt;""</formula>
    </cfRule>
  </conditionalFormatting>
  <conditionalFormatting sqref="F6:F35 F45:F64 F70:F79">
    <cfRule type="expression" dxfId="42" priority="80">
      <formula>#REF!&lt;&gt;1</formula>
    </cfRule>
    <cfRule type="expression" dxfId="41" priority="81">
      <formula>F6&lt;&gt;""</formula>
    </cfRule>
  </conditionalFormatting>
  <conditionalFormatting sqref="F6:H35">
    <cfRule type="expression" dxfId="40" priority="2">
      <formula>F6="非該当"</formula>
    </cfRule>
  </conditionalFormatting>
  <conditionalFormatting sqref="G6:G35 G45:G64 G70:G79">
    <cfRule type="expression" dxfId="39" priority="92">
      <formula>#REF!&lt;&gt;2</formula>
    </cfRule>
    <cfRule type="expression" dxfId="38" priority="93">
      <formula>$G6&lt;&gt;""</formula>
    </cfRule>
  </conditionalFormatting>
  <conditionalFormatting sqref="H6:H35 H45:H64 H70:H79">
    <cfRule type="expression" dxfId="37" priority="86">
      <formula>#REF!&lt;&gt;3</formula>
    </cfRule>
    <cfRule type="expression" dxfId="36" priority="87">
      <formula>$H6&lt;&gt;""</formula>
    </cfRule>
  </conditionalFormatting>
  <dataValidations count="4">
    <dataValidation type="list" allowBlank="1" showInputMessage="1" showErrorMessage="1" sqref="F70:H79" xr:uid="{00000000-0002-0000-0B00-000000000000}">
      <formula1>"実施済,未実施"</formula1>
    </dataValidation>
    <dataValidation type="list" allowBlank="1" showInputMessage="1" showErrorMessage="1" sqref="F45:H64" xr:uid="{00000000-0002-0000-0B00-000001000000}">
      <formula1>"実施済,一部実施済,未実施"</formula1>
    </dataValidation>
    <dataValidation type="list" allowBlank="1" showInputMessage="1" showErrorMessage="1" sqref="F6:H35" xr:uid="{00000000-0002-0000-0B00-000002000000}">
      <formula1>"実施済,未実施,非該当"</formula1>
    </dataValidation>
    <dataValidation imeMode="hiragana" allowBlank="1" showInputMessage="1" showErrorMessage="1" sqref="D121:D130 D38:F38" xr:uid="{00000000-0002-0000-0B00-000003000000}"/>
  </dataValidations>
  <pageMargins left="0.70866141732283472" right="0.51181102362204722" top="0.55118110236220474" bottom="0.55118110236220474" header="0.31496062992125984" footer="0.31496062992125984"/>
  <pageSetup paperSize="9" scale="80" fitToHeight="2" orientation="portrait" r:id="rId1"/>
  <headerFooter>
    <oddHeader>&amp;L様式第２号</oddHeader>
    <oddFooter>&amp;R&amp;8（一般事業所等用）</oddFooter>
  </headerFooter>
  <rowBreaks count="5" manualBreakCount="5">
    <brk id="17" max="9" man="1"/>
    <brk id="29" max="9" man="1"/>
    <brk id="41" max="9" man="1"/>
    <brk id="54" max="9" man="1"/>
    <brk id="65" max="9"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B00-000004000000}">
          <x14:formula1>
            <xm:f>OFFSET(対策リスト!$BP$2,0,0,13-COUNTBLANK(対策リスト!$BP$2:$BP$14),1)</xm:f>
          </x14:formula1>
          <xm:sqref>C121:C130</xm:sqref>
        </x14:dataValidation>
        <x14:dataValidation type="list" allowBlank="1" showInputMessage="1" showErrorMessage="1" xr:uid="{00000000-0002-0000-0B00-000005000000}">
          <x14:formula1>
            <xm:f>OFFSET(対策リスト!$AP$2,0,0,45-COUNTBLANK(対策リスト!$AP$2:$AP$46),1)</xm:f>
          </x14:formula1>
          <xm:sqref>C91:C110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9">
    <tabColor theme="6" tint="0.59999389629810485"/>
  </sheetPr>
  <dimension ref="A1:I130"/>
  <sheetViews>
    <sheetView showGridLines="0" topLeftCell="A3" zoomScaleNormal="100" zoomScaleSheetLayoutView="100" workbookViewId="0">
      <selection activeCell="G6" sqref="G6"/>
    </sheetView>
  </sheetViews>
  <sheetFormatPr defaultColWidth="8.88671875" defaultRowHeight="16.2"/>
  <cols>
    <col min="1" max="1" width="3.88671875" style="12" customWidth="1"/>
    <col min="2" max="2" width="9.109375" style="12" hidden="1" customWidth="1"/>
    <col min="3" max="3" width="14.6640625" style="12" customWidth="1"/>
    <col min="4" max="4" width="43.44140625" style="12" customWidth="1"/>
    <col min="5" max="7" width="8.6640625" style="12" customWidth="1"/>
    <col min="8" max="8" width="8.109375" style="12" hidden="1" customWidth="1"/>
    <col min="9" max="9" width="3.44140625" style="13" customWidth="1"/>
    <col min="10" max="10" width="8.109375" style="12" customWidth="1"/>
    <col min="11" max="11" width="6.109375" style="12" customWidth="1"/>
    <col min="12" max="15" width="5.6640625" style="12" customWidth="1"/>
    <col min="16" max="16384" width="8.88671875" style="12"/>
  </cols>
  <sheetData>
    <row r="1" spans="1:8" hidden="1"/>
    <row r="2" spans="1:8" hidden="1"/>
    <row r="3" spans="1:8">
      <c r="A3" s="14" t="s">
        <v>4176</v>
      </c>
      <c r="B3" s="14"/>
    </row>
    <row r="4" spans="1:8" ht="13.35" customHeight="1">
      <c r="A4" s="907" t="s">
        <v>88</v>
      </c>
      <c r="B4" s="906" t="s">
        <v>91</v>
      </c>
      <c r="C4" s="903" t="s">
        <v>89</v>
      </c>
      <c r="D4" s="903" t="s">
        <v>90</v>
      </c>
      <c r="E4" s="642" t="s">
        <v>4110</v>
      </c>
      <c r="F4" s="908"/>
      <c r="G4" s="643"/>
      <c r="H4" s="18"/>
    </row>
    <row r="5" spans="1:8" ht="33" customHeight="1">
      <c r="A5" s="907"/>
      <c r="B5" s="906"/>
      <c r="C5" s="903"/>
      <c r="D5" s="903"/>
      <c r="E5" s="16" t="s">
        <v>4104</v>
      </c>
      <c r="F5" s="16" t="s">
        <v>4096</v>
      </c>
      <c r="G5" s="16" t="s">
        <v>4101</v>
      </c>
      <c r="H5" s="20" t="s">
        <v>4102</v>
      </c>
    </row>
    <row r="6" spans="1:8" ht="65.25" customHeight="1">
      <c r="A6" s="15">
        <v>1</v>
      </c>
      <c r="B6" s="23" t="s">
        <v>92</v>
      </c>
      <c r="C6" s="23" t="s">
        <v>4026</v>
      </c>
      <c r="D6" s="23" t="s">
        <v>4205</v>
      </c>
      <c r="E6" s="24" t="str">
        <f>IF('計画書② (取組）'!E5="","",'計画書② (取組）'!E5)</f>
        <v/>
      </c>
      <c r="F6" s="25" t="str">
        <f>IF(C6="","",IFERROR(IF(VLOOKUP(C6,'報告書② 第1年度(取組）'!$C$6:$F$35,4,0)="","未入力",VLOOKUP(C6,'報告書② 第1年度(取組）'!$C$6:$F$35,4,0)),"-------"))</f>
        <v>未入力</v>
      </c>
      <c r="G6" s="26"/>
      <c r="H6" s="26"/>
    </row>
    <row r="7" spans="1:8" ht="65.25" customHeight="1">
      <c r="A7" s="15">
        <v>2</v>
      </c>
      <c r="B7" s="23" t="s">
        <v>92</v>
      </c>
      <c r="C7" s="23" t="s">
        <v>4027</v>
      </c>
      <c r="D7" s="23" t="s">
        <v>4207</v>
      </c>
      <c r="E7" s="24" t="str">
        <f>IF('計画書② (取組）'!E6="","",'計画書② (取組）'!E6)</f>
        <v/>
      </c>
      <c r="F7" s="25" t="str">
        <f>IF(C7="","",IFERROR(IF(VLOOKUP(C7,'報告書② 第1年度(取組）'!$C$6:$F$35,4,0)="","未入力",VLOOKUP(C7,'報告書② 第1年度(取組）'!$C$6:$F$35,4,0)),"-------"))</f>
        <v>未入力</v>
      </c>
      <c r="G7" s="26"/>
      <c r="H7" s="26"/>
    </row>
    <row r="8" spans="1:8" ht="65.25" customHeight="1">
      <c r="A8" s="15">
        <v>3</v>
      </c>
      <c r="B8" s="23" t="s">
        <v>92</v>
      </c>
      <c r="C8" s="23" t="s">
        <v>4028</v>
      </c>
      <c r="D8" s="23" t="s">
        <v>4208</v>
      </c>
      <c r="E8" s="24" t="str">
        <f>IF('計画書② (取組）'!E7="","",'計画書② (取組）'!E7)</f>
        <v/>
      </c>
      <c r="F8" s="25" t="str">
        <f>IF(C8="","",IFERROR(IF(VLOOKUP(C8,'報告書② 第1年度(取組）'!$C$6:$F$35,4,0)="","未入力",VLOOKUP(C8,'報告書② 第1年度(取組）'!$C$6:$F$35,4,0)),"-------"))</f>
        <v>未入力</v>
      </c>
      <c r="G8" s="26"/>
      <c r="H8" s="26"/>
    </row>
    <row r="9" spans="1:8" ht="65.25" customHeight="1">
      <c r="A9" s="15">
        <v>4</v>
      </c>
      <c r="B9" s="23" t="s">
        <v>92</v>
      </c>
      <c r="C9" s="23" t="s">
        <v>4029</v>
      </c>
      <c r="D9" s="23" t="s">
        <v>5503</v>
      </c>
      <c r="E9" s="24" t="str">
        <f>IF('計画書② (取組）'!E8="","",'計画書② (取組）'!E8)</f>
        <v/>
      </c>
      <c r="F9" s="25" t="str">
        <f>IF(C9="","",IFERROR(IF(VLOOKUP(C9,'報告書② 第1年度(取組）'!$C$6:$F$35,4,0)="","未入力",VLOOKUP(C9,'報告書② 第1年度(取組）'!$C$6:$F$35,4,0)),"-------"))</f>
        <v>未入力</v>
      </c>
      <c r="G9" s="26"/>
      <c r="H9" s="26"/>
    </row>
    <row r="10" spans="1:8" ht="65.25" customHeight="1">
      <c r="A10" s="15">
        <v>5</v>
      </c>
      <c r="B10" s="23" t="s">
        <v>92</v>
      </c>
      <c r="C10" s="23" t="s">
        <v>5504</v>
      </c>
      <c r="D10" s="23" t="s">
        <v>5505</v>
      </c>
      <c r="E10" s="24" t="str">
        <f>IF('計画書② (取組）'!E9="","",'計画書② (取組）'!E9)</f>
        <v/>
      </c>
      <c r="F10" s="25" t="str">
        <f>IF(C10="","",IFERROR(IF(VLOOKUP(C10,'報告書② 第1年度(取組）'!$C$6:$F$35,4,0)="","未入力",VLOOKUP(C10,'報告書② 第1年度(取組）'!$C$6:$F$35,4,0)),"-------"))</f>
        <v>未入力</v>
      </c>
      <c r="G10" s="26"/>
      <c r="H10" s="26"/>
    </row>
    <row r="11" spans="1:8" ht="65.25" customHeight="1">
      <c r="A11" s="15">
        <v>6</v>
      </c>
      <c r="B11" s="23" t="s">
        <v>93</v>
      </c>
      <c r="C11" s="23" t="s">
        <v>4030</v>
      </c>
      <c r="D11" s="23" t="s">
        <v>4209</v>
      </c>
      <c r="E11" s="24" t="str">
        <f>IF('計画書② (取組）'!E10="","",'計画書② (取組）'!E10)</f>
        <v/>
      </c>
      <c r="F11" s="25" t="str">
        <f>IF(C11="","",IFERROR(IF(VLOOKUP(C11,'報告書② 第1年度(取組）'!$C$6:$F$35,4,0)="","未入力",VLOOKUP(C11,'報告書② 第1年度(取組）'!$C$6:$F$35,4,0)),"-------"))</f>
        <v>未入力</v>
      </c>
      <c r="G11" s="26"/>
      <c r="H11" s="26"/>
    </row>
    <row r="12" spans="1:8" ht="65.25" customHeight="1">
      <c r="A12" s="15">
        <v>7</v>
      </c>
      <c r="B12" s="23" t="s">
        <v>93</v>
      </c>
      <c r="C12" s="23" t="s">
        <v>4031</v>
      </c>
      <c r="D12" s="23" t="s">
        <v>5506</v>
      </c>
      <c r="E12" s="24" t="str">
        <f>IF('計画書② (取組）'!E11="","",'計画書② (取組）'!E11)</f>
        <v/>
      </c>
      <c r="F12" s="25" t="str">
        <f>IF(C12="","",IFERROR(IF(VLOOKUP(C12,'報告書② 第1年度(取組）'!$C$6:$F$35,4,0)="","未入力",VLOOKUP(C12,'報告書② 第1年度(取組）'!$C$6:$F$35,4,0)),"-------"))</f>
        <v>未入力</v>
      </c>
      <c r="G12" s="26"/>
      <c r="H12" s="26"/>
    </row>
    <row r="13" spans="1:8" ht="65.25" customHeight="1">
      <c r="A13" s="15">
        <v>8</v>
      </c>
      <c r="B13" s="23" t="s">
        <v>93</v>
      </c>
      <c r="C13" s="23" t="s">
        <v>5507</v>
      </c>
      <c r="D13" s="23" t="s">
        <v>5508</v>
      </c>
      <c r="E13" s="24" t="str">
        <f>IF('計画書② (取組）'!E12="","",'計画書② (取組）'!E12)</f>
        <v/>
      </c>
      <c r="F13" s="25" t="str">
        <f>IF(C13="","",IFERROR(IF(VLOOKUP(C13,'報告書② 第1年度(取組）'!$C$6:$F$35,4,0)="","未入力",VLOOKUP(C13,'報告書② 第1年度(取組）'!$C$6:$F$35,4,0)),"-------"))</f>
        <v>未入力</v>
      </c>
      <c r="G13" s="26"/>
      <c r="H13" s="26"/>
    </row>
    <row r="14" spans="1:8" ht="65.25" customHeight="1">
      <c r="A14" s="15">
        <v>9</v>
      </c>
      <c r="B14" s="23" t="s">
        <v>93</v>
      </c>
      <c r="C14" s="23" t="s">
        <v>4032</v>
      </c>
      <c r="D14" s="23" t="s">
        <v>4210</v>
      </c>
      <c r="E14" s="24" t="str">
        <f>IF('計画書② (取組）'!E13="","",'計画書② (取組）'!E13)</f>
        <v/>
      </c>
      <c r="F14" s="25" t="str">
        <f>IF(C14="","",IFERROR(IF(VLOOKUP(C14,'報告書② 第1年度(取組）'!$C$6:$F$35,4,0)="","未入力",VLOOKUP(C14,'報告書② 第1年度(取組）'!$C$6:$F$35,4,0)),"-------"))</f>
        <v>未入力</v>
      </c>
      <c r="G14" s="26"/>
      <c r="H14" s="26"/>
    </row>
    <row r="15" spans="1:8" ht="65.25" customHeight="1">
      <c r="A15" s="15">
        <v>10</v>
      </c>
      <c r="B15" s="23" t="s">
        <v>93</v>
      </c>
      <c r="C15" s="23" t="s">
        <v>4033</v>
      </c>
      <c r="D15" s="23" t="s">
        <v>4211</v>
      </c>
      <c r="E15" s="24" t="str">
        <f>IF('計画書② (取組）'!E14="","",'計画書② (取組）'!E14)</f>
        <v/>
      </c>
      <c r="F15" s="25" t="str">
        <f>IF(C15="","",IFERROR(IF(VLOOKUP(C15,'報告書② 第1年度(取組）'!$C$6:$F$35,4,0)="","未入力",VLOOKUP(C15,'報告書② 第1年度(取組）'!$C$6:$F$35,4,0)),"-------"))</f>
        <v>未入力</v>
      </c>
      <c r="G15" s="26"/>
      <c r="H15" s="26"/>
    </row>
    <row r="16" spans="1:8" ht="65.25" customHeight="1">
      <c r="A16" s="15">
        <v>11</v>
      </c>
      <c r="B16" s="23" t="s">
        <v>93</v>
      </c>
      <c r="C16" s="23" t="s">
        <v>4034</v>
      </c>
      <c r="D16" s="23" t="s">
        <v>4212</v>
      </c>
      <c r="E16" s="24" t="str">
        <f>IF('計画書② (取組）'!E15="","",'計画書② (取組）'!E15)</f>
        <v/>
      </c>
      <c r="F16" s="25" t="str">
        <f>IF(C16="","",IFERROR(IF(VLOOKUP(C16,'報告書② 第1年度(取組）'!$C$6:$F$35,4,0)="","未入力",VLOOKUP(C16,'報告書② 第1年度(取組）'!$C$6:$F$35,4,0)),"-------"))</f>
        <v>未入力</v>
      </c>
      <c r="G16" s="26"/>
      <c r="H16" s="26"/>
    </row>
    <row r="17" spans="1:8" ht="65.25" customHeight="1">
      <c r="A17" s="15">
        <v>12</v>
      </c>
      <c r="B17" s="23" t="s">
        <v>94</v>
      </c>
      <c r="C17" s="23" t="s">
        <v>4035</v>
      </c>
      <c r="D17" s="23" t="s">
        <v>4213</v>
      </c>
      <c r="E17" s="24" t="str">
        <f>IF('計画書② (取組）'!E16="","",'計画書② (取組）'!E16)</f>
        <v/>
      </c>
      <c r="F17" s="25" t="str">
        <f>IF(C17="","",IFERROR(IF(VLOOKUP(C17,'報告書② 第1年度(取組）'!$C$6:$F$35,4,0)="","未入力",VLOOKUP(C17,'報告書② 第1年度(取組）'!$C$6:$F$35,4,0)),"-------"))</f>
        <v>未入力</v>
      </c>
      <c r="G17" s="26"/>
      <c r="H17" s="26"/>
    </row>
    <row r="18" spans="1:8" ht="65.25" customHeight="1">
      <c r="A18" s="15">
        <v>13</v>
      </c>
      <c r="B18" s="23" t="s">
        <v>94</v>
      </c>
      <c r="C18" s="23" t="s">
        <v>4036</v>
      </c>
      <c r="D18" s="23" t="s">
        <v>4214</v>
      </c>
      <c r="E18" s="24" t="str">
        <f>IF('計画書② (取組）'!E17="","",'計画書② (取組）'!E17)</f>
        <v/>
      </c>
      <c r="F18" s="25" t="str">
        <f>IF(C18="","",IFERROR(IF(VLOOKUP(C18,'報告書② 第1年度(取組）'!$C$6:$F$35,4,0)="","未入力",VLOOKUP(C18,'報告書② 第1年度(取組）'!$C$6:$F$35,4,0)),"-------"))</f>
        <v>未入力</v>
      </c>
      <c r="G18" s="26"/>
      <c r="H18" s="26"/>
    </row>
    <row r="19" spans="1:8" ht="65.25" hidden="1" customHeight="1">
      <c r="A19" s="15">
        <v>14</v>
      </c>
      <c r="B19" s="23" t="s">
        <v>94</v>
      </c>
      <c r="C19" s="23"/>
      <c r="D19" s="23"/>
      <c r="E19" s="24" t="str">
        <f>IF('計画書② (取組）'!E18="","",'計画書② (取組）'!E18)</f>
        <v/>
      </c>
      <c r="F19" s="25" t="str">
        <f>IF(C19="","",IFERROR(IF(VLOOKUP(C19,'報告書② 第1年度(取組）'!$C$6:$F$35,4,0)="","未入力",VLOOKUP(C19,'報告書② 第1年度(取組）'!$C$6:$F$35,4,0)),"-------"))</f>
        <v/>
      </c>
      <c r="G19" s="26"/>
      <c r="H19" s="26"/>
    </row>
    <row r="20" spans="1:8" ht="65.25" hidden="1" customHeight="1">
      <c r="A20" s="15">
        <v>15</v>
      </c>
      <c r="B20" s="23" t="s">
        <v>94</v>
      </c>
      <c r="C20" s="23"/>
      <c r="D20" s="23"/>
      <c r="E20" s="24" t="str">
        <f>IF('計画書② (取組）'!E19="","",'計画書② (取組）'!E19)</f>
        <v/>
      </c>
      <c r="F20" s="25" t="str">
        <f>IF(C20="","",IFERROR(IF(VLOOKUP(C20,'報告書② 第1年度(取組）'!$C$6:$F$35,4,0)="","未入力",VLOOKUP(C20,'報告書② 第1年度(取組）'!$C$6:$F$35,4,0)),"-------"))</f>
        <v/>
      </c>
      <c r="G20" s="26"/>
      <c r="H20" s="26"/>
    </row>
    <row r="21" spans="1:8" ht="65.25" hidden="1" customHeight="1">
      <c r="A21" s="15">
        <v>16</v>
      </c>
      <c r="B21" s="23" t="s">
        <v>95</v>
      </c>
      <c r="C21" s="23"/>
      <c r="D21" s="23"/>
      <c r="E21" s="24" t="str">
        <f>IF('計画書② (取組）'!E20="","",'計画書② (取組）'!E20)</f>
        <v/>
      </c>
      <c r="F21" s="25" t="str">
        <f>IF(C21="","",IFERROR(IF(VLOOKUP(C21,'報告書② 第1年度(取組）'!$C$6:$F$35,4,0)="","未入力",VLOOKUP(C21,'報告書② 第1年度(取組）'!$C$6:$F$35,4,0)),"-------"))</f>
        <v/>
      </c>
      <c r="G21" s="26"/>
      <c r="H21" s="26"/>
    </row>
    <row r="22" spans="1:8" ht="65.25" hidden="1" customHeight="1">
      <c r="A22" s="15">
        <v>17</v>
      </c>
      <c r="B22" s="23" t="s">
        <v>95</v>
      </c>
      <c r="C22" s="23"/>
      <c r="D22" s="23"/>
      <c r="E22" s="24" t="str">
        <f>IF('計画書② (取組）'!E21="","",'計画書② (取組）'!E21)</f>
        <v/>
      </c>
      <c r="F22" s="25" t="str">
        <f>IF(C22="","",IFERROR(IF(VLOOKUP(C22,'報告書② 第1年度(取組）'!$C$6:$F$35,4,0)="","未入力",VLOOKUP(C22,'報告書② 第1年度(取組）'!$C$6:$F$35,4,0)),"-------"))</f>
        <v/>
      </c>
      <c r="G22" s="26"/>
      <c r="H22" s="26"/>
    </row>
    <row r="23" spans="1:8" ht="65.25" hidden="1" customHeight="1">
      <c r="A23" s="15">
        <v>18</v>
      </c>
      <c r="B23" s="23" t="s">
        <v>95</v>
      </c>
      <c r="C23" s="23"/>
      <c r="D23" s="23"/>
      <c r="E23" s="24" t="str">
        <f>IF('計画書② (取組）'!E22="","",'計画書② (取組）'!E22)</f>
        <v/>
      </c>
      <c r="F23" s="25" t="str">
        <f>IF(C23="","",IFERROR(IF(VLOOKUP(C23,'報告書② 第1年度(取組）'!$C$6:$F$35,4,0)="","未入力",VLOOKUP(C23,'報告書② 第1年度(取組）'!$C$6:$F$35,4,0)),"-------"))</f>
        <v/>
      </c>
      <c r="G23" s="26"/>
      <c r="H23" s="26"/>
    </row>
    <row r="24" spans="1:8" ht="65.25" hidden="1" customHeight="1">
      <c r="A24" s="15">
        <v>19</v>
      </c>
      <c r="B24" s="23" t="s">
        <v>96</v>
      </c>
      <c r="C24" s="23"/>
      <c r="D24" s="23"/>
      <c r="E24" s="24" t="str">
        <f>IF('計画書② (取組）'!E23="","",'計画書② (取組）'!E23)</f>
        <v/>
      </c>
      <c r="F24" s="25" t="str">
        <f>IF(C24="","",IFERROR(IF(VLOOKUP(C24,'報告書② 第1年度(取組）'!$C$6:$F$35,4,0)="","未入力",VLOOKUP(C24,'報告書② 第1年度(取組）'!$C$6:$F$35,4,0)),"-------"))</f>
        <v/>
      </c>
      <c r="G24" s="26"/>
      <c r="H24" s="26"/>
    </row>
    <row r="25" spans="1:8" ht="65.25" hidden="1" customHeight="1">
      <c r="A25" s="21">
        <v>20</v>
      </c>
      <c r="B25" s="35" t="s">
        <v>97</v>
      </c>
      <c r="C25" s="35"/>
      <c r="D25" s="35"/>
      <c r="E25" s="24" t="str">
        <f>IF('計画書② (取組）'!E24="","",'計画書② (取組）'!E24)</f>
        <v/>
      </c>
      <c r="F25" s="25" t="str">
        <f>IF(C25="","",IFERROR(IF(VLOOKUP(C25,'報告書② 第1年度(取組）'!$C$6:$F$35,4,0)="","未入力",VLOOKUP(C25,'報告書② 第1年度(取組）'!$C$6:$F$35,4,0)),"-------"))</f>
        <v/>
      </c>
      <c r="G25" s="26"/>
      <c r="H25" s="26"/>
    </row>
    <row r="26" spans="1:8" ht="65.25" hidden="1" customHeight="1">
      <c r="A26" s="21">
        <v>21</v>
      </c>
      <c r="B26" s="35" t="s">
        <v>97</v>
      </c>
      <c r="C26" s="35"/>
      <c r="D26" s="35"/>
      <c r="E26" s="24" t="str">
        <f>IF('計画書② (取組）'!E25="","",'計画書② (取組）'!E25)</f>
        <v/>
      </c>
      <c r="F26" s="25" t="str">
        <f>IF(C26="","",IFERROR(IF(VLOOKUP(C26,'報告書② 第1年度(取組）'!$C$6:$F$35,4,0)="","未入力",VLOOKUP(C26,'報告書② 第1年度(取組）'!$C$6:$F$35,4,0)),"-------"))</f>
        <v/>
      </c>
      <c r="G26" s="26"/>
      <c r="H26" s="26"/>
    </row>
    <row r="27" spans="1:8" ht="65.25" hidden="1" customHeight="1">
      <c r="A27" s="21">
        <v>22</v>
      </c>
      <c r="B27" s="35" t="s">
        <v>97</v>
      </c>
      <c r="C27" s="35"/>
      <c r="D27" s="35"/>
      <c r="E27" s="24" t="str">
        <f>IF('計画書② (取組）'!E26="","",'計画書② (取組）'!E26)</f>
        <v/>
      </c>
      <c r="F27" s="25" t="str">
        <f>IF(C27="","",IFERROR(IF(VLOOKUP(C27,'報告書② 第1年度(取組）'!$C$6:$F$35,4,0)="","未入力",VLOOKUP(C27,'報告書② 第1年度(取組）'!$C$6:$F$35,4,0)),"-------"))</f>
        <v/>
      </c>
      <c r="G27" s="26"/>
      <c r="H27" s="26"/>
    </row>
    <row r="28" spans="1:8" ht="65.25" hidden="1" customHeight="1">
      <c r="A28" s="21">
        <v>23</v>
      </c>
      <c r="B28" s="35" t="s">
        <v>98</v>
      </c>
      <c r="C28" s="35"/>
      <c r="D28" s="35"/>
      <c r="E28" s="24" t="str">
        <f>IF('計画書② (取組）'!E27="","",'計画書② (取組）'!E27)</f>
        <v/>
      </c>
      <c r="F28" s="25" t="str">
        <f>IF(C28="","",IFERROR(IF(VLOOKUP(C28,'報告書② 第1年度(取組）'!$C$6:$F$35,4,0)="","未入力",VLOOKUP(C28,'報告書② 第1年度(取組）'!$C$6:$F$35,4,0)),"-------"))</f>
        <v/>
      </c>
      <c r="G28" s="26"/>
      <c r="H28" s="26"/>
    </row>
    <row r="29" spans="1:8" ht="65.25" hidden="1" customHeight="1">
      <c r="A29" s="21">
        <v>24</v>
      </c>
      <c r="B29" s="35" t="s">
        <v>98</v>
      </c>
      <c r="C29" s="35"/>
      <c r="D29" s="35"/>
      <c r="E29" s="24" t="str">
        <f>IF('計画書② (取組）'!E28="","",'計画書② (取組）'!E28)</f>
        <v/>
      </c>
      <c r="F29" s="25" t="str">
        <f>IF(C29="","",IFERROR(IF(VLOOKUP(C29,'報告書② 第1年度(取組）'!$C$6:$F$35,4,0)="","未入力",VLOOKUP(C29,'報告書② 第1年度(取組）'!$C$6:$F$35,4,0)),"-------"))</f>
        <v/>
      </c>
      <c r="G29" s="26"/>
      <c r="H29" s="26"/>
    </row>
    <row r="30" spans="1:8" ht="65.25" hidden="1" customHeight="1">
      <c r="A30" s="21">
        <v>25</v>
      </c>
      <c r="B30" s="35" t="s">
        <v>99</v>
      </c>
      <c r="C30" s="35"/>
      <c r="D30" s="35"/>
      <c r="E30" s="24" t="str">
        <f>IF('計画書② (取組）'!E29="","",'計画書② (取組）'!E29)</f>
        <v/>
      </c>
      <c r="F30" s="25" t="str">
        <f>IF(C30="","",IFERROR(IF(VLOOKUP(C30,'報告書② 第1年度(取組）'!$C$6:$F$35,4,0)="","未入力",VLOOKUP(C30,'報告書② 第1年度(取組）'!$C$6:$F$35,4,0)),"-------"))</f>
        <v/>
      </c>
      <c r="G30" s="26"/>
      <c r="H30" s="26"/>
    </row>
    <row r="31" spans="1:8" ht="65.25" hidden="1" customHeight="1">
      <c r="A31" s="21">
        <v>26</v>
      </c>
      <c r="B31" s="35" t="s">
        <v>100</v>
      </c>
      <c r="C31" s="35"/>
      <c r="D31" s="35"/>
      <c r="E31" s="24" t="str">
        <f>IF('計画書② (取組）'!E30="","",'計画書② (取組）'!E30)</f>
        <v/>
      </c>
      <c r="F31" s="25" t="str">
        <f>IF(C31="","",IFERROR(IF(VLOOKUP(C31,'報告書② 第1年度(取組）'!$C$6:$F$35,4,0)="","未入力",VLOOKUP(C31,'報告書② 第1年度(取組）'!$C$6:$F$35,4,0)),"-------"))</f>
        <v/>
      </c>
      <c r="G31" s="26"/>
      <c r="H31" s="26"/>
    </row>
    <row r="32" spans="1:8" ht="65.25" hidden="1" customHeight="1">
      <c r="A32" s="21">
        <v>27</v>
      </c>
      <c r="B32" s="35" t="s">
        <v>101</v>
      </c>
      <c r="C32" s="35"/>
      <c r="D32" s="35"/>
      <c r="E32" s="24" t="str">
        <f>IF('計画書② (取組）'!E31="","",'計画書② (取組）'!E31)</f>
        <v/>
      </c>
      <c r="F32" s="25" t="str">
        <f>IF(C32="","",IFERROR(IF(VLOOKUP(C32,'報告書② 第1年度(取組）'!$C$6:$F$35,4,0)="","未入力",VLOOKUP(C32,'報告書② 第1年度(取組）'!$C$6:$F$35,4,0)),"-------"))</f>
        <v/>
      </c>
      <c r="G32" s="26"/>
      <c r="H32" s="26"/>
    </row>
    <row r="33" spans="1:9" ht="65.25" hidden="1" customHeight="1">
      <c r="A33" s="21">
        <v>28</v>
      </c>
      <c r="B33" s="35" t="s">
        <v>102</v>
      </c>
      <c r="C33" s="35"/>
      <c r="D33" s="35"/>
      <c r="E33" s="24" t="str">
        <f>IF('計画書② (取組）'!E32="","",'計画書② (取組）'!E32)</f>
        <v/>
      </c>
      <c r="F33" s="25" t="str">
        <f>IF(C33="","",IFERROR(IF(VLOOKUP(C33,'報告書② 第1年度(取組）'!$C$6:$F$35,4,0)="","未入力",VLOOKUP(C33,'報告書② 第1年度(取組）'!$C$6:$F$35,4,0)),"-------"))</f>
        <v/>
      </c>
      <c r="G33" s="26"/>
      <c r="H33" s="26"/>
    </row>
    <row r="34" spans="1:9" ht="65.25" hidden="1" customHeight="1">
      <c r="A34" s="21">
        <v>29</v>
      </c>
      <c r="B34" s="35" t="s">
        <v>3098</v>
      </c>
      <c r="C34" s="35"/>
      <c r="D34" s="35"/>
      <c r="E34" s="24" t="str">
        <f>IF('計画書② (取組）'!E33="","",'計画書② (取組）'!E33)</f>
        <v/>
      </c>
      <c r="F34" s="25" t="str">
        <f>IF(C34="","",IFERROR(IF(VLOOKUP(C34,'報告書② 第1年度(取組）'!$C$6:$F$35,4,0)="","未入力",VLOOKUP(C34,'報告書② 第1年度(取組）'!$C$6:$F$35,4,0)),"-------"))</f>
        <v/>
      </c>
      <c r="G34" s="26"/>
      <c r="H34" s="26"/>
    </row>
    <row r="35" spans="1:9" ht="65.25" hidden="1" customHeight="1">
      <c r="A35" s="21">
        <v>30</v>
      </c>
      <c r="B35" s="35" t="s">
        <v>3098</v>
      </c>
      <c r="C35" s="35"/>
      <c r="D35" s="35"/>
      <c r="E35" s="24" t="str">
        <f>IF('計画書② (取組）'!E34="","",'計画書② (取組）'!E34)</f>
        <v/>
      </c>
      <c r="F35" s="25" t="str">
        <f>IF(C35="","",IFERROR(IF(VLOOKUP(C35,'報告書② 第1年度(取組）'!$C$6:$F$35,4,0)="","未入力",VLOOKUP(C35,'報告書② 第1年度(取組）'!$C$6:$F$35,4,0)),"-------"))</f>
        <v/>
      </c>
      <c r="G35" s="26"/>
      <c r="H35" s="26"/>
    </row>
    <row r="37" spans="1:9">
      <c r="A37" s="12" t="s">
        <v>4129</v>
      </c>
    </row>
    <row r="38" spans="1:9" ht="90" customHeight="1">
      <c r="A38" s="808" t="s">
        <v>4096</v>
      </c>
      <c r="B38" s="808"/>
      <c r="C38" s="808"/>
      <c r="D38" s="810" t="str">
        <f>'報告書② 第1年度(取組）'!D38&amp;""</f>
        <v/>
      </c>
      <c r="E38" s="810"/>
      <c r="F38" s="810"/>
    </row>
    <row r="39" spans="1:9" ht="90" customHeight="1">
      <c r="A39" s="808" t="s">
        <v>4101</v>
      </c>
      <c r="B39" s="808"/>
      <c r="C39" s="808"/>
      <c r="D39" s="904"/>
      <c r="E39" s="904"/>
      <c r="F39" s="904"/>
    </row>
    <row r="40" spans="1:9" ht="40.5" hidden="1" customHeight="1">
      <c r="A40" s="808" t="s">
        <v>4102</v>
      </c>
      <c r="B40" s="808"/>
      <c r="C40" s="808"/>
      <c r="D40" s="904"/>
      <c r="E40" s="904"/>
      <c r="F40" s="904"/>
    </row>
    <row r="41" spans="1:9" ht="28.35" customHeight="1"/>
    <row r="42" spans="1:9">
      <c r="A42" s="14" t="s">
        <v>4177</v>
      </c>
      <c r="B42" s="14"/>
    </row>
    <row r="43" spans="1:9" ht="13.35" customHeight="1">
      <c r="A43" s="905" t="s">
        <v>88</v>
      </c>
      <c r="B43" s="906" t="s">
        <v>91</v>
      </c>
      <c r="C43" s="903" t="s">
        <v>89</v>
      </c>
      <c r="D43" s="903" t="s">
        <v>90</v>
      </c>
      <c r="E43" s="642" t="s">
        <v>4110</v>
      </c>
      <c r="F43" s="908"/>
      <c r="G43" s="643"/>
      <c r="H43" s="18"/>
    </row>
    <row r="44" spans="1:9" ht="33" customHeight="1">
      <c r="A44" s="905"/>
      <c r="B44" s="906"/>
      <c r="C44" s="903"/>
      <c r="D44" s="903"/>
      <c r="E44" s="20" t="s">
        <v>4104</v>
      </c>
      <c r="F44" s="20" t="s">
        <v>4096</v>
      </c>
      <c r="G44" s="20" t="s">
        <v>4101</v>
      </c>
      <c r="H44" s="20" t="s">
        <v>4102</v>
      </c>
      <c r="I44" s="37"/>
    </row>
    <row r="45" spans="1:9" ht="65.25" customHeight="1">
      <c r="A45" s="15">
        <v>1</v>
      </c>
      <c r="B45" s="40"/>
      <c r="C45" s="41" t="str">
        <f>対策リスト!AU2&amp;""</f>
        <v/>
      </c>
      <c r="D45" s="23" t="str">
        <f>IFERROR(VLOOKUP(C45,選択対策,2,0),"")</f>
        <v/>
      </c>
      <c r="E45" s="24" t="str">
        <f>IF(C45="","",IFERROR(IF(VLOOKUP(C45,'報告書② 第1年度(取組）'!$C$45:$F$64,3,0)="","未入力",VLOOKUP(C45,'報告書② 第1年度(取組）'!$C$45:$F$64,3,0)),"-------"))</f>
        <v/>
      </c>
      <c r="F45" s="25" t="str">
        <f>IF(C45="","",IFERROR(IF(VLOOKUP(C45,'報告書② 第1年度(取組）'!$C$45:$F$64,4,0)="","未入力",VLOOKUP(C45,'報告書② 第1年度(取組）'!$C$45:$F$64,4,0)),"-------"))</f>
        <v/>
      </c>
      <c r="G45" s="26"/>
      <c r="H45" s="26"/>
      <c r="I45" s="42"/>
    </row>
    <row r="46" spans="1:9" ht="65.25" customHeight="1">
      <c r="A46" s="15">
        <v>2</v>
      </c>
      <c r="B46" s="40"/>
      <c r="C46" s="41" t="str">
        <f>対策リスト!AU3&amp;""</f>
        <v/>
      </c>
      <c r="D46" s="23" t="str">
        <f t="shared" ref="D46:D59" si="0">IFERROR(VLOOKUP(C46,選択対策,2,0),"")</f>
        <v/>
      </c>
      <c r="E46" s="24" t="str">
        <f>IF(C46="","",IFERROR(IF(VLOOKUP(C46,'報告書② 第1年度(取組）'!$C$45:$F$64,3,0)="","未入力",VLOOKUP(C46,'報告書② 第1年度(取組）'!$C$45:$F$64,3,0)),"-------"))</f>
        <v/>
      </c>
      <c r="F46" s="25" t="str">
        <f>IF(C46="","",IFERROR(IF(VLOOKUP(C46,'報告書② 第1年度(取組）'!$C$45:$F$64,4,0)="","未入力",VLOOKUP(C46,'報告書② 第1年度(取組）'!$C$45:$F$64,4,0)),"-------"))</f>
        <v/>
      </c>
      <c r="G46" s="26"/>
      <c r="H46" s="26"/>
      <c r="I46" s="42"/>
    </row>
    <row r="47" spans="1:9" ht="65.25" customHeight="1">
      <c r="A47" s="15">
        <v>3</v>
      </c>
      <c r="B47" s="40"/>
      <c r="C47" s="41" t="str">
        <f>対策リスト!AU4&amp;""</f>
        <v/>
      </c>
      <c r="D47" s="23" t="str">
        <f t="shared" si="0"/>
        <v/>
      </c>
      <c r="E47" s="24" t="str">
        <f>IF(C47="","",IFERROR(IF(VLOOKUP(C47,'報告書② 第1年度(取組）'!$C$45:$F$64,3,0)="","未入力",VLOOKUP(C47,'報告書② 第1年度(取組）'!$C$45:$F$64,3,0)),"-------"))</f>
        <v/>
      </c>
      <c r="F47" s="25" t="str">
        <f>IF(C47="","",IFERROR(IF(VLOOKUP(C47,'報告書② 第1年度(取組）'!$C$45:$F$64,4,0)="","未入力",VLOOKUP(C47,'報告書② 第1年度(取組）'!$C$45:$F$64,4,0)),"-------"))</f>
        <v/>
      </c>
      <c r="G47" s="26"/>
      <c r="H47" s="26"/>
      <c r="I47" s="42"/>
    </row>
    <row r="48" spans="1:9" ht="65.25" customHeight="1">
      <c r="A48" s="15">
        <v>4</v>
      </c>
      <c r="B48" s="40"/>
      <c r="C48" s="41" t="str">
        <f>対策リスト!AU5&amp;""</f>
        <v/>
      </c>
      <c r="D48" s="23" t="str">
        <f t="shared" si="0"/>
        <v/>
      </c>
      <c r="E48" s="24" t="str">
        <f>IF(C48="","",IFERROR(IF(VLOOKUP(C48,'報告書② 第1年度(取組）'!$C$45:$F$64,3,0)="","未入力",VLOOKUP(C48,'報告書② 第1年度(取組）'!$C$45:$F$64,3,0)),"-------"))</f>
        <v/>
      </c>
      <c r="F48" s="25" t="str">
        <f>IF(C48="","",IFERROR(IF(VLOOKUP(C48,'報告書② 第1年度(取組）'!$C$45:$F$64,4,0)="","未入力",VLOOKUP(C48,'報告書② 第1年度(取組）'!$C$45:$F$64,4,0)),"-------"))</f>
        <v/>
      </c>
      <c r="G48" s="26"/>
      <c r="H48" s="26"/>
      <c r="I48" s="42"/>
    </row>
    <row r="49" spans="1:9" ht="65.25" customHeight="1">
      <c r="A49" s="15">
        <v>5</v>
      </c>
      <c r="B49" s="40"/>
      <c r="C49" s="41" t="str">
        <f>対策リスト!AU6&amp;""</f>
        <v/>
      </c>
      <c r="D49" s="23" t="str">
        <f t="shared" si="0"/>
        <v/>
      </c>
      <c r="E49" s="24" t="str">
        <f>IF(C49="","",IFERROR(IF(VLOOKUP(C49,'報告書② 第1年度(取組）'!$C$45:$F$64,3,0)="","未入力",VLOOKUP(C49,'報告書② 第1年度(取組）'!$C$45:$F$64,3,0)),"-------"))</f>
        <v/>
      </c>
      <c r="F49" s="25" t="str">
        <f>IF(C49="","",IFERROR(IF(VLOOKUP(C49,'報告書② 第1年度(取組）'!$C$45:$F$64,4,0)="","未入力",VLOOKUP(C49,'報告書② 第1年度(取組）'!$C$45:$F$64,4,0)),"-------"))</f>
        <v/>
      </c>
      <c r="G49" s="26"/>
      <c r="H49" s="26"/>
      <c r="I49" s="42"/>
    </row>
    <row r="50" spans="1:9" ht="65.25" customHeight="1">
      <c r="A50" s="15">
        <v>6</v>
      </c>
      <c r="B50" s="40"/>
      <c r="C50" s="41" t="str">
        <f>対策リスト!AU7&amp;""</f>
        <v/>
      </c>
      <c r="D50" s="23" t="str">
        <f t="shared" si="0"/>
        <v/>
      </c>
      <c r="E50" s="24" t="str">
        <f>IF(C50="","",IFERROR(IF(VLOOKUP(C50,'報告書② 第1年度(取組）'!$C$45:$F$64,3,0)="","未入力",VLOOKUP(C50,'報告書② 第1年度(取組）'!$C$45:$F$64,3,0)),"-------"))</f>
        <v/>
      </c>
      <c r="F50" s="25" t="str">
        <f>IF(C50="","",IFERROR(IF(VLOOKUP(C50,'報告書② 第1年度(取組）'!$C$45:$F$64,4,0)="","未入力",VLOOKUP(C50,'報告書② 第1年度(取組）'!$C$45:$F$64,4,0)),"-------"))</f>
        <v/>
      </c>
      <c r="G50" s="26"/>
      <c r="H50" s="26"/>
      <c r="I50" s="42"/>
    </row>
    <row r="51" spans="1:9" ht="65.25" customHeight="1">
      <c r="A51" s="15">
        <v>7</v>
      </c>
      <c r="B51" s="40"/>
      <c r="C51" s="41" t="str">
        <f>対策リスト!AU8&amp;""</f>
        <v/>
      </c>
      <c r="D51" s="23" t="str">
        <f t="shared" si="0"/>
        <v/>
      </c>
      <c r="E51" s="24" t="str">
        <f>IF(C51="","",IFERROR(IF(VLOOKUP(C51,'報告書② 第1年度(取組）'!$C$45:$F$64,3,0)="","未入力",VLOOKUP(C51,'報告書② 第1年度(取組）'!$C$45:$F$64,3,0)),"-------"))</f>
        <v/>
      </c>
      <c r="F51" s="25" t="str">
        <f>IF(C51="","",IFERROR(IF(VLOOKUP(C51,'報告書② 第1年度(取組）'!$C$45:$F$64,4,0)="","未入力",VLOOKUP(C51,'報告書② 第1年度(取組）'!$C$45:$F$64,4,0)),"-------"))</f>
        <v/>
      </c>
      <c r="G51" s="26"/>
      <c r="H51" s="26"/>
      <c r="I51" s="42"/>
    </row>
    <row r="52" spans="1:9" ht="65.25" customHeight="1">
      <c r="A52" s="15">
        <v>8</v>
      </c>
      <c r="B52" s="40"/>
      <c r="C52" s="41" t="str">
        <f>対策リスト!AU9&amp;""</f>
        <v/>
      </c>
      <c r="D52" s="23" t="str">
        <f t="shared" si="0"/>
        <v/>
      </c>
      <c r="E52" s="24" t="str">
        <f>IF(C52="","",IFERROR(IF(VLOOKUP(C52,'報告書② 第1年度(取組）'!$C$45:$F$64,3,0)="","未入力",VLOOKUP(C52,'報告書② 第1年度(取組）'!$C$45:$F$64,3,0)),"-------"))</f>
        <v/>
      </c>
      <c r="F52" s="25" t="str">
        <f>IF(C52="","",IFERROR(IF(VLOOKUP(C52,'報告書② 第1年度(取組）'!$C$45:$F$64,4,0)="","未入力",VLOOKUP(C52,'報告書② 第1年度(取組）'!$C$45:$F$64,4,0)),"-------"))</f>
        <v/>
      </c>
      <c r="G52" s="26"/>
      <c r="H52" s="26"/>
      <c r="I52" s="42"/>
    </row>
    <row r="53" spans="1:9" ht="65.25" customHeight="1">
      <c r="A53" s="15">
        <v>9</v>
      </c>
      <c r="B53" s="40"/>
      <c r="C53" s="41" t="str">
        <f>対策リスト!AU10&amp;""</f>
        <v/>
      </c>
      <c r="D53" s="23" t="str">
        <f t="shared" si="0"/>
        <v/>
      </c>
      <c r="E53" s="24" t="str">
        <f>IF(C53="","",IFERROR(IF(VLOOKUP(C53,'報告書② 第1年度(取組）'!$C$45:$F$64,3,0)="","未入力",VLOOKUP(C53,'報告書② 第1年度(取組）'!$C$45:$F$64,3,0)),"-------"))</f>
        <v/>
      </c>
      <c r="F53" s="25" t="str">
        <f>IF(C53="","",IFERROR(IF(VLOOKUP(C53,'報告書② 第1年度(取組）'!$C$45:$F$64,4,0)="","未入力",VLOOKUP(C53,'報告書② 第1年度(取組）'!$C$45:$F$64,4,0)),"-------"))</f>
        <v/>
      </c>
      <c r="G53" s="26"/>
      <c r="H53" s="26"/>
      <c r="I53" s="42"/>
    </row>
    <row r="54" spans="1:9" ht="65.25" customHeight="1">
      <c r="A54" s="15">
        <v>10</v>
      </c>
      <c r="B54" s="40"/>
      <c r="C54" s="41" t="str">
        <f>対策リスト!AU11&amp;""</f>
        <v/>
      </c>
      <c r="D54" s="23" t="str">
        <f t="shared" si="0"/>
        <v/>
      </c>
      <c r="E54" s="24" t="str">
        <f>IF(C54="","",IFERROR(IF(VLOOKUP(C54,'報告書② 第1年度(取組）'!$C$45:$F$64,3,0)="","未入力",VLOOKUP(C54,'報告書② 第1年度(取組）'!$C$45:$F$64,3,0)),"-------"))</f>
        <v/>
      </c>
      <c r="F54" s="25" t="str">
        <f>IF(C54="","",IFERROR(IF(VLOOKUP(C54,'報告書② 第1年度(取組）'!$C$45:$F$64,4,0)="","未入力",VLOOKUP(C54,'報告書② 第1年度(取組）'!$C$45:$F$64,4,0)),"-------"))</f>
        <v/>
      </c>
      <c r="G54" s="26"/>
      <c r="H54" s="26"/>
      <c r="I54" s="42"/>
    </row>
    <row r="55" spans="1:9" ht="65.25" customHeight="1">
      <c r="A55" s="15">
        <v>11</v>
      </c>
      <c r="B55" s="40"/>
      <c r="C55" s="41" t="str">
        <f>対策リスト!AU12&amp;""</f>
        <v/>
      </c>
      <c r="D55" s="23" t="str">
        <f t="shared" si="0"/>
        <v/>
      </c>
      <c r="E55" s="24" t="str">
        <f>IF(C55="","",IFERROR(IF(VLOOKUP(C55,'報告書② 第1年度(取組）'!$C$45:$F$64,3,0)="","未入力",VLOOKUP(C55,'報告書② 第1年度(取組）'!$C$45:$F$64,3,0)),"-------"))</f>
        <v/>
      </c>
      <c r="F55" s="25" t="str">
        <f>IF(C55="","",IFERROR(IF(VLOOKUP(C55,'報告書② 第1年度(取組）'!$C$45:$F$64,4,0)="","未入力",VLOOKUP(C55,'報告書② 第1年度(取組）'!$C$45:$F$64,4,0)),"-------"))</f>
        <v/>
      </c>
      <c r="G55" s="26"/>
      <c r="H55" s="26"/>
      <c r="I55" s="42"/>
    </row>
    <row r="56" spans="1:9" ht="65.25" customHeight="1">
      <c r="A56" s="15">
        <v>12</v>
      </c>
      <c r="B56" s="40"/>
      <c r="C56" s="41" t="str">
        <f>対策リスト!AU13&amp;""</f>
        <v/>
      </c>
      <c r="D56" s="23" t="str">
        <f t="shared" si="0"/>
        <v/>
      </c>
      <c r="E56" s="24" t="str">
        <f>IF(C56="","",IFERROR(IF(VLOOKUP(C56,'報告書② 第1年度(取組）'!$C$45:$F$64,3,0)="","未入力",VLOOKUP(C56,'報告書② 第1年度(取組）'!$C$45:$F$64,3,0)),"-------"))</f>
        <v/>
      </c>
      <c r="F56" s="25" t="str">
        <f>IF(C56="","",IFERROR(IF(VLOOKUP(C56,'報告書② 第1年度(取組）'!$C$45:$F$64,4,0)="","未入力",VLOOKUP(C56,'報告書② 第1年度(取組）'!$C$45:$F$64,4,0)),"-------"))</f>
        <v/>
      </c>
      <c r="G56" s="26"/>
      <c r="H56" s="26"/>
      <c r="I56" s="42"/>
    </row>
    <row r="57" spans="1:9" ht="65.25" customHeight="1">
      <c r="A57" s="15">
        <v>13</v>
      </c>
      <c r="B57" s="40"/>
      <c r="C57" s="41" t="str">
        <f>対策リスト!AU14&amp;""</f>
        <v/>
      </c>
      <c r="D57" s="23" t="str">
        <f t="shared" si="0"/>
        <v/>
      </c>
      <c r="E57" s="24" t="str">
        <f>IF(C57="","",IFERROR(IF(VLOOKUP(C57,'報告書② 第1年度(取組）'!$C$45:$F$64,3,0)="","未入力",VLOOKUP(C57,'報告書② 第1年度(取組）'!$C$45:$F$64,3,0)),"-------"))</f>
        <v/>
      </c>
      <c r="F57" s="25" t="str">
        <f>IF(C57="","",IFERROR(IF(VLOOKUP(C57,'報告書② 第1年度(取組）'!$C$45:$F$64,4,0)="","未入力",VLOOKUP(C57,'報告書② 第1年度(取組）'!$C$45:$F$64,4,0)),"-------"))</f>
        <v/>
      </c>
      <c r="G57" s="26"/>
      <c r="H57" s="26"/>
      <c r="I57" s="42"/>
    </row>
    <row r="58" spans="1:9" ht="65.25" customHeight="1">
      <c r="A58" s="15">
        <v>14</v>
      </c>
      <c r="B58" s="40"/>
      <c r="C58" s="41" t="str">
        <f>対策リスト!AU15&amp;""</f>
        <v/>
      </c>
      <c r="D58" s="23" t="str">
        <f t="shared" si="0"/>
        <v/>
      </c>
      <c r="E58" s="24" t="str">
        <f>IF(C58="","",IFERROR(IF(VLOOKUP(C58,'報告書② 第1年度(取組）'!$C$45:$F$64,3,0)="","未入力",VLOOKUP(C58,'報告書② 第1年度(取組）'!$C$45:$F$64,3,0)),"-------"))</f>
        <v/>
      </c>
      <c r="F58" s="25" t="str">
        <f>IF(C58="","",IFERROR(IF(VLOOKUP(C58,'報告書② 第1年度(取組）'!$C$45:$F$64,4,0)="","未入力",VLOOKUP(C58,'報告書② 第1年度(取組）'!$C$45:$F$64,4,0)),"-------"))</f>
        <v/>
      </c>
      <c r="G58" s="26"/>
      <c r="H58" s="26"/>
      <c r="I58" s="42"/>
    </row>
    <row r="59" spans="1:9" ht="65.25" customHeight="1">
      <c r="A59" s="15">
        <v>15</v>
      </c>
      <c r="B59" s="40"/>
      <c r="C59" s="41" t="str">
        <f>対策リスト!AU16&amp;""</f>
        <v/>
      </c>
      <c r="D59" s="23" t="str">
        <f t="shared" si="0"/>
        <v/>
      </c>
      <c r="E59" s="24" t="str">
        <f>IF(C59="","",IFERROR(IF(VLOOKUP(C59,'報告書② 第1年度(取組）'!$C$45:$F$64,3,0)="","未入力",VLOOKUP(C59,'報告書② 第1年度(取組）'!$C$45:$F$64,3,0)),"-------"))</f>
        <v/>
      </c>
      <c r="F59" s="25" t="str">
        <f>IF(C59="","",IFERROR(IF(VLOOKUP(C59,'報告書② 第1年度(取組）'!$C$45:$F$64,4,0)="","未入力",VLOOKUP(C59,'報告書② 第1年度(取組）'!$C$45:$F$64,4,0)),"-------"))</f>
        <v/>
      </c>
      <c r="G59" s="26"/>
      <c r="H59" s="26"/>
      <c r="I59" s="42"/>
    </row>
    <row r="60" spans="1:9" ht="65.25" customHeight="1">
      <c r="A60" s="15">
        <v>16</v>
      </c>
      <c r="B60" s="40"/>
      <c r="C60" s="41" t="str">
        <f>対策リスト!AU17&amp;""</f>
        <v/>
      </c>
      <c r="D60" s="23" t="str">
        <f>IFERROR(VLOOKUP(C60,選択対策,2,0),"")</f>
        <v/>
      </c>
      <c r="E60" s="24" t="str">
        <f>IF(C60="","",IFERROR(IF(VLOOKUP(C60,'報告書② 第1年度(取組）'!$C$45:$F$64,3,0)="","未入力",VLOOKUP(C60,'報告書② 第1年度(取組）'!$C$45:$F$64,3,0)),"-------"))</f>
        <v/>
      </c>
      <c r="F60" s="25" t="str">
        <f>IF(C60="","",IFERROR(IF(VLOOKUP(C60,'報告書② 第1年度(取組）'!$C$45:$F$64,4,0)="","未入力",VLOOKUP(C60,'報告書② 第1年度(取組）'!$C$45:$F$64,4,0)),"-------"))</f>
        <v/>
      </c>
      <c r="G60" s="26"/>
      <c r="H60" s="26"/>
      <c r="I60" s="42"/>
    </row>
    <row r="61" spans="1:9" ht="65.25" customHeight="1">
      <c r="A61" s="15">
        <v>17</v>
      </c>
      <c r="B61" s="40"/>
      <c r="C61" s="41" t="str">
        <f>対策リスト!AU18&amp;""</f>
        <v/>
      </c>
      <c r="D61" s="23" t="str">
        <f>IFERROR(VLOOKUP(C61,選択対策,2,0),"")</f>
        <v/>
      </c>
      <c r="E61" s="24" t="str">
        <f>IF(C61="","",IFERROR(IF(VLOOKUP(C61,'報告書② 第1年度(取組）'!$C$45:$F$64,3,0)="","未入力",VLOOKUP(C61,'報告書② 第1年度(取組）'!$C$45:$F$64,3,0)),"-------"))</f>
        <v/>
      </c>
      <c r="F61" s="25" t="str">
        <f>IF(C61="","",IFERROR(IF(VLOOKUP(C61,'報告書② 第1年度(取組）'!$C$45:$F$64,4,0)="","未入力",VLOOKUP(C61,'報告書② 第1年度(取組）'!$C$45:$F$64,4,0)),"-------"))</f>
        <v/>
      </c>
      <c r="G61" s="26"/>
      <c r="H61" s="26"/>
      <c r="I61" s="42"/>
    </row>
    <row r="62" spans="1:9" ht="65.25" customHeight="1">
      <c r="A62" s="15">
        <v>18</v>
      </c>
      <c r="B62" s="40"/>
      <c r="C62" s="41" t="str">
        <f>対策リスト!AU19&amp;""</f>
        <v/>
      </c>
      <c r="D62" s="23" t="str">
        <f>IFERROR(VLOOKUP(C62,選択対策,2,0),"")</f>
        <v/>
      </c>
      <c r="E62" s="24" t="str">
        <f>IF(C62="","",IFERROR(IF(VLOOKUP(C62,'報告書② 第1年度(取組）'!$C$45:$F$64,3,0)="","未入力",VLOOKUP(C62,'報告書② 第1年度(取組）'!$C$45:$F$64,3,0)),"-------"))</f>
        <v/>
      </c>
      <c r="F62" s="25" t="str">
        <f>IF(C62="","",IFERROR(IF(VLOOKUP(C62,'報告書② 第1年度(取組）'!$C$45:$F$64,4,0)="","未入力",VLOOKUP(C62,'報告書② 第1年度(取組）'!$C$45:$F$64,4,0)),"-------"))</f>
        <v/>
      </c>
      <c r="G62" s="26"/>
      <c r="H62" s="26"/>
      <c r="I62" s="42"/>
    </row>
    <row r="63" spans="1:9" ht="65.25" customHeight="1">
      <c r="A63" s="15">
        <v>19</v>
      </c>
      <c r="B63" s="40"/>
      <c r="C63" s="41" t="str">
        <f>対策リスト!AU20&amp;""</f>
        <v/>
      </c>
      <c r="D63" s="23" t="str">
        <f>IFERROR(VLOOKUP(C63,選択対策,2,0),"")</f>
        <v/>
      </c>
      <c r="E63" s="24" t="str">
        <f>IF(C63="","",IFERROR(IF(VLOOKUP(C63,'報告書② 第1年度(取組）'!$C$45:$F$64,3,0)="","未入力",VLOOKUP(C63,'報告書② 第1年度(取組）'!$C$45:$F$64,3,0)),"-------"))</f>
        <v/>
      </c>
      <c r="F63" s="25" t="str">
        <f>IF(C63="","",IFERROR(IF(VLOOKUP(C63,'報告書② 第1年度(取組）'!$C$45:$F$64,4,0)="","未入力",VLOOKUP(C63,'報告書② 第1年度(取組）'!$C$45:$F$64,4,0)),"-------"))</f>
        <v/>
      </c>
      <c r="G63" s="26"/>
      <c r="H63" s="26"/>
      <c r="I63" s="42"/>
    </row>
    <row r="64" spans="1:9" ht="65.25" customHeight="1">
      <c r="A64" s="15">
        <v>20</v>
      </c>
      <c r="B64" s="40"/>
      <c r="C64" s="41" t="str">
        <f>対策リスト!AU21&amp;""</f>
        <v/>
      </c>
      <c r="D64" s="23" t="str">
        <f>IFERROR(VLOOKUP(C64,選択対策,2,0),"")</f>
        <v/>
      </c>
      <c r="E64" s="24" t="str">
        <f>IF(C64="","",IFERROR(IF(VLOOKUP(C64,'報告書② 第1年度(取組）'!$C$45:$F$64,3,0)="","未入力",VLOOKUP(C64,'報告書② 第1年度(取組）'!$C$45:$F$64,3,0)),"-------"))</f>
        <v/>
      </c>
      <c r="F64" s="25" t="str">
        <f>IF(C64="","",IFERROR(IF(VLOOKUP(C64,'報告書② 第1年度(取組）'!$C$45:$F$64,4,0)="","未入力",VLOOKUP(C64,'報告書② 第1年度(取組）'!$C$45:$F$64,4,0)),"-------"))</f>
        <v/>
      </c>
      <c r="G64" s="26"/>
      <c r="H64" s="26"/>
      <c r="I64" s="42"/>
    </row>
    <row r="67" spans="1:9">
      <c r="A67" s="14" t="s">
        <v>4178</v>
      </c>
      <c r="B67" s="14"/>
    </row>
    <row r="68" spans="1:9" ht="13.35" customHeight="1">
      <c r="A68" s="905" t="s">
        <v>88</v>
      </c>
      <c r="B68" s="645" t="s">
        <v>89</v>
      </c>
      <c r="C68" s="645"/>
      <c r="D68" s="645" t="s">
        <v>4897</v>
      </c>
      <c r="E68" s="642" t="s">
        <v>4110</v>
      </c>
      <c r="F68" s="908"/>
      <c r="G68" s="643"/>
      <c r="H68" s="18"/>
    </row>
    <row r="69" spans="1:9" ht="33" customHeight="1">
      <c r="A69" s="905"/>
      <c r="B69" s="645"/>
      <c r="C69" s="645"/>
      <c r="D69" s="645"/>
      <c r="E69" s="20" t="s">
        <v>4104</v>
      </c>
      <c r="F69" s="20" t="s">
        <v>4096</v>
      </c>
      <c r="G69" s="20" t="s">
        <v>4101</v>
      </c>
      <c r="H69" s="20" t="s">
        <v>4102</v>
      </c>
      <c r="I69" s="42"/>
    </row>
    <row r="70" spans="1:9" ht="65.25" customHeight="1">
      <c r="A70" s="15">
        <v>1</v>
      </c>
      <c r="B70" s="45"/>
      <c r="C70" s="41" t="str">
        <f>対策リスト!BU2&amp;""</f>
        <v/>
      </c>
      <c r="D70" s="41" t="str">
        <f>対策リスト!BX2&amp;""</f>
        <v/>
      </c>
      <c r="E70" s="24" t="str">
        <f>IF(C70="","",IF(対策リスト!CD2="","-------",対策リスト!CD2))</f>
        <v/>
      </c>
      <c r="F70" s="25" t="str">
        <f>IF(C70="","",IF(対策リスト!CC2="","-------",対策リスト!CC2))</f>
        <v/>
      </c>
      <c r="G70" s="26"/>
      <c r="H70" s="26"/>
      <c r="I70" s="42"/>
    </row>
    <row r="71" spans="1:9" ht="65.25" customHeight="1">
      <c r="A71" s="15">
        <v>2</v>
      </c>
      <c r="B71" s="45"/>
      <c r="C71" s="41" t="str">
        <f>対策リスト!BU3&amp;""</f>
        <v/>
      </c>
      <c r="D71" s="41" t="str">
        <f>対策リスト!BX3&amp;""</f>
        <v/>
      </c>
      <c r="E71" s="24" t="str">
        <f>IF(C71="","",IF(対策リスト!CD3="","-------",対策リスト!CD3))</f>
        <v/>
      </c>
      <c r="F71" s="25" t="str">
        <f>IF(C71="","",IF(対策リスト!CC3="","-------",対策リスト!CC3))</f>
        <v/>
      </c>
      <c r="G71" s="26"/>
      <c r="H71" s="26"/>
      <c r="I71" s="42"/>
    </row>
    <row r="72" spans="1:9" ht="65.25" customHeight="1">
      <c r="A72" s="15">
        <v>3</v>
      </c>
      <c r="B72" s="45"/>
      <c r="C72" s="41" t="str">
        <f>対策リスト!BU4&amp;""</f>
        <v/>
      </c>
      <c r="D72" s="41" t="str">
        <f>対策リスト!BX4&amp;""</f>
        <v/>
      </c>
      <c r="E72" s="24" t="str">
        <f>IF(C72="","",IF(対策リスト!CD4="","-------",対策リスト!CD4))</f>
        <v/>
      </c>
      <c r="F72" s="25" t="str">
        <f>IF(C72="","",IF(対策リスト!CC4="","-------",対策リスト!CC4))</f>
        <v/>
      </c>
      <c r="G72" s="26"/>
      <c r="H72" s="26"/>
      <c r="I72" s="42"/>
    </row>
    <row r="73" spans="1:9" ht="65.25" customHeight="1">
      <c r="A73" s="15">
        <v>4</v>
      </c>
      <c r="B73" s="45"/>
      <c r="C73" s="41" t="str">
        <f>対策リスト!BU5&amp;""</f>
        <v/>
      </c>
      <c r="D73" s="41" t="str">
        <f>対策リスト!BX5&amp;""</f>
        <v/>
      </c>
      <c r="E73" s="24" t="str">
        <f>IF(C73="","",IF(対策リスト!CD5="","-------",対策リスト!CD5))</f>
        <v/>
      </c>
      <c r="F73" s="25" t="str">
        <f>IF(C73="","",IF(対策リスト!CC5="","-------",対策リスト!CC5))</f>
        <v/>
      </c>
      <c r="G73" s="26"/>
      <c r="H73" s="26"/>
      <c r="I73" s="42"/>
    </row>
    <row r="74" spans="1:9" ht="65.25" customHeight="1">
      <c r="A74" s="15">
        <v>5</v>
      </c>
      <c r="B74" s="45"/>
      <c r="C74" s="41" t="str">
        <f>対策リスト!BU6&amp;""</f>
        <v/>
      </c>
      <c r="D74" s="41" t="str">
        <f>対策リスト!BX6&amp;""</f>
        <v/>
      </c>
      <c r="E74" s="24" t="str">
        <f>IF(C74="","",IF(対策リスト!CD6="","-------",対策リスト!CD6))</f>
        <v/>
      </c>
      <c r="F74" s="25" t="str">
        <f>IF(C74="","",IF(対策リスト!CC6="","-------",対策リスト!CC6))</f>
        <v/>
      </c>
      <c r="G74" s="26"/>
      <c r="H74" s="26"/>
      <c r="I74" s="42"/>
    </row>
    <row r="75" spans="1:9" ht="65.25" customHeight="1">
      <c r="A75" s="15">
        <v>6</v>
      </c>
      <c r="B75" s="45"/>
      <c r="C75" s="41" t="str">
        <f>対策リスト!BU7&amp;""</f>
        <v/>
      </c>
      <c r="D75" s="41" t="str">
        <f>対策リスト!BX7&amp;""</f>
        <v/>
      </c>
      <c r="E75" s="24" t="str">
        <f>IF(C75="","",IF(対策リスト!CD7="","-------",対策リスト!CD7))</f>
        <v/>
      </c>
      <c r="F75" s="25" t="str">
        <f>IF(C75="","",IF(対策リスト!CC7="","-------",対策リスト!CC7))</f>
        <v/>
      </c>
      <c r="G75" s="26"/>
      <c r="H75" s="26"/>
      <c r="I75" s="42"/>
    </row>
    <row r="76" spans="1:9" ht="65.25" customHeight="1">
      <c r="A76" s="15">
        <v>7</v>
      </c>
      <c r="B76" s="45"/>
      <c r="C76" s="41" t="str">
        <f>対策リスト!BU8&amp;""</f>
        <v/>
      </c>
      <c r="D76" s="41" t="str">
        <f>対策リスト!BX8&amp;""</f>
        <v/>
      </c>
      <c r="E76" s="24" t="str">
        <f>IF(C76="","",IF(対策リスト!CD8="","-------",対策リスト!CD8))</f>
        <v/>
      </c>
      <c r="F76" s="25" t="str">
        <f>IF(C76="","",IF(対策リスト!CC8="","-------",対策リスト!CC8))</f>
        <v/>
      </c>
      <c r="G76" s="26"/>
      <c r="H76" s="26"/>
    </row>
    <row r="77" spans="1:9" ht="65.25" customHeight="1">
      <c r="A77" s="15">
        <v>8</v>
      </c>
      <c r="B77" s="45"/>
      <c r="C77" s="41" t="str">
        <f>対策リスト!BU9&amp;""</f>
        <v/>
      </c>
      <c r="D77" s="41" t="str">
        <f>対策リスト!BX9&amp;""</f>
        <v/>
      </c>
      <c r="E77" s="24" t="str">
        <f>IF(C77="","",IF(対策リスト!CD9="","-------",対策リスト!CD9))</f>
        <v/>
      </c>
      <c r="F77" s="25" t="str">
        <f>IF(C77="","",IF(対策リスト!CC9="","-------",対策リスト!CC9))</f>
        <v/>
      </c>
      <c r="G77" s="26"/>
      <c r="H77" s="26"/>
    </row>
    <row r="78" spans="1:9" ht="65.25" customHeight="1">
      <c r="A78" s="15">
        <v>9</v>
      </c>
      <c r="B78" s="45"/>
      <c r="C78" s="41" t="str">
        <f>対策リスト!BU10&amp;""</f>
        <v/>
      </c>
      <c r="D78" s="41" t="str">
        <f>対策リスト!BX10&amp;""</f>
        <v/>
      </c>
      <c r="E78" s="24" t="str">
        <f>IF(C78="","",IF(対策リスト!CD10="","-------",対策リスト!CD10))</f>
        <v/>
      </c>
      <c r="F78" s="25" t="str">
        <f>IF(C78="","",IF(対策リスト!CC10="","-------",対策リスト!CC10))</f>
        <v/>
      </c>
      <c r="G78" s="26"/>
      <c r="H78" s="26"/>
    </row>
    <row r="79" spans="1:9" ht="65.25" customHeight="1">
      <c r="A79" s="15">
        <v>10</v>
      </c>
      <c r="B79" s="45"/>
      <c r="C79" s="41" t="str">
        <f>対策リスト!BU11&amp;""</f>
        <v/>
      </c>
      <c r="D79" s="41" t="str">
        <f>対策リスト!BX11&amp;""</f>
        <v/>
      </c>
      <c r="E79" s="24" t="str">
        <f>IF(C79="","",IF(対策リスト!CD11="","-------",対策リスト!CD11))</f>
        <v/>
      </c>
      <c r="F79" s="25" t="str">
        <f>IF(C79="","",IF(対策リスト!CC11="","-------",対策リスト!CC11))</f>
        <v/>
      </c>
      <c r="G79" s="26"/>
      <c r="H79" s="26"/>
    </row>
    <row r="90" spans="1:3">
      <c r="C90" s="12" t="s">
        <v>4893</v>
      </c>
    </row>
    <row r="91" spans="1:3">
      <c r="A91" s="12">
        <v>1</v>
      </c>
      <c r="C91" s="46"/>
    </row>
    <row r="92" spans="1:3">
      <c r="A92" s="12">
        <v>2</v>
      </c>
      <c r="C92" s="46"/>
    </row>
    <row r="93" spans="1:3">
      <c r="A93" s="12">
        <v>3</v>
      </c>
      <c r="C93" s="46"/>
    </row>
    <row r="94" spans="1:3">
      <c r="A94" s="12">
        <v>4</v>
      </c>
      <c r="C94" s="46"/>
    </row>
    <row r="95" spans="1:3">
      <c r="A95" s="12">
        <v>5</v>
      </c>
      <c r="C95" s="46"/>
    </row>
    <row r="96" spans="1:3">
      <c r="A96" s="12">
        <v>6</v>
      </c>
      <c r="C96" s="46"/>
    </row>
    <row r="97" spans="1:3">
      <c r="A97" s="12">
        <v>7</v>
      </c>
      <c r="C97" s="46"/>
    </row>
    <row r="98" spans="1:3">
      <c r="A98" s="12">
        <v>8</v>
      </c>
      <c r="C98" s="46"/>
    </row>
    <row r="99" spans="1:3">
      <c r="A99" s="12">
        <v>9</v>
      </c>
      <c r="C99" s="46"/>
    </row>
    <row r="100" spans="1:3">
      <c r="A100" s="12">
        <v>10</v>
      </c>
      <c r="C100" s="46"/>
    </row>
    <row r="101" spans="1:3">
      <c r="A101" s="12">
        <v>11</v>
      </c>
      <c r="C101" s="46"/>
    </row>
    <row r="102" spans="1:3">
      <c r="A102" s="12">
        <v>12</v>
      </c>
      <c r="C102" s="46"/>
    </row>
    <row r="103" spans="1:3">
      <c r="A103" s="12">
        <v>13</v>
      </c>
      <c r="C103" s="46"/>
    </row>
    <row r="104" spans="1:3">
      <c r="A104" s="12">
        <v>14</v>
      </c>
      <c r="C104" s="46"/>
    </row>
    <row r="105" spans="1:3">
      <c r="A105" s="12">
        <v>15</v>
      </c>
      <c r="C105" s="46"/>
    </row>
    <row r="106" spans="1:3">
      <c r="A106" s="12">
        <v>16</v>
      </c>
      <c r="C106" s="46"/>
    </row>
    <row r="107" spans="1:3">
      <c r="A107" s="12">
        <v>17</v>
      </c>
      <c r="C107" s="46"/>
    </row>
    <row r="108" spans="1:3">
      <c r="A108" s="12">
        <v>18</v>
      </c>
      <c r="C108" s="46"/>
    </row>
    <row r="109" spans="1:3">
      <c r="A109" s="12">
        <v>19</v>
      </c>
      <c r="C109" s="46"/>
    </row>
    <row r="110" spans="1:3">
      <c r="A110" s="12">
        <v>20</v>
      </c>
      <c r="C110" s="46"/>
    </row>
    <row r="119" spans="1:4">
      <c r="C119" s="12" t="s">
        <v>4892</v>
      </c>
    </row>
    <row r="120" spans="1:4">
      <c r="D120" s="19" t="s">
        <v>4896</v>
      </c>
    </row>
    <row r="121" spans="1:4" ht="90" customHeight="1">
      <c r="A121" s="27">
        <v>1</v>
      </c>
      <c r="B121" s="27"/>
      <c r="C121" s="47"/>
      <c r="D121" s="48"/>
    </row>
    <row r="122" spans="1:4" ht="90" customHeight="1">
      <c r="A122" s="27">
        <v>2</v>
      </c>
      <c r="B122" s="27"/>
      <c r="C122" s="47"/>
      <c r="D122" s="48"/>
    </row>
    <row r="123" spans="1:4" ht="90" customHeight="1">
      <c r="A123" s="27">
        <v>3</v>
      </c>
      <c r="B123" s="27"/>
      <c r="C123" s="47"/>
      <c r="D123" s="48"/>
    </row>
    <row r="124" spans="1:4" ht="90" customHeight="1">
      <c r="A124" s="27">
        <v>4</v>
      </c>
      <c r="B124" s="27"/>
      <c r="C124" s="47"/>
      <c r="D124" s="48"/>
    </row>
    <row r="125" spans="1:4" ht="90" customHeight="1">
      <c r="A125" s="27">
        <v>5</v>
      </c>
      <c r="B125" s="27"/>
      <c r="C125" s="47"/>
      <c r="D125" s="48"/>
    </row>
    <row r="126" spans="1:4" ht="90" customHeight="1">
      <c r="A126" s="27">
        <v>6</v>
      </c>
      <c r="B126" s="27"/>
      <c r="C126" s="47"/>
      <c r="D126" s="48"/>
    </row>
    <row r="127" spans="1:4" ht="90" customHeight="1">
      <c r="A127" s="27">
        <v>7</v>
      </c>
      <c r="B127" s="27"/>
      <c r="C127" s="47"/>
      <c r="D127" s="48"/>
    </row>
    <row r="128" spans="1:4" ht="90" customHeight="1">
      <c r="A128" s="27">
        <v>8</v>
      </c>
      <c r="B128" s="27"/>
      <c r="C128" s="47"/>
      <c r="D128" s="48"/>
    </row>
    <row r="129" spans="1:4" ht="90" customHeight="1">
      <c r="A129" s="27">
        <v>9</v>
      </c>
      <c r="B129" s="27"/>
      <c r="C129" s="47"/>
      <c r="D129" s="48"/>
    </row>
    <row r="130" spans="1:4" ht="90" customHeight="1">
      <c r="A130" s="27">
        <v>10</v>
      </c>
      <c r="B130" s="27"/>
      <c r="C130" s="47"/>
      <c r="D130" s="48"/>
    </row>
  </sheetData>
  <sheetProtection algorithmName="SHA-512" hashValue="urNaOfO+kwm4GaGu3ePGjtoU8bBNOM5ou4Y4xgeaqnnp8g5o4l50A/ynTqeMGlRh7SYC5lt1MMS1UvEO2gBujg==" saltValue="K198fpSls9/HzE2Fa9pYsA==" spinCount="100000" sheet="1" objects="1" scenarios="1" selectLockedCells="1"/>
  <mergeCells count="20">
    <mergeCell ref="A4:A5"/>
    <mergeCell ref="B4:B5"/>
    <mergeCell ref="C4:C5"/>
    <mergeCell ref="D4:D5"/>
    <mergeCell ref="E43:G43"/>
    <mergeCell ref="E4:G4"/>
    <mergeCell ref="A38:C38"/>
    <mergeCell ref="D38:F38"/>
    <mergeCell ref="A68:A69"/>
    <mergeCell ref="B68:C69"/>
    <mergeCell ref="D68:D69"/>
    <mergeCell ref="A39:C39"/>
    <mergeCell ref="D39:F39"/>
    <mergeCell ref="A40:C40"/>
    <mergeCell ref="D40:F40"/>
    <mergeCell ref="A43:A44"/>
    <mergeCell ref="B43:B44"/>
    <mergeCell ref="C43:C44"/>
    <mergeCell ref="D43:D44"/>
    <mergeCell ref="E68:G68"/>
  </mergeCells>
  <phoneticPr fontId="1"/>
  <conditionalFormatting sqref="D38">
    <cfRule type="expression" dxfId="35" priority="74">
      <formula>#REF!&lt;&gt;1</formula>
    </cfRule>
    <cfRule type="expression" dxfId="34" priority="75">
      <formula>$D$38&lt;&gt;""</formula>
    </cfRule>
  </conditionalFormatting>
  <conditionalFormatting sqref="D39">
    <cfRule type="expression" dxfId="33" priority="77">
      <formula>$D$39&lt;&gt;""</formula>
    </cfRule>
  </conditionalFormatting>
  <conditionalFormatting sqref="D40">
    <cfRule type="expression" dxfId="32" priority="78" stopIfTrue="1">
      <formula>#REF!&lt;&gt;3</formula>
    </cfRule>
    <cfRule type="expression" dxfId="31" priority="79">
      <formula>$D$40&lt;&gt;""</formula>
    </cfRule>
  </conditionalFormatting>
  <conditionalFormatting sqref="D121:D130">
    <cfRule type="expression" dxfId="30" priority="1">
      <formula>D121&lt;&gt;""</formula>
    </cfRule>
  </conditionalFormatting>
  <conditionalFormatting sqref="G6:G35 G45:G64 G70:G79">
    <cfRule type="expression" dxfId="29" priority="68">
      <formula>#REF!&lt;&gt;2</formula>
    </cfRule>
    <cfRule type="expression" dxfId="28" priority="69">
      <formula>$G6&lt;&gt;""</formula>
    </cfRule>
  </conditionalFormatting>
  <conditionalFormatting sqref="G6:H35">
    <cfRule type="expression" dxfId="27" priority="2">
      <formula>G6="非該当"</formula>
    </cfRule>
  </conditionalFormatting>
  <conditionalFormatting sqref="H6:H35 H45:H64 H70:H79">
    <cfRule type="expression" dxfId="26" priority="62">
      <formula>#REF!&lt;&gt;3</formula>
    </cfRule>
    <cfRule type="expression" dxfId="25" priority="63">
      <formula>$H6&lt;&gt;""</formula>
    </cfRule>
  </conditionalFormatting>
  <dataValidations count="4">
    <dataValidation type="list" allowBlank="1" showInputMessage="1" showErrorMessage="1" sqref="G6:H35" xr:uid="{00000000-0002-0000-0C00-000000000000}">
      <formula1>"実施済,未実施,非該当"</formula1>
    </dataValidation>
    <dataValidation type="list" allowBlank="1" showInputMessage="1" showErrorMessage="1" sqref="G45:H64" xr:uid="{00000000-0002-0000-0C00-000001000000}">
      <formula1>"実施済,一部実施済,未実施"</formula1>
    </dataValidation>
    <dataValidation type="list" allowBlank="1" showInputMessage="1" showErrorMessage="1" sqref="G70:H79" xr:uid="{00000000-0002-0000-0C00-000002000000}">
      <formula1>"実施済,未実施"</formula1>
    </dataValidation>
    <dataValidation imeMode="hiragana" allowBlank="1" showInputMessage="1" showErrorMessage="1" sqref="D121:D130 D39:F39" xr:uid="{00000000-0002-0000-0C00-000003000000}"/>
  </dataValidations>
  <pageMargins left="0.70866141732283472" right="0.51181102362204722" top="0.55118110236220474" bottom="0.55118110236220474" header="0.31496062992125984" footer="0.31496062992125984"/>
  <pageSetup paperSize="9" scale="80" fitToHeight="2" orientation="portrait" r:id="rId1"/>
  <headerFooter>
    <oddHeader>&amp;L様式第２号</oddHeader>
    <oddFooter>&amp;R&amp;8（一般事業所等用）</oddFooter>
  </headerFooter>
  <rowBreaks count="5" manualBreakCount="5">
    <brk id="17" max="9" man="1"/>
    <brk id="29" max="9" man="1"/>
    <brk id="41" max="9" man="1"/>
    <brk id="54" max="9" man="1"/>
    <brk id="65" max="9"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C00-000004000000}">
          <x14:formula1>
            <xm:f>OFFSET(対策リスト!$AP$2,0,0,45-COUNTBLANK(対策リスト!$AP$2:$AP$46),1)</xm:f>
          </x14:formula1>
          <xm:sqref>C91:C110</xm:sqref>
        </x14:dataValidation>
        <x14:dataValidation type="list" allowBlank="1" showInputMessage="1" showErrorMessage="1" xr:uid="{00000000-0002-0000-0C00-000005000000}">
          <x14:formula1>
            <xm:f>OFFSET(対策リスト!$BP$2,0,0,13-COUNTBLANK(対策リスト!$BP$2:$BP$14),1)</xm:f>
          </x14:formula1>
          <xm:sqref>C121:C130</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0">
    <tabColor theme="6" tint="0.39997558519241921"/>
  </sheetPr>
  <dimension ref="A1:Y130"/>
  <sheetViews>
    <sheetView showGridLines="0" topLeftCell="A2" zoomScaleNormal="100" zoomScaleSheetLayoutView="100" workbookViewId="0">
      <selection activeCell="H6" sqref="H6"/>
    </sheetView>
  </sheetViews>
  <sheetFormatPr defaultColWidth="8.88671875" defaultRowHeight="16.2"/>
  <cols>
    <col min="1" max="1" width="3.88671875" style="12" customWidth="1"/>
    <col min="2" max="2" width="9.109375" style="12" hidden="1" customWidth="1"/>
    <col min="3" max="3" width="14.6640625" style="12" customWidth="1"/>
    <col min="4" max="4" width="43.44140625" style="12" customWidth="1"/>
    <col min="5" max="8" width="8.6640625" style="12" customWidth="1"/>
    <col min="9" max="9" width="3.44140625" style="13" customWidth="1"/>
    <col min="10" max="10" width="9.33203125" style="12" hidden="1" customWidth="1"/>
    <col min="11" max="11" width="16.109375" style="12" hidden="1" customWidth="1"/>
    <col min="12" max="24" width="9.33203125" style="12" hidden="1" customWidth="1"/>
    <col min="25" max="25" width="5.6640625" style="12" hidden="1" customWidth="1"/>
    <col min="26" max="32" width="5.6640625" style="12" customWidth="1"/>
    <col min="33" max="16384" width="8.88671875" style="12"/>
  </cols>
  <sheetData>
    <row r="1" spans="1:21" hidden="1"/>
    <row r="2" spans="1:21" ht="17.399999999999999" customHeight="1">
      <c r="J2" s="12">
        <f>はじめに!F29</f>
        <v>0</v>
      </c>
    </row>
    <row r="3" spans="1:21">
      <c r="A3" s="14" t="s">
        <v>4176</v>
      </c>
      <c r="B3" s="14"/>
    </row>
    <row r="4" spans="1:21" ht="13.35" customHeight="1">
      <c r="A4" s="907" t="s">
        <v>88</v>
      </c>
      <c r="B4" s="906" t="s">
        <v>91</v>
      </c>
      <c r="C4" s="903" t="s">
        <v>89</v>
      </c>
      <c r="D4" s="903" t="s">
        <v>90</v>
      </c>
      <c r="E4" s="642" t="s">
        <v>4110</v>
      </c>
      <c r="F4" s="908"/>
      <c r="G4" s="908"/>
      <c r="H4" s="643"/>
      <c r="Q4" s="19"/>
      <c r="R4" s="19"/>
    </row>
    <row r="5" spans="1:21" ht="33" customHeight="1">
      <c r="A5" s="907"/>
      <c r="B5" s="906"/>
      <c r="C5" s="903"/>
      <c r="D5" s="903"/>
      <c r="E5" s="20" t="s">
        <v>4104</v>
      </c>
      <c r="F5" s="20" t="s">
        <v>4096</v>
      </c>
      <c r="G5" s="20" t="s">
        <v>4101</v>
      </c>
      <c r="H5" s="20" t="s">
        <v>4102</v>
      </c>
      <c r="K5" s="21" t="s">
        <v>4126</v>
      </c>
      <c r="L5" s="21" t="s">
        <v>134</v>
      </c>
      <c r="M5" s="19" t="s">
        <v>140</v>
      </c>
      <c r="O5" s="21" t="s">
        <v>4110</v>
      </c>
      <c r="P5" s="21" t="s">
        <v>134</v>
      </c>
      <c r="Q5" s="22" t="s">
        <v>120</v>
      </c>
      <c r="R5" s="21" t="s">
        <v>121</v>
      </c>
      <c r="S5" s="21" t="s">
        <v>122</v>
      </c>
      <c r="T5" s="237"/>
      <c r="U5" s="237"/>
    </row>
    <row r="6" spans="1:21" ht="65.25" customHeight="1">
      <c r="A6" s="15">
        <v>1</v>
      </c>
      <c r="B6" s="23" t="s">
        <v>92</v>
      </c>
      <c r="C6" s="23" t="s">
        <v>4026</v>
      </c>
      <c r="D6" s="23" t="s">
        <v>4205</v>
      </c>
      <c r="E6" s="24" t="str">
        <f>IF('計画書② (取組）'!E5="","",'計画書② (取組）'!E5)</f>
        <v/>
      </c>
      <c r="F6" s="25" t="str">
        <f>IF(C6="","",IFERROR(IF(VLOOKUP(C6,'報告書② 第2年度(取組）'!$C$6:$G35,4,0)="","未入力",VLOOKUP(C6,'報告書② 第2年度(取組）'!$C$6:$G$35,4,0)),"------"))</f>
        <v>未入力</v>
      </c>
      <c r="G6" s="25" t="str">
        <f>IF(C6="","",IFERROR(IF(VLOOKUP(C6,'報告書② 第2年度(取組）'!$C$6:$G35,5,0)="","未入力",VLOOKUP(C6,'報告書② 第2年度(取組）'!$C$6:$G$35,5,0)),"------"))</f>
        <v>未入力</v>
      </c>
      <c r="H6" s="26"/>
      <c r="K6" s="27" t="s">
        <v>120</v>
      </c>
      <c r="L6" s="27">
        <f>COUNTIFS($H$6:$H$35,$K6,$E$6:$E$35,"&lt;&gt;非該当")</f>
        <v>0</v>
      </c>
      <c r="M6" s="19">
        <v>5</v>
      </c>
      <c r="O6" s="27" t="s">
        <v>135</v>
      </c>
      <c r="P6" s="27" t="str">
        <f>IF($J$2&gt;0,$L$9,"")</f>
        <v/>
      </c>
      <c r="Q6" s="27" t="str">
        <f>IF($J$2&gt;0,COUNTIFS($F$6:$F$18,Q$5),"")</f>
        <v/>
      </c>
      <c r="R6" s="27" t="str">
        <f>IF($J$2&gt;0,COUNTIFS($F$6:$F$18,R$5),"")</f>
        <v/>
      </c>
      <c r="S6" s="27" t="str">
        <f>IF($J$2&gt;0,COUNTIFS($F$6:$F$18,S$5),"")</f>
        <v/>
      </c>
      <c r="T6" s="28" t="str">
        <f>IFERROR(IF(P6="","",Q6/(P6-S6)),0)</f>
        <v/>
      </c>
      <c r="U6" s="29" t="str">
        <f>IF(P6="","",ROUNDUP($T6*$M$9,0))</f>
        <v/>
      </c>
    </row>
    <row r="7" spans="1:21" ht="65.25" customHeight="1">
      <c r="A7" s="15">
        <v>2</v>
      </c>
      <c r="B7" s="23" t="s">
        <v>92</v>
      </c>
      <c r="C7" s="23" t="s">
        <v>4027</v>
      </c>
      <c r="D7" s="23" t="s">
        <v>4207</v>
      </c>
      <c r="E7" s="24" t="str">
        <f>IF('計画書② (取組）'!E6="","",'計画書② (取組）'!E6)</f>
        <v/>
      </c>
      <c r="F7" s="25" t="str">
        <f>IF(C7="","",IFERROR(IF(VLOOKUP(C7,'報告書② 第2年度(取組）'!$C$6:$G36,4,0)="","未入力",VLOOKUP(C7,'報告書② 第2年度(取組）'!$C$6:$G$35,4,0)),"------"))</f>
        <v>未入力</v>
      </c>
      <c r="G7" s="25" t="str">
        <f>IF(C7="","",IFERROR(IF(VLOOKUP(C7,'報告書② 第2年度(取組）'!$C$6:$G36,5,0)="","未入力",VLOOKUP(C7,'報告書② 第2年度(取組）'!$C$6:$G$35,5,0)),"------"))</f>
        <v>未入力</v>
      </c>
      <c r="H7" s="26"/>
      <c r="K7" s="27" t="s">
        <v>121</v>
      </c>
      <c r="L7" s="27">
        <f>COUNTIFS($H$6:$H$35,$K7,$E$6:$E$35,"&lt;&gt;非該当")</f>
        <v>0</v>
      </c>
      <c r="M7" s="19">
        <v>0</v>
      </c>
      <c r="O7" s="27" t="s">
        <v>136</v>
      </c>
      <c r="P7" s="27" t="str">
        <f>IF($J$2&gt;1,$L$9,"")</f>
        <v/>
      </c>
      <c r="Q7" s="27" t="str">
        <f>IF($J$2&gt;0,COUNTIFS($G$6:$G$18,Q$5),"")</f>
        <v/>
      </c>
      <c r="R7" s="27" t="str">
        <f>IF($J$2&gt;0,COUNTIFS($G$6:$G$18,R$5),"")</f>
        <v/>
      </c>
      <c r="S7" s="27" t="str">
        <f>IF($J$2&gt;0,COUNTIFS($G$6:$G$18,S$5),"")</f>
        <v/>
      </c>
      <c r="T7" s="28" t="str">
        <f t="shared" ref="T7:T8" si="0">IFERROR(IF(P7="","",Q7/(P7-S7)),0)</f>
        <v/>
      </c>
      <c r="U7" s="29" t="str">
        <f>IF(P7="","",ROUNDUP($T7*$M$9,0))</f>
        <v/>
      </c>
    </row>
    <row r="8" spans="1:21" ht="65.25" customHeight="1">
      <c r="A8" s="15">
        <v>3</v>
      </c>
      <c r="B8" s="23" t="s">
        <v>92</v>
      </c>
      <c r="C8" s="23" t="s">
        <v>4028</v>
      </c>
      <c r="D8" s="23" t="s">
        <v>4208</v>
      </c>
      <c r="E8" s="24" t="str">
        <f>IF('計画書② (取組）'!E7="","",'計画書② (取組）'!E7)</f>
        <v/>
      </c>
      <c r="F8" s="25" t="str">
        <f>IF(C8="","",IFERROR(IF(VLOOKUP(C8,'報告書② 第2年度(取組）'!$C$6:$G37,4,0)="","未入力",VLOOKUP(C8,'報告書② 第2年度(取組）'!$C$6:$G$35,4,0)),"------"))</f>
        <v>未入力</v>
      </c>
      <c r="G8" s="25" t="str">
        <f>IF(C8="","",IFERROR(IF(VLOOKUP(C8,'報告書② 第2年度(取組）'!$C$6:$G37,5,0)="","未入力",VLOOKUP(C8,'報告書② 第2年度(取組）'!$C$6:$G$35,5,0)),"------"))</f>
        <v>未入力</v>
      </c>
      <c r="H8" s="26"/>
      <c r="K8" s="27" t="s">
        <v>122</v>
      </c>
      <c r="L8" s="27">
        <f>COUNTIF($H$6:$H$35,$K8)+COUNTIF($E$6:$E$35,$K8)</f>
        <v>0</v>
      </c>
      <c r="M8" s="19" t="s">
        <v>26</v>
      </c>
      <c r="O8" s="27" t="s">
        <v>4127</v>
      </c>
      <c r="P8" s="27" t="str">
        <f>IF($J$2&gt;2,$L$9,"")</f>
        <v/>
      </c>
      <c r="Q8" s="27" t="str">
        <f>IF($J$2&gt;0,COUNTIFS($H$6:$H$18,Q$5),"")</f>
        <v/>
      </c>
      <c r="R8" s="27" t="str">
        <f>IF($J$2&gt;0,COUNTIFS($H$6:$H$18,R$5),"")</f>
        <v/>
      </c>
      <c r="S8" s="27" t="str">
        <f>IF($J$2&gt;0,COUNTIFS($H$6:$H$18,S$5),"")</f>
        <v/>
      </c>
      <c r="T8" s="28" t="str">
        <f t="shared" si="0"/>
        <v/>
      </c>
      <c r="U8" s="29" t="str">
        <f>IF(P8="","",ROUNDUP($T8*$M$9,0))</f>
        <v/>
      </c>
    </row>
    <row r="9" spans="1:21" ht="65.25" customHeight="1">
      <c r="A9" s="15">
        <v>4</v>
      </c>
      <c r="B9" s="23" t="s">
        <v>92</v>
      </c>
      <c r="C9" s="23" t="s">
        <v>4029</v>
      </c>
      <c r="D9" s="23" t="s">
        <v>5503</v>
      </c>
      <c r="E9" s="24" t="str">
        <f>IF('計画書② (取組）'!E8="","",'計画書② (取組）'!E8)</f>
        <v/>
      </c>
      <c r="F9" s="25" t="str">
        <f>IF(C9="","",IFERROR(IF(VLOOKUP(C9,'報告書② 第2年度(取組）'!$C$6:$G38,4,0)="","未入力",VLOOKUP(C9,'報告書② 第2年度(取組）'!$C$6:$G$35,4,0)),"------"))</f>
        <v>未入力</v>
      </c>
      <c r="G9" s="25" t="str">
        <f>IF(C9="","",IFERROR(IF(VLOOKUP(C9,'報告書② 第2年度(取組）'!$C$6:$G38,5,0)="","未入力",VLOOKUP(C9,'報告書② 第2年度(取組）'!$C$6:$G$35,5,0)),"------"))</f>
        <v>未入力</v>
      </c>
      <c r="H9" s="26"/>
      <c r="K9" s="27" t="s">
        <v>106</v>
      </c>
      <c r="L9" s="27">
        <f>MAX(A6:A18)</f>
        <v>13</v>
      </c>
      <c r="M9" s="19">
        <v>50</v>
      </c>
      <c r="O9" s="27" t="s">
        <v>4116</v>
      </c>
      <c r="P9" s="27" t="str">
        <f>IFERROR(ROUNDUP(AVERAGE(P6:P8),0),"")</f>
        <v/>
      </c>
      <c r="Q9" s="27" t="str">
        <f>IFERROR(ROUNDUP(AVERAGE(Q6:Q8),0),"")</f>
        <v/>
      </c>
      <c r="R9" s="27" t="str">
        <f>IFERROR(ROUNDUP(AVERAGE(R6:R8),0),"")</f>
        <v/>
      </c>
      <c r="S9" s="27" t="str">
        <f>IFERROR(ROUNDUP(AVERAGE(S6:S8),0),"")</f>
        <v/>
      </c>
      <c r="T9" s="30" t="str">
        <f>IFERROR(AVERAGE(T6:T8),"")</f>
        <v/>
      </c>
      <c r="U9" s="21" t="str">
        <f>IFERROR(ROUNDUP(AVERAGE(U6:U8),0),"")</f>
        <v/>
      </c>
    </row>
    <row r="10" spans="1:21" ht="65.25" customHeight="1">
      <c r="A10" s="15">
        <v>5</v>
      </c>
      <c r="B10" s="23" t="s">
        <v>92</v>
      </c>
      <c r="C10" s="23" t="s">
        <v>5504</v>
      </c>
      <c r="D10" s="23" t="s">
        <v>5505</v>
      </c>
      <c r="E10" s="24" t="str">
        <f>IF('計画書② (取組）'!E9="","",'計画書② (取組）'!E9)</f>
        <v/>
      </c>
      <c r="F10" s="25" t="str">
        <f>IF(C10="","",IFERROR(IF(VLOOKUP(C10,'報告書② 第2年度(取組）'!$C$6:$G39,4,0)="","未入力",VLOOKUP(C10,'報告書② 第2年度(取組）'!$C$6:$G$35,4,0)),"------"))</f>
        <v>未入力</v>
      </c>
      <c r="G10" s="25" t="str">
        <f>IF(C10="","",IFERROR(IF(VLOOKUP(C10,'報告書② 第2年度(取組）'!$C$6:$G39,5,0)="","未入力",VLOOKUP(C10,'報告書② 第2年度(取組）'!$C$6:$G$35,5,0)),"------"))</f>
        <v>未入力</v>
      </c>
      <c r="H10" s="26"/>
      <c r="K10" s="31" t="s">
        <v>4128</v>
      </c>
      <c r="L10" s="32">
        <f>L6/(L9-L8)</f>
        <v>0</v>
      </c>
      <c r="M10" s="33">
        <f>ROUNDUP($L$10*$M$9,0)</f>
        <v>0</v>
      </c>
    </row>
    <row r="11" spans="1:21" ht="65.25" customHeight="1">
      <c r="A11" s="15">
        <v>6</v>
      </c>
      <c r="B11" s="23" t="s">
        <v>93</v>
      </c>
      <c r="C11" s="23" t="s">
        <v>4030</v>
      </c>
      <c r="D11" s="23" t="s">
        <v>4209</v>
      </c>
      <c r="E11" s="24" t="str">
        <f>IF('計画書② (取組）'!E10="","",'計画書② (取組）'!E10)</f>
        <v/>
      </c>
      <c r="F11" s="25" t="str">
        <f>IF(C11="","",IFERROR(IF(VLOOKUP(C11,'報告書② 第2年度(取組）'!$C$6:$G40,4,0)="","未入力",VLOOKUP(C11,'報告書② 第2年度(取組）'!$C$6:$G$35,4,0)),"------"))</f>
        <v>未入力</v>
      </c>
      <c r="G11" s="25" t="str">
        <f>IF(C11="","",IFERROR(IF(VLOOKUP(C11,'報告書② 第2年度(取組）'!$C$6:$G40,5,0)="","未入力",VLOOKUP(C11,'報告書② 第2年度(取組）'!$C$6:$G$35,5,0)),"------"))</f>
        <v>未入力</v>
      </c>
      <c r="H11" s="26"/>
      <c r="K11" s="31"/>
      <c r="L11" s="34"/>
    </row>
    <row r="12" spans="1:21" ht="65.25" customHeight="1">
      <c r="A12" s="15">
        <v>7</v>
      </c>
      <c r="B12" s="23" t="s">
        <v>93</v>
      </c>
      <c r="C12" s="23" t="s">
        <v>4031</v>
      </c>
      <c r="D12" s="23" t="s">
        <v>5506</v>
      </c>
      <c r="E12" s="24" t="str">
        <f>IF('計画書② (取組）'!E11="","",'計画書② (取組）'!E11)</f>
        <v/>
      </c>
      <c r="F12" s="25" t="str">
        <f>IF(C12="","",IFERROR(IF(VLOOKUP(C12,'報告書② 第2年度(取組）'!$C$6:$G41,4,0)="","未入力",VLOOKUP(C12,'報告書② 第2年度(取組）'!$C$6:$G$35,4,0)),"------"))</f>
        <v>未入力</v>
      </c>
      <c r="G12" s="25" t="str">
        <f>IF(C12="","",IFERROR(IF(VLOOKUP(C12,'報告書② 第2年度(取組）'!$C$6:$G41,5,0)="","未入力",VLOOKUP(C12,'報告書② 第2年度(取組）'!$C$6:$G$35,5,0)),"------"))</f>
        <v>未入力</v>
      </c>
      <c r="H12" s="26"/>
      <c r="K12" s="19"/>
      <c r="L12" s="19"/>
      <c r="M12" s="19"/>
    </row>
    <row r="13" spans="1:21" ht="65.25" customHeight="1">
      <c r="A13" s="15">
        <v>8</v>
      </c>
      <c r="B13" s="23" t="s">
        <v>93</v>
      </c>
      <c r="C13" s="23" t="s">
        <v>5507</v>
      </c>
      <c r="D13" s="23" t="s">
        <v>5508</v>
      </c>
      <c r="E13" s="24" t="str">
        <f>IF('計画書② (取組）'!E12="","",'計画書② (取組）'!E12)</f>
        <v/>
      </c>
      <c r="F13" s="25" t="str">
        <f>IF(C13="","",IFERROR(IF(VLOOKUP(C13,'報告書② 第2年度(取組）'!$C$6:$G42,4,0)="","未入力",VLOOKUP(C13,'報告書② 第2年度(取組）'!$C$6:$G$35,4,0)),"------"))</f>
        <v>未入力</v>
      </c>
      <c r="G13" s="25" t="str">
        <f>IF(C13="","",IFERROR(IF(VLOOKUP(C13,'報告書② 第2年度(取組）'!$C$6:$G42,5,0)="","未入力",VLOOKUP(C13,'報告書② 第2年度(取組）'!$C$6:$G$35,5,0)),"------"))</f>
        <v>未入力</v>
      </c>
      <c r="H13" s="26"/>
      <c r="K13" s="19"/>
      <c r="L13" s="19"/>
      <c r="M13" s="19"/>
    </row>
    <row r="14" spans="1:21" ht="65.25" customHeight="1">
      <c r="A14" s="15">
        <v>9</v>
      </c>
      <c r="B14" s="23" t="s">
        <v>93</v>
      </c>
      <c r="C14" s="23" t="s">
        <v>4032</v>
      </c>
      <c r="D14" s="23" t="s">
        <v>4210</v>
      </c>
      <c r="E14" s="24" t="str">
        <f>IF('計画書② (取組）'!E13="","",'計画書② (取組）'!E13)</f>
        <v/>
      </c>
      <c r="F14" s="25" t="str">
        <f>IF(C14="","",IFERROR(IF(VLOOKUP(C14,'報告書② 第2年度(取組）'!$C$6:$G43,4,0)="","未入力",VLOOKUP(C14,'報告書② 第2年度(取組）'!$C$6:$G$35,4,0)),"------"))</f>
        <v>未入力</v>
      </c>
      <c r="G14" s="25" t="str">
        <f>IF(C14="","",IFERROR(IF(VLOOKUP(C14,'報告書② 第2年度(取組）'!$C$6:$G43,5,0)="","未入力",VLOOKUP(C14,'報告書② 第2年度(取組）'!$C$6:$G$35,5,0)),"------"))</f>
        <v>未入力</v>
      </c>
      <c r="H14" s="26"/>
      <c r="K14" s="19"/>
      <c r="L14" s="19"/>
      <c r="M14" s="19"/>
    </row>
    <row r="15" spans="1:21" ht="65.25" customHeight="1">
      <c r="A15" s="15">
        <v>10</v>
      </c>
      <c r="B15" s="23" t="s">
        <v>93</v>
      </c>
      <c r="C15" s="23" t="s">
        <v>4033</v>
      </c>
      <c r="D15" s="23" t="s">
        <v>4211</v>
      </c>
      <c r="E15" s="24" t="str">
        <f>IF('計画書② (取組）'!E14="","",'計画書② (取組）'!E14)</f>
        <v/>
      </c>
      <c r="F15" s="25" t="str">
        <f>IF(C15="","",IFERROR(IF(VLOOKUP(C15,'報告書② 第2年度(取組）'!$C$6:$G44,4,0)="","未入力",VLOOKUP(C15,'報告書② 第2年度(取組）'!$C$6:$G$35,4,0)),"------"))</f>
        <v>未入力</v>
      </c>
      <c r="G15" s="25" t="str">
        <f>IF(C15="","",IFERROR(IF(VLOOKUP(C15,'報告書② 第2年度(取組）'!$C$6:$G44,5,0)="","未入力",VLOOKUP(C15,'報告書② 第2年度(取組）'!$C$6:$G$35,5,0)),"------"))</f>
        <v>未入力</v>
      </c>
      <c r="H15" s="26"/>
      <c r="K15" s="19"/>
      <c r="L15" s="19"/>
      <c r="M15" s="19"/>
    </row>
    <row r="16" spans="1:21" ht="65.25" customHeight="1">
      <c r="A16" s="15">
        <v>11</v>
      </c>
      <c r="B16" s="23" t="s">
        <v>93</v>
      </c>
      <c r="C16" s="23" t="s">
        <v>4034</v>
      </c>
      <c r="D16" s="23" t="s">
        <v>4212</v>
      </c>
      <c r="E16" s="24" t="str">
        <f>IF('計画書② (取組）'!E15="","",'計画書② (取組）'!E15)</f>
        <v/>
      </c>
      <c r="F16" s="25" t="str">
        <f>IF(C16="","",IFERROR(IF(VLOOKUP(C16,'報告書② 第2年度(取組）'!$C$6:$G45,4,0)="","未入力",VLOOKUP(C16,'報告書② 第2年度(取組）'!$C$6:$G$35,4,0)),"------"))</f>
        <v>未入力</v>
      </c>
      <c r="G16" s="25" t="str">
        <f>IF(C16="","",IFERROR(IF(VLOOKUP(C16,'報告書② 第2年度(取組）'!$C$6:$G45,5,0)="","未入力",VLOOKUP(C16,'報告書② 第2年度(取組）'!$C$6:$G$35,5,0)),"------"))</f>
        <v>未入力</v>
      </c>
      <c r="H16" s="26"/>
      <c r="K16" s="19"/>
      <c r="L16" s="19"/>
      <c r="M16" s="19"/>
    </row>
    <row r="17" spans="1:13" ht="65.25" customHeight="1">
      <c r="A17" s="15">
        <v>12</v>
      </c>
      <c r="B17" s="23" t="s">
        <v>94</v>
      </c>
      <c r="C17" s="23" t="s">
        <v>4035</v>
      </c>
      <c r="D17" s="23" t="s">
        <v>4213</v>
      </c>
      <c r="E17" s="24" t="str">
        <f>IF('計画書② (取組）'!E16="","",'計画書② (取組）'!E16)</f>
        <v/>
      </c>
      <c r="F17" s="25" t="str">
        <f>IF(C17="","",IFERROR(IF(VLOOKUP(C17,'報告書② 第2年度(取組）'!$C$6:$G46,4,0)="","未入力",VLOOKUP(C17,'報告書② 第2年度(取組）'!$C$6:$G$35,4,0)),"------"))</f>
        <v>未入力</v>
      </c>
      <c r="G17" s="25" t="str">
        <f>IF(C17="","",IFERROR(IF(VLOOKUP(C17,'報告書② 第2年度(取組）'!$C$6:$G46,5,0)="","未入力",VLOOKUP(C17,'報告書② 第2年度(取組）'!$C$6:$G$35,5,0)),"------"))</f>
        <v>未入力</v>
      </c>
      <c r="H17" s="26"/>
      <c r="K17" s="19"/>
      <c r="L17" s="19"/>
      <c r="M17" s="19"/>
    </row>
    <row r="18" spans="1:13" ht="65.25" customHeight="1">
      <c r="A18" s="15">
        <v>13</v>
      </c>
      <c r="B18" s="23" t="s">
        <v>94</v>
      </c>
      <c r="C18" s="23" t="s">
        <v>4036</v>
      </c>
      <c r="D18" s="23" t="s">
        <v>4214</v>
      </c>
      <c r="E18" s="24" t="str">
        <f>IF('計画書② (取組）'!E17="","",'計画書② (取組）'!E17)</f>
        <v/>
      </c>
      <c r="F18" s="25" t="str">
        <f>IF(C18="","",IFERROR(IF(VLOOKUP(C18,'報告書② 第2年度(取組）'!$C$6:$G47,4,0)="","未入力",VLOOKUP(C18,'報告書② 第2年度(取組）'!$C$6:$G$35,4,0)),"------"))</f>
        <v>未入力</v>
      </c>
      <c r="G18" s="25" t="str">
        <f>IF(C18="","",IFERROR(IF(VLOOKUP(C18,'報告書② 第2年度(取組）'!$C$6:$G47,5,0)="","未入力",VLOOKUP(C18,'報告書② 第2年度(取組）'!$C$6:$G$35,5,0)),"------"))</f>
        <v>未入力</v>
      </c>
      <c r="H18" s="26"/>
    </row>
    <row r="19" spans="1:13" ht="65.25" hidden="1" customHeight="1">
      <c r="A19" s="15">
        <v>14</v>
      </c>
      <c r="B19" s="23" t="s">
        <v>94</v>
      </c>
      <c r="C19" s="23"/>
      <c r="D19" s="23"/>
      <c r="E19" s="24" t="str">
        <f>IF('計画書② (取組）'!E18="","",'計画書② (取組）'!E18)</f>
        <v/>
      </c>
      <c r="F19" s="25" t="str">
        <f>IF(C19="","",IFERROR(IF(VLOOKUP(C19,'報告書② 第2年度(取組）'!$C$6:$G48,4,0)="","未入力",VLOOKUP(C19,'報告書② 第2年度(取組）'!$C$6:$G$35,4,0)),"------"))</f>
        <v/>
      </c>
      <c r="G19" s="25" t="str">
        <f>IF(C19="","",IFERROR(IF(VLOOKUP(C19,'報告書② 第2年度(取組）'!$C$6:$G48,5,0)="","未入力",VLOOKUP(C19,'報告書② 第2年度(取組）'!$C$6:$G$35,5,0)),"------"))</f>
        <v/>
      </c>
      <c r="H19" s="26"/>
    </row>
    <row r="20" spans="1:13" ht="65.25" hidden="1" customHeight="1">
      <c r="A20" s="15">
        <v>15</v>
      </c>
      <c r="B20" s="23" t="s">
        <v>94</v>
      </c>
      <c r="C20" s="23"/>
      <c r="D20" s="23"/>
      <c r="E20" s="24" t="str">
        <f>IF('計画書② (取組）'!E19="","",'計画書② (取組）'!E19)</f>
        <v/>
      </c>
      <c r="F20" s="25" t="str">
        <f>IF(C20="","",IFERROR(IF(VLOOKUP(C20,'報告書② 第2年度(取組）'!$C$6:$G49,4,0)="","未入力",VLOOKUP(C20,'報告書② 第2年度(取組）'!$C$6:$G$35,4,0)),"------"))</f>
        <v/>
      </c>
      <c r="G20" s="25" t="str">
        <f>IF(C20="","",IFERROR(IF(VLOOKUP(C20,'報告書② 第2年度(取組）'!$C$6:$G49,5,0)="","未入力",VLOOKUP(C20,'報告書② 第2年度(取組）'!$C$6:$G$35,5,0)),"------"))</f>
        <v/>
      </c>
      <c r="H20" s="26"/>
    </row>
    <row r="21" spans="1:13" ht="65.25" hidden="1" customHeight="1">
      <c r="A21" s="15">
        <v>16</v>
      </c>
      <c r="B21" s="23" t="s">
        <v>95</v>
      </c>
      <c r="C21" s="23"/>
      <c r="D21" s="23"/>
      <c r="E21" s="24" t="str">
        <f>IF('計画書② (取組）'!E20="","",'計画書② (取組）'!E20)</f>
        <v/>
      </c>
      <c r="F21" s="25" t="str">
        <f>IF(C21="","",IFERROR(IF(VLOOKUP(C21,'報告書② 第2年度(取組）'!$C$6:$G50,4,0)="","未入力",VLOOKUP(C21,'報告書② 第2年度(取組）'!$C$6:$G$35,4,0)),"------"))</f>
        <v/>
      </c>
      <c r="G21" s="25" t="str">
        <f>IF(C21="","",IFERROR(IF(VLOOKUP(C21,'報告書② 第2年度(取組）'!$C$6:$G50,5,0)="","未入力",VLOOKUP(C21,'報告書② 第2年度(取組）'!$C$6:$G$35,5,0)),"------"))</f>
        <v/>
      </c>
      <c r="H21" s="26"/>
    </row>
    <row r="22" spans="1:13" ht="65.25" hidden="1" customHeight="1">
      <c r="A22" s="15">
        <v>17</v>
      </c>
      <c r="B22" s="23" t="s">
        <v>95</v>
      </c>
      <c r="C22" s="23"/>
      <c r="D22" s="23"/>
      <c r="E22" s="24" t="str">
        <f>IF('計画書② (取組）'!E21="","",'計画書② (取組）'!E21)</f>
        <v/>
      </c>
      <c r="F22" s="25" t="str">
        <f>IF(C22="","",IFERROR(IF(VLOOKUP(C22,'報告書② 第2年度(取組）'!$C$6:$G51,4,0)="","未入力",VLOOKUP(C22,'報告書② 第2年度(取組）'!$C$6:$G$35,4,0)),"------"))</f>
        <v/>
      </c>
      <c r="G22" s="25" t="str">
        <f>IF(C22="","",IFERROR(IF(VLOOKUP(C22,'報告書② 第2年度(取組）'!$C$6:$G51,5,0)="","未入力",VLOOKUP(C22,'報告書② 第2年度(取組）'!$C$6:$G$35,5,0)),"------"))</f>
        <v/>
      </c>
      <c r="H22" s="26"/>
    </row>
    <row r="23" spans="1:13" ht="65.25" hidden="1" customHeight="1">
      <c r="A23" s="15">
        <v>18</v>
      </c>
      <c r="B23" s="23" t="s">
        <v>95</v>
      </c>
      <c r="C23" s="23"/>
      <c r="D23" s="23"/>
      <c r="E23" s="24" t="str">
        <f>IF('計画書② (取組）'!E22="","",'計画書② (取組）'!E22)</f>
        <v/>
      </c>
      <c r="F23" s="25" t="str">
        <f>IF(C23="","",IFERROR(IF(VLOOKUP(C23,'報告書② 第2年度(取組）'!$C$6:$G52,4,0)="","未入力",VLOOKUP(C23,'報告書② 第2年度(取組）'!$C$6:$G$35,4,0)),"------"))</f>
        <v/>
      </c>
      <c r="G23" s="25" t="str">
        <f>IF(C23="","",IFERROR(IF(VLOOKUP(C23,'報告書② 第2年度(取組）'!$C$6:$G52,5,0)="","未入力",VLOOKUP(C23,'報告書② 第2年度(取組）'!$C$6:$G$35,5,0)),"------"))</f>
        <v/>
      </c>
      <c r="H23" s="26"/>
    </row>
    <row r="24" spans="1:13" ht="65.25" hidden="1" customHeight="1">
      <c r="A24" s="15">
        <v>19</v>
      </c>
      <c r="B24" s="23" t="s">
        <v>96</v>
      </c>
      <c r="C24" s="23"/>
      <c r="D24" s="23"/>
      <c r="E24" s="24" t="str">
        <f>IF('計画書② (取組）'!E23="","",'計画書② (取組）'!E23)</f>
        <v/>
      </c>
      <c r="F24" s="25" t="str">
        <f>IF(C24="","",IFERROR(IF(VLOOKUP(C24,'報告書② 第2年度(取組）'!$C$6:$G53,4,0)="","未入力",VLOOKUP(C24,'報告書② 第2年度(取組）'!$C$6:$G$35,4,0)),"------"))</f>
        <v/>
      </c>
      <c r="G24" s="25" t="str">
        <f>IF(C24="","",IFERROR(IF(VLOOKUP(C24,'報告書② 第2年度(取組）'!$C$6:$G53,5,0)="","未入力",VLOOKUP(C24,'報告書② 第2年度(取組）'!$C$6:$G$35,5,0)),"------"))</f>
        <v/>
      </c>
      <c r="H24" s="26"/>
    </row>
    <row r="25" spans="1:13" ht="65.25" hidden="1" customHeight="1">
      <c r="A25" s="21">
        <v>20</v>
      </c>
      <c r="B25" s="35" t="s">
        <v>97</v>
      </c>
      <c r="C25" s="35"/>
      <c r="D25" s="35"/>
      <c r="E25" s="24" t="str">
        <f>IF('計画書② (取組）'!E24="","",'計画書② (取組）'!E24)</f>
        <v/>
      </c>
      <c r="F25" s="25" t="str">
        <f>IF(C25="","",IFERROR(IF(VLOOKUP(C25,'報告書② 第2年度(取組）'!$C$6:$G54,4,0)="","未入力",VLOOKUP(C25,'報告書② 第2年度(取組）'!$C$6:$G$35,4,0)),"------"))</f>
        <v/>
      </c>
      <c r="G25" s="25" t="str">
        <f>IF(C25="","",IFERROR(IF(VLOOKUP(C25,'報告書② 第2年度(取組）'!$C$6:$G54,5,0)="","未入力",VLOOKUP(C25,'報告書② 第2年度(取組）'!$C$6:$G$35,5,0)),"------"))</f>
        <v/>
      </c>
      <c r="H25" s="26"/>
    </row>
    <row r="26" spans="1:13" ht="65.25" hidden="1" customHeight="1">
      <c r="A26" s="21">
        <v>21</v>
      </c>
      <c r="B26" s="35" t="s">
        <v>97</v>
      </c>
      <c r="C26" s="35"/>
      <c r="D26" s="35"/>
      <c r="E26" s="24" t="str">
        <f>IF('計画書② (取組）'!E25="","",'計画書② (取組）'!E25)</f>
        <v/>
      </c>
      <c r="F26" s="25" t="str">
        <f>IF(C26="","",IFERROR(IF(VLOOKUP(C26,'報告書② 第2年度(取組）'!$C$6:$G55,4,0)="","未入力",VLOOKUP(C26,'報告書② 第2年度(取組）'!$C$6:$G$35,4,0)),"------"))</f>
        <v/>
      </c>
      <c r="G26" s="25" t="str">
        <f>IF(C26="","",IFERROR(IF(VLOOKUP(C26,'報告書② 第2年度(取組）'!$C$6:$G55,5,0)="","未入力",VLOOKUP(C26,'報告書② 第2年度(取組）'!$C$6:$G$35,5,0)),"------"))</f>
        <v/>
      </c>
      <c r="H26" s="26"/>
    </row>
    <row r="27" spans="1:13" ht="65.25" hidden="1" customHeight="1">
      <c r="A27" s="21">
        <v>22</v>
      </c>
      <c r="B27" s="35" t="s">
        <v>97</v>
      </c>
      <c r="C27" s="35"/>
      <c r="D27" s="35"/>
      <c r="E27" s="24" t="str">
        <f>IF('計画書② (取組）'!E26="","",'計画書② (取組）'!E26)</f>
        <v/>
      </c>
      <c r="F27" s="25" t="str">
        <f>IF(C27="","",IFERROR(IF(VLOOKUP(C27,'報告書② 第2年度(取組）'!$C$6:$G56,4,0)="","未入力",VLOOKUP(C27,'報告書② 第2年度(取組）'!$C$6:$G$35,4,0)),"------"))</f>
        <v/>
      </c>
      <c r="G27" s="25" t="str">
        <f>IF(C27="","",IFERROR(IF(VLOOKUP(C27,'報告書② 第2年度(取組）'!$C$6:$G56,5,0)="","未入力",VLOOKUP(C27,'報告書② 第2年度(取組）'!$C$6:$G$35,5,0)),"------"))</f>
        <v/>
      </c>
      <c r="H27" s="26"/>
    </row>
    <row r="28" spans="1:13" ht="65.25" hidden="1" customHeight="1">
      <c r="A28" s="21">
        <v>23</v>
      </c>
      <c r="B28" s="35" t="s">
        <v>98</v>
      </c>
      <c r="C28" s="35"/>
      <c r="D28" s="35"/>
      <c r="E28" s="24" t="str">
        <f>IF('計画書② (取組）'!E27="","",'計画書② (取組）'!E27)</f>
        <v/>
      </c>
      <c r="F28" s="25" t="str">
        <f>IF(C28="","",IFERROR(IF(VLOOKUP(C28,'報告書② 第2年度(取組）'!$C$6:$G57,4,0)="","未入力",VLOOKUP(C28,'報告書② 第2年度(取組）'!$C$6:$G$35,4,0)),"------"))</f>
        <v/>
      </c>
      <c r="G28" s="25" t="str">
        <f>IF(C28="","",IFERROR(IF(VLOOKUP(C28,'報告書② 第2年度(取組）'!$C$6:$G57,5,0)="","未入力",VLOOKUP(C28,'報告書② 第2年度(取組）'!$C$6:$G$35,5,0)),"------"))</f>
        <v/>
      </c>
      <c r="H28" s="26"/>
    </row>
    <row r="29" spans="1:13" ht="65.25" hidden="1" customHeight="1">
      <c r="A29" s="21">
        <v>24</v>
      </c>
      <c r="B29" s="35" t="s">
        <v>98</v>
      </c>
      <c r="C29" s="35"/>
      <c r="D29" s="35"/>
      <c r="E29" s="24" t="str">
        <f>IF('計画書② (取組）'!E28="","",'計画書② (取組）'!E28)</f>
        <v/>
      </c>
      <c r="F29" s="25" t="str">
        <f>IF(C29="","",IFERROR(IF(VLOOKUP(C29,'報告書② 第2年度(取組）'!$C$6:$G58,4,0)="","未入力",VLOOKUP(C29,'報告書② 第2年度(取組）'!$C$6:$G$35,4,0)),"------"))</f>
        <v/>
      </c>
      <c r="G29" s="25" t="str">
        <f>IF(C29="","",IFERROR(IF(VLOOKUP(C29,'報告書② 第2年度(取組）'!$C$6:$G58,5,0)="","未入力",VLOOKUP(C29,'報告書② 第2年度(取組）'!$C$6:$G$35,5,0)),"------"))</f>
        <v/>
      </c>
      <c r="H29" s="26"/>
    </row>
    <row r="30" spans="1:13" ht="65.25" hidden="1" customHeight="1">
      <c r="A30" s="21">
        <v>25</v>
      </c>
      <c r="B30" s="35" t="s">
        <v>99</v>
      </c>
      <c r="C30" s="35"/>
      <c r="D30" s="35"/>
      <c r="E30" s="24" t="str">
        <f>IF('計画書② (取組）'!E29="","",'計画書② (取組）'!E29)</f>
        <v/>
      </c>
      <c r="F30" s="25" t="str">
        <f>IF(C30="","",IFERROR(IF(VLOOKUP(C30,'報告書② 第2年度(取組）'!$C$6:$G59,4,0)="","未入力",VLOOKUP(C30,'報告書② 第2年度(取組）'!$C$6:$G$35,4,0)),"------"))</f>
        <v/>
      </c>
      <c r="G30" s="25" t="str">
        <f>IF(C30="","",IFERROR(IF(VLOOKUP(C30,'報告書② 第2年度(取組）'!$C$6:$G59,5,0)="","未入力",VLOOKUP(C30,'報告書② 第2年度(取組）'!$C$6:$G$35,5,0)),"------"))</f>
        <v/>
      </c>
      <c r="H30" s="26"/>
    </row>
    <row r="31" spans="1:13" ht="65.25" hidden="1" customHeight="1">
      <c r="A31" s="21">
        <v>26</v>
      </c>
      <c r="B31" s="35" t="s">
        <v>100</v>
      </c>
      <c r="C31" s="35"/>
      <c r="D31" s="35"/>
      <c r="E31" s="24" t="str">
        <f>IF('計画書② (取組）'!E30="","",'計画書② (取組）'!E30)</f>
        <v/>
      </c>
      <c r="F31" s="25" t="str">
        <f>IF(C31="","",IFERROR(IF(VLOOKUP(C31,'報告書② 第2年度(取組）'!$C$6:$G60,4,0)="","未入力",VLOOKUP(C31,'報告書② 第2年度(取組）'!$C$6:$G$35,4,0)),"------"))</f>
        <v/>
      </c>
      <c r="G31" s="25" t="str">
        <f>IF(C31="","",IFERROR(IF(VLOOKUP(C31,'報告書② 第2年度(取組）'!$C$6:$G60,5,0)="","未入力",VLOOKUP(C31,'報告書② 第2年度(取組）'!$C$6:$G$35,5,0)),"------"))</f>
        <v/>
      </c>
      <c r="H31" s="26"/>
    </row>
    <row r="32" spans="1:13" ht="65.25" hidden="1" customHeight="1">
      <c r="A32" s="21">
        <v>27</v>
      </c>
      <c r="B32" s="35" t="s">
        <v>101</v>
      </c>
      <c r="C32" s="35"/>
      <c r="D32" s="35"/>
      <c r="E32" s="24" t="str">
        <f>IF('計画書② (取組）'!E31="","",'計画書② (取組）'!E31)</f>
        <v/>
      </c>
      <c r="F32" s="25" t="str">
        <f>IF(C32="","",IFERROR(IF(VLOOKUP(C32,'報告書② 第2年度(取組）'!$C$6:$G61,4,0)="","未入力",VLOOKUP(C32,'報告書② 第2年度(取組）'!$C$6:$G$35,4,0)),"------"))</f>
        <v/>
      </c>
      <c r="G32" s="25" t="str">
        <f>IF(C32="","",IFERROR(IF(VLOOKUP(C32,'報告書② 第2年度(取組）'!$C$6:$G61,5,0)="","未入力",VLOOKUP(C32,'報告書② 第2年度(取組）'!$C$6:$G$35,5,0)),"------"))</f>
        <v/>
      </c>
      <c r="H32" s="26"/>
    </row>
    <row r="33" spans="1:21" ht="65.25" hidden="1" customHeight="1">
      <c r="A33" s="21">
        <v>28</v>
      </c>
      <c r="B33" s="35" t="s">
        <v>102</v>
      </c>
      <c r="C33" s="35"/>
      <c r="D33" s="35"/>
      <c r="E33" s="24" t="str">
        <f>IF('計画書② (取組）'!E32="","",'計画書② (取組）'!E32)</f>
        <v/>
      </c>
      <c r="F33" s="25" t="str">
        <f>IF(C33="","",IFERROR(IF(VLOOKUP(C33,'報告書② 第2年度(取組）'!$C$6:$G62,4,0)="","未入力",VLOOKUP(C33,'報告書② 第2年度(取組）'!$C$6:$G$35,4,0)),"------"))</f>
        <v/>
      </c>
      <c r="G33" s="25" t="str">
        <f>IF(C33="","",IFERROR(IF(VLOOKUP(C33,'報告書② 第2年度(取組）'!$C$6:$G62,5,0)="","未入力",VLOOKUP(C33,'報告書② 第2年度(取組）'!$C$6:$G$35,5,0)),"------"))</f>
        <v/>
      </c>
      <c r="H33" s="26"/>
    </row>
    <row r="34" spans="1:21" ht="65.25" hidden="1" customHeight="1">
      <c r="A34" s="21">
        <v>29</v>
      </c>
      <c r="B34" s="35" t="s">
        <v>3098</v>
      </c>
      <c r="C34" s="35"/>
      <c r="D34" s="35"/>
      <c r="E34" s="24" t="str">
        <f>IF('計画書② (取組）'!E33="","",'計画書② (取組）'!E33)</f>
        <v/>
      </c>
      <c r="F34" s="25" t="str">
        <f>IF(C34="","",IFERROR(IF(VLOOKUP(C34,'報告書② 第2年度(取組）'!$C$6:$G63,4,0)="","未入力",VLOOKUP(C34,'報告書② 第2年度(取組）'!$C$6:$G$35,4,0)),"------"))</f>
        <v/>
      </c>
      <c r="G34" s="25" t="str">
        <f>IF(C34="","",IFERROR(IF(VLOOKUP(C34,'報告書② 第2年度(取組）'!$C$6:$G63,5,0)="","未入力",VLOOKUP(C34,'報告書② 第2年度(取組）'!$C$6:$G$35,5,0)),"------"))</f>
        <v/>
      </c>
      <c r="H34" s="26"/>
    </row>
    <row r="35" spans="1:21" ht="65.25" hidden="1" customHeight="1">
      <c r="A35" s="21">
        <v>30</v>
      </c>
      <c r="B35" s="35" t="s">
        <v>3098</v>
      </c>
      <c r="C35" s="35"/>
      <c r="D35" s="35"/>
      <c r="E35" s="24" t="str">
        <f>IF('計画書② (取組）'!E34="","",'計画書② (取組）'!E34)</f>
        <v/>
      </c>
      <c r="F35" s="25" t="str">
        <f>IF(C35="","",IFERROR(IF(VLOOKUP(C35,'報告書② 第2年度(取組）'!$C$6:$G64,4,0)="","未入力",VLOOKUP(C35,'報告書② 第2年度(取組）'!$C$6:$G$35,4,0)),"------"))</f>
        <v/>
      </c>
      <c r="G35" s="25" t="str">
        <f>IF(C35="","",IFERROR(IF(VLOOKUP(C35,'報告書② 第2年度(取組）'!$C$6:$G64,5,0)="","未入力",VLOOKUP(C35,'報告書② 第2年度(取組）'!$C$6:$G$35,5,0)),"------"))</f>
        <v/>
      </c>
      <c r="H35" s="26"/>
    </row>
    <row r="37" spans="1:21">
      <c r="A37" s="12" t="s">
        <v>4129</v>
      </c>
    </row>
    <row r="38" spans="1:21" ht="65.25" customHeight="1">
      <c r="A38" s="808" t="s">
        <v>4096</v>
      </c>
      <c r="B38" s="808"/>
      <c r="C38" s="808"/>
      <c r="D38" s="810" t="str">
        <f>'報告書② 第1年度(取組）'!D38&amp;""</f>
        <v/>
      </c>
      <c r="E38" s="810"/>
      <c r="F38" s="810"/>
    </row>
    <row r="39" spans="1:21" ht="65.25" customHeight="1">
      <c r="A39" s="808" t="s">
        <v>4101</v>
      </c>
      <c r="B39" s="808"/>
      <c r="C39" s="808"/>
      <c r="D39" s="810" t="str">
        <f>'報告書② 第2年度(取組）'!D39&amp;""</f>
        <v/>
      </c>
      <c r="E39" s="810"/>
      <c r="F39" s="810"/>
    </row>
    <row r="40" spans="1:21" ht="65.25" customHeight="1">
      <c r="A40" s="808" t="s">
        <v>4102</v>
      </c>
      <c r="B40" s="808"/>
      <c r="C40" s="808"/>
      <c r="D40" s="904"/>
      <c r="E40" s="904"/>
      <c r="F40" s="904"/>
    </row>
    <row r="41" spans="1:21" ht="28.35" customHeight="1"/>
    <row r="42" spans="1:21">
      <c r="A42" s="14" t="s">
        <v>4177</v>
      </c>
      <c r="B42" s="14"/>
      <c r="Q42" s="19"/>
      <c r="R42" s="19"/>
    </row>
    <row r="43" spans="1:21" ht="13.35" customHeight="1">
      <c r="A43" s="905" t="s">
        <v>88</v>
      </c>
      <c r="B43" s="906" t="s">
        <v>91</v>
      </c>
      <c r="C43" s="903" t="s">
        <v>89</v>
      </c>
      <c r="D43" s="903" t="s">
        <v>90</v>
      </c>
      <c r="E43" s="642" t="s">
        <v>4110</v>
      </c>
      <c r="F43" s="908"/>
      <c r="G43" s="908"/>
      <c r="H43" s="643"/>
      <c r="K43" s="12" t="s">
        <v>4102</v>
      </c>
      <c r="Q43" s="19"/>
      <c r="R43" s="19"/>
    </row>
    <row r="44" spans="1:21" ht="33" customHeight="1">
      <c r="A44" s="905"/>
      <c r="B44" s="906"/>
      <c r="C44" s="903"/>
      <c r="D44" s="903"/>
      <c r="E44" s="20" t="s">
        <v>4104</v>
      </c>
      <c r="F44" s="20" t="s">
        <v>4096</v>
      </c>
      <c r="G44" s="20" t="s">
        <v>4101</v>
      </c>
      <c r="H44" s="20" t="s">
        <v>4102</v>
      </c>
      <c r="I44" s="37"/>
      <c r="K44" s="21" t="s">
        <v>131</v>
      </c>
      <c r="L44" s="21" t="s">
        <v>134</v>
      </c>
      <c r="M44" s="38" t="s">
        <v>140</v>
      </c>
      <c r="O44" s="21" t="s">
        <v>4110</v>
      </c>
      <c r="P44" s="21" t="s">
        <v>134</v>
      </c>
      <c r="Q44" s="22" t="s">
        <v>120</v>
      </c>
      <c r="R44" s="22" t="s">
        <v>144</v>
      </c>
      <c r="S44" s="22" t="s">
        <v>121</v>
      </c>
      <c r="T44" s="19" t="s">
        <v>4112</v>
      </c>
      <c r="U44" s="39"/>
    </row>
    <row r="45" spans="1:21" ht="65.25" customHeight="1">
      <c r="A45" s="15">
        <v>1</v>
      </c>
      <c r="B45" s="40"/>
      <c r="C45" s="41" t="str">
        <f>対策リスト!AT2&amp;""</f>
        <v/>
      </c>
      <c r="D45" s="23" t="str">
        <f t="shared" ref="D45:D59" si="1">IFERROR(VLOOKUP(C45,選択対策,2,0),"")</f>
        <v/>
      </c>
      <c r="E45" s="24" t="str">
        <f>IF(C45="","",IFERROR(IF(VLOOKUP(C45,'報告書② 第2年度(取組）'!$C$45:$G$64,3,0)="","未入力",VLOOKUP(C45,'報告書② 第2年度(取組）'!$C$45:$G$64,3,0)),"------"))</f>
        <v/>
      </c>
      <c r="F45" s="25" t="str">
        <f>IF(C45="","",IFERROR(IF(VLOOKUP(C45,'報告書② 第2年度(取組）'!$C$45:$G$64,4,0)="","未入力",VLOOKUP(C45,'報告書② 第2年度(取組）'!$C$45:$G$64,4,0)),"------"))</f>
        <v/>
      </c>
      <c r="G45" s="25" t="str">
        <f>IF(C45="","",IFERROR(IF(VLOOKUP(C45,'報告書② 第2年度(取組）'!$C$45:$G$64,5,0)="","未入力",VLOOKUP(C45,'報告書② 第2年度(取組）'!$C$45:$G$64,5,0)),"------"))</f>
        <v/>
      </c>
      <c r="H45" s="26"/>
      <c r="I45" s="42"/>
      <c r="K45" s="27" t="s">
        <v>120</v>
      </c>
      <c r="L45" s="27">
        <f>COUNTIF($H$45:$H$64,$K45)</f>
        <v>0</v>
      </c>
      <c r="M45" s="38">
        <v>5</v>
      </c>
      <c r="O45" s="27" t="s">
        <v>135</v>
      </c>
      <c r="P45" s="27" t="str">
        <f>IF($J$2&gt;0,SUM(Q45:S45),"")</f>
        <v/>
      </c>
      <c r="Q45" s="27" t="str">
        <f>IF($J$2&gt;0,COUNTIF($F$45:$F$64,Q$44),"")</f>
        <v/>
      </c>
      <c r="R45" s="27" t="str">
        <f>IF($J$2&gt;0,COUNTIF($F$45:$F$64,R$44),"")</f>
        <v/>
      </c>
      <c r="S45" s="27" t="str">
        <f>IF($J$2&gt;0,COUNTIF($F$45:$F$64,S$44),"")</f>
        <v/>
      </c>
      <c r="T45" s="12" t="str">
        <f>IF($J$2&gt;0,Q45*$M$45+R45*$M$46,"")</f>
        <v/>
      </c>
    </row>
    <row r="46" spans="1:21" ht="65.25" customHeight="1">
      <c r="A46" s="15">
        <v>2</v>
      </c>
      <c r="B46" s="40"/>
      <c r="C46" s="41" t="str">
        <f>対策リスト!AT3&amp;""</f>
        <v/>
      </c>
      <c r="D46" s="23" t="str">
        <f t="shared" si="1"/>
        <v/>
      </c>
      <c r="E46" s="24" t="str">
        <f>IF(C46="","",IFERROR(IF(VLOOKUP(C46,'報告書② 第2年度(取組）'!$C$45:$G$64,3,0)="","未入力",VLOOKUP(C46,'報告書② 第2年度(取組）'!$C$45:$G$64,3,0)),"------"))</f>
        <v/>
      </c>
      <c r="F46" s="25" t="str">
        <f>IF(C46="","",IFERROR(IF(VLOOKUP(C46,'報告書② 第2年度(取組）'!$C$45:$G$64,4,0)="","未入力",VLOOKUP(C46,'報告書② 第2年度(取組）'!$C$45:$G$64,4,0)),"------"))</f>
        <v/>
      </c>
      <c r="G46" s="25" t="str">
        <f>IF(C46="","",IFERROR(IF(VLOOKUP(C46,'報告書② 第2年度(取組）'!$C$45:$G$64,5,0)="","未入力",VLOOKUP(C46,'報告書② 第2年度(取組）'!$C$45:$G$64,5,0)),"------"))</f>
        <v/>
      </c>
      <c r="H46" s="26"/>
      <c r="I46" s="42"/>
      <c r="K46" s="27" t="s">
        <v>130</v>
      </c>
      <c r="L46" s="27">
        <f>COUNTIF($H$45:$H$64,$K46)</f>
        <v>0</v>
      </c>
      <c r="M46" s="38">
        <v>3</v>
      </c>
      <c r="O46" s="27" t="s">
        <v>136</v>
      </c>
      <c r="P46" s="27" t="str">
        <f>IF($J$2&gt;1,SUM(Q46:S46),"")</f>
        <v/>
      </c>
      <c r="Q46" s="27" t="str">
        <f>IF($J$2&gt;1,COUNTIF($G$45:$G$64,Q$44),"")</f>
        <v/>
      </c>
      <c r="R46" s="27" t="str">
        <f>IF($J$2&gt;1,COUNTIF($G$45:$G$64,R$44),"")</f>
        <v/>
      </c>
      <c r="S46" s="27" t="str">
        <f>IF($J$2&gt;1,COUNTIF($G$45:$G$64,S$44),"")</f>
        <v/>
      </c>
      <c r="T46" s="12" t="str">
        <f>IF($J$2&gt;1,Q46*$M$45+R46*$M$46,"")</f>
        <v/>
      </c>
    </row>
    <row r="47" spans="1:21" ht="65.25" customHeight="1">
      <c r="A47" s="15">
        <v>3</v>
      </c>
      <c r="B47" s="40"/>
      <c r="C47" s="41" t="str">
        <f>対策リスト!AT4&amp;""</f>
        <v/>
      </c>
      <c r="D47" s="23" t="str">
        <f t="shared" si="1"/>
        <v/>
      </c>
      <c r="E47" s="24" t="str">
        <f>IF(C47="","",IFERROR(IF(VLOOKUP(C47,'報告書② 第2年度(取組）'!$C$45:$G$64,3,0)="","未入力",VLOOKUP(C47,'報告書② 第2年度(取組）'!$C$45:$G$64,3,0)),"------"))</f>
        <v/>
      </c>
      <c r="F47" s="25" t="str">
        <f>IF(C47="","",IFERROR(IF(VLOOKUP(C47,'報告書② 第2年度(取組）'!$C$45:$G$64,4,0)="","未入力",VLOOKUP(C47,'報告書② 第2年度(取組）'!$C$45:$G$64,4,0)),"------"))</f>
        <v/>
      </c>
      <c r="G47" s="25" t="str">
        <f>IF(C47="","",IFERROR(IF(VLOOKUP(C47,'報告書② 第2年度(取組）'!$C$45:$G$64,5,0)="","未入力",VLOOKUP(C47,'報告書② 第2年度(取組）'!$C$45:$G$64,5,0)),"------"))</f>
        <v/>
      </c>
      <c r="H47" s="26"/>
      <c r="I47" s="42"/>
      <c r="K47" s="27" t="s">
        <v>121</v>
      </c>
      <c r="L47" s="27">
        <f>COUNTIF($H$45:$H$64,$K47)</f>
        <v>0</v>
      </c>
      <c r="M47" s="38">
        <v>0</v>
      </c>
      <c r="O47" s="27" t="s">
        <v>137</v>
      </c>
      <c r="P47" s="27" t="str">
        <f>IF($J$2&gt;2,SUM(Q47:S47),"")</f>
        <v/>
      </c>
      <c r="Q47" s="27" t="str">
        <f>IF($J$2&gt;2,COUNTIF($H$45:$H$64,Q$44),"")</f>
        <v/>
      </c>
      <c r="R47" s="27" t="str">
        <f>IF($J$2&gt;2,COUNTIF($H$45:$H$64,R$44),"")</f>
        <v/>
      </c>
      <c r="S47" s="27" t="str">
        <f>IF($J$2&gt;2,COUNTIF($H$45:$H$64,S$44),"")</f>
        <v/>
      </c>
      <c r="T47" s="12" t="str">
        <f>IF($J$2&gt;2,Q47*$M$45+R47*$M$46,"")</f>
        <v/>
      </c>
    </row>
    <row r="48" spans="1:21" ht="65.25" customHeight="1">
      <c r="A48" s="15">
        <v>4</v>
      </c>
      <c r="B48" s="40"/>
      <c r="C48" s="41" t="str">
        <f>対策リスト!AT5&amp;""</f>
        <v/>
      </c>
      <c r="D48" s="23" t="str">
        <f t="shared" si="1"/>
        <v/>
      </c>
      <c r="E48" s="24" t="str">
        <f>IF(C48="","",IFERROR(IF(VLOOKUP(C48,'報告書② 第2年度(取組）'!$C$45:$G$64,3,0)="","未入力",VLOOKUP(C48,'報告書② 第2年度(取組）'!$C$45:$G$64,3,0)),"------"))</f>
        <v/>
      </c>
      <c r="F48" s="25" t="str">
        <f>IF(C48="","",IFERROR(IF(VLOOKUP(C48,'報告書② 第2年度(取組）'!$C$45:$G$64,4,0)="","未入力",VLOOKUP(C48,'報告書② 第2年度(取組）'!$C$45:$G$64,4,0)),"------"))</f>
        <v/>
      </c>
      <c r="G48" s="25" t="str">
        <f>IF(C48="","",IFERROR(IF(VLOOKUP(C48,'報告書② 第2年度(取組）'!$C$45:$G$64,5,0)="","未入力",VLOOKUP(C48,'報告書② 第2年度(取組）'!$C$45:$G$64,5,0)),"------"))</f>
        <v/>
      </c>
      <c r="H48" s="26"/>
      <c r="I48" s="42"/>
      <c r="K48" s="27" t="s">
        <v>106</v>
      </c>
      <c r="L48" s="27">
        <f>SUM(L45:L47)</f>
        <v>0</v>
      </c>
      <c r="M48" s="38">
        <v>50</v>
      </c>
      <c r="O48" s="43" t="s">
        <v>4116</v>
      </c>
      <c r="P48" s="43" t="str">
        <f>IFERROR(ROUNDUP(AVERAGE(P45:P47),0),"")</f>
        <v/>
      </c>
      <c r="Q48" s="43" t="str">
        <f>IFERROR(ROUNDUP(AVERAGE(Q45:Q47),0),"")</f>
        <v/>
      </c>
      <c r="R48" s="43" t="str">
        <f>IFERROR(ROUNDUP(AVERAGE(R45:R47),0),"")</f>
        <v/>
      </c>
      <c r="S48" s="43" t="str">
        <f>IFERROR(ROUNDUP(AVERAGE(S45:S47),0),"")</f>
        <v/>
      </c>
      <c r="T48" s="43" t="str">
        <f>IFERROR(ROUNDUP(AVERAGE(T45:T47),0),"")</f>
        <v/>
      </c>
    </row>
    <row r="49" spans="1:13" ht="65.25" customHeight="1">
      <c r="A49" s="15">
        <v>5</v>
      </c>
      <c r="B49" s="40"/>
      <c r="C49" s="41" t="str">
        <f>対策リスト!AT6&amp;""</f>
        <v/>
      </c>
      <c r="D49" s="23" t="str">
        <f t="shared" si="1"/>
        <v/>
      </c>
      <c r="E49" s="24" t="str">
        <f>IF(C49="","",IFERROR(IF(VLOOKUP(C49,'報告書② 第2年度(取組）'!$C$45:$G$64,3,0)="","未入力",VLOOKUP(C49,'報告書② 第2年度(取組）'!$C$45:$G$64,3,0)),"------"))</f>
        <v/>
      </c>
      <c r="F49" s="25" t="str">
        <f>IF(C49="","",IFERROR(IF(VLOOKUP(C49,'報告書② 第2年度(取組）'!$C$45:$G$64,4,0)="","未入力",VLOOKUP(C49,'報告書② 第2年度(取組）'!$C$45:$G$64,4,0)),"------"))</f>
        <v/>
      </c>
      <c r="G49" s="25" t="str">
        <f>IF(C49="","",IFERROR(IF(VLOOKUP(C49,'報告書② 第2年度(取組）'!$C$45:$G$64,5,0)="","未入力",VLOOKUP(C49,'報告書② 第2年度(取組）'!$C$45:$G$64,5,0)),"------"))</f>
        <v/>
      </c>
      <c r="H49" s="26"/>
      <c r="I49" s="42"/>
      <c r="K49" s="31" t="s">
        <v>4130</v>
      </c>
      <c r="L49" s="33">
        <f>IF(L45*M45+L46*M46&gt;M48,M48,L45*M45+L46*M46)</f>
        <v>0</v>
      </c>
    </row>
    <row r="50" spans="1:13" ht="65.25" customHeight="1">
      <c r="A50" s="15">
        <v>6</v>
      </c>
      <c r="B50" s="40"/>
      <c r="C50" s="41" t="str">
        <f>対策リスト!AT7&amp;""</f>
        <v/>
      </c>
      <c r="D50" s="23" t="str">
        <f t="shared" si="1"/>
        <v/>
      </c>
      <c r="E50" s="24" t="str">
        <f>IF(C50="","",IFERROR(IF(VLOOKUP(C50,'報告書② 第2年度(取組）'!$C$45:$G$64,3,0)="","未入力",VLOOKUP(C50,'報告書② 第2年度(取組）'!$C$45:$G$64,3,0)),"------"))</f>
        <v/>
      </c>
      <c r="F50" s="25" t="str">
        <f>IF(C50="","",IFERROR(IF(VLOOKUP(C50,'報告書② 第2年度(取組）'!$C$45:$G$64,4,0)="","未入力",VLOOKUP(C50,'報告書② 第2年度(取組）'!$C$45:$G$64,4,0)),"------"))</f>
        <v/>
      </c>
      <c r="G50" s="25" t="str">
        <f>IF(C50="","",IFERROR(IF(VLOOKUP(C50,'報告書② 第2年度(取組）'!$C$45:$G$64,5,0)="","未入力",VLOOKUP(C50,'報告書② 第2年度(取組）'!$C$45:$G$64,5,0)),"------"))</f>
        <v/>
      </c>
      <c r="H50" s="26"/>
      <c r="I50" s="42"/>
      <c r="K50" s="31"/>
      <c r="L50" s="44"/>
    </row>
    <row r="51" spans="1:13" ht="65.25" customHeight="1">
      <c r="A51" s="15">
        <v>7</v>
      </c>
      <c r="B51" s="40"/>
      <c r="C51" s="41" t="str">
        <f>対策リスト!AT8&amp;""</f>
        <v/>
      </c>
      <c r="D51" s="23" t="str">
        <f t="shared" si="1"/>
        <v/>
      </c>
      <c r="E51" s="24" t="str">
        <f>IF(C51="","",IFERROR(IF(VLOOKUP(C51,'報告書② 第2年度(取組）'!$C$45:$G$64,3,0)="","未入力",VLOOKUP(C51,'報告書② 第2年度(取組）'!$C$45:$G$64,3,0)),"------"))</f>
        <v/>
      </c>
      <c r="F51" s="25" t="str">
        <f>IF(C51="","",IFERROR(IF(VLOOKUP(C51,'報告書② 第2年度(取組）'!$C$45:$G$64,4,0)="","未入力",VLOOKUP(C51,'報告書② 第2年度(取組）'!$C$45:$G$64,4,0)),"------"))</f>
        <v/>
      </c>
      <c r="G51" s="25" t="str">
        <f>IF(C51="","",IFERROR(IF(VLOOKUP(C51,'報告書② 第2年度(取組）'!$C$45:$G$64,5,0)="","未入力",VLOOKUP(C51,'報告書② 第2年度(取組）'!$C$45:$G$64,5,0)),"------"))</f>
        <v/>
      </c>
      <c r="H51" s="26"/>
      <c r="I51" s="42"/>
    </row>
    <row r="52" spans="1:13" ht="65.25" customHeight="1">
      <c r="A52" s="15">
        <v>8</v>
      </c>
      <c r="B52" s="40"/>
      <c r="C52" s="41" t="str">
        <f>対策リスト!AT9&amp;""</f>
        <v/>
      </c>
      <c r="D52" s="23" t="str">
        <f t="shared" si="1"/>
        <v/>
      </c>
      <c r="E52" s="24" t="str">
        <f>IF(C52="","",IFERROR(IF(VLOOKUP(C52,'報告書② 第2年度(取組）'!$C$45:$G$64,3,0)="","未入力",VLOOKUP(C52,'報告書② 第2年度(取組）'!$C$45:$G$64,3,0)),"------"))</f>
        <v/>
      </c>
      <c r="F52" s="25" t="str">
        <f>IF(C52="","",IFERROR(IF(VLOOKUP(C52,'報告書② 第2年度(取組）'!$C$45:$G$64,4,0)="","未入力",VLOOKUP(C52,'報告書② 第2年度(取組）'!$C$45:$G$64,4,0)),"------"))</f>
        <v/>
      </c>
      <c r="G52" s="25" t="str">
        <f>IF(C52="","",IFERROR(IF(VLOOKUP(C52,'報告書② 第2年度(取組）'!$C$45:$G$64,5,0)="","未入力",VLOOKUP(C52,'報告書② 第2年度(取組）'!$C$45:$G$64,5,0)),"------"))</f>
        <v/>
      </c>
      <c r="H52" s="26"/>
      <c r="I52" s="42"/>
    </row>
    <row r="53" spans="1:13" ht="65.25" customHeight="1">
      <c r="A53" s="15">
        <v>9</v>
      </c>
      <c r="B53" s="40"/>
      <c r="C53" s="41" t="str">
        <f>対策リスト!AT10&amp;""</f>
        <v/>
      </c>
      <c r="D53" s="23" t="str">
        <f t="shared" si="1"/>
        <v/>
      </c>
      <c r="E53" s="24" t="str">
        <f>IF(C53="","",IFERROR(IF(VLOOKUP(C53,'報告書② 第2年度(取組）'!$C$45:$G$64,3,0)="","未入力",VLOOKUP(C53,'報告書② 第2年度(取組）'!$C$45:$G$64,3,0)),"------"))</f>
        <v/>
      </c>
      <c r="F53" s="25" t="str">
        <f>IF(C53="","",IFERROR(IF(VLOOKUP(C53,'報告書② 第2年度(取組）'!$C$45:$G$64,4,0)="","未入力",VLOOKUP(C53,'報告書② 第2年度(取組）'!$C$45:$G$64,4,0)),"------"))</f>
        <v/>
      </c>
      <c r="G53" s="25" t="str">
        <f>IF(C53="","",IFERROR(IF(VLOOKUP(C53,'報告書② 第2年度(取組）'!$C$45:$G$64,5,0)="","未入力",VLOOKUP(C53,'報告書② 第2年度(取組）'!$C$45:$G$64,5,0)),"------"))</f>
        <v/>
      </c>
      <c r="H53" s="26"/>
      <c r="I53" s="42"/>
    </row>
    <row r="54" spans="1:13" ht="65.25" customHeight="1">
      <c r="A54" s="15">
        <v>10</v>
      </c>
      <c r="B54" s="40"/>
      <c r="C54" s="41" t="str">
        <f>対策リスト!AT11&amp;""</f>
        <v/>
      </c>
      <c r="D54" s="23" t="str">
        <f t="shared" si="1"/>
        <v/>
      </c>
      <c r="E54" s="24" t="str">
        <f>IF(C54="","",IFERROR(IF(VLOOKUP(C54,'報告書② 第2年度(取組）'!$C$45:$G$64,3,0)="","未入力",VLOOKUP(C54,'報告書② 第2年度(取組）'!$C$45:$G$64,3,0)),"------"))</f>
        <v/>
      </c>
      <c r="F54" s="25" t="str">
        <f>IF(C54="","",IFERROR(IF(VLOOKUP(C54,'報告書② 第2年度(取組）'!$C$45:$G$64,4,0)="","未入力",VLOOKUP(C54,'報告書② 第2年度(取組）'!$C$45:$G$64,4,0)),"------"))</f>
        <v/>
      </c>
      <c r="G54" s="25" t="str">
        <f>IF(C54="","",IFERROR(IF(VLOOKUP(C54,'報告書② 第2年度(取組）'!$C$45:$G$64,5,0)="","未入力",VLOOKUP(C54,'報告書② 第2年度(取組）'!$C$45:$G$64,5,0)),"------"))</f>
        <v/>
      </c>
      <c r="H54" s="26"/>
      <c r="I54" s="42"/>
    </row>
    <row r="55" spans="1:13" ht="65.25" customHeight="1">
      <c r="A55" s="15">
        <v>11</v>
      </c>
      <c r="B55" s="40"/>
      <c r="C55" s="41" t="str">
        <f>対策リスト!AT12&amp;""</f>
        <v/>
      </c>
      <c r="D55" s="23" t="str">
        <f t="shared" si="1"/>
        <v/>
      </c>
      <c r="E55" s="24" t="str">
        <f>IF(C55="","",IFERROR(IF(VLOOKUP(C55,'報告書② 第2年度(取組）'!$C$45:$G$64,3,0)="","未入力",VLOOKUP(C55,'報告書② 第2年度(取組）'!$C$45:$G$64,3,0)),"------"))</f>
        <v/>
      </c>
      <c r="F55" s="25" t="str">
        <f>IF(C55="","",IFERROR(IF(VLOOKUP(C55,'報告書② 第2年度(取組）'!$C$45:$G$64,4,0)="","未入力",VLOOKUP(C55,'報告書② 第2年度(取組）'!$C$45:$G$64,4,0)),"------"))</f>
        <v/>
      </c>
      <c r="G55" s="25" t="str">
        <f>IF(C55="","",IFERROR(IF(VLOOKUP(C55,'報告書② 第2年度(取組）'!$C$45:$G$64,5,0)="","未入力",VLOOKUP(C55,'報告書② 第2年度(取組）'!$C$45:$G$64,5,0)),"------"))</f>
        <v/>
      </c>
      <c r="H55" s="26"/>
      <c r="I55" s="42"/>
    </row>
    <row r="56" spans="1:13" ht="65.25" customHeight="1">
      <c r="A56" s="15">
        <v>12</v>
      </c>
      <c r="B56" s="40"/>
      <c r="C56" s="41" t="str">
        <f>対策リスト!AT13&amp;""</f>
        <v/>
      </c>
      <c r="D56" s="23" t="str">
        <f t="shared" si="1"/>
        <v/>
      </c>
      <c r="E56" s="24" t="str">
        <f>IF(C56="","",IFERROR(IF(VLOOKUP(C56,'報告書② 第2年度(取組）'!$C$45:$G$64,3,0)="","未入力",VLOOKUP(C56,'報告書② 第2年度(取組）'!$C$45:$G$64,3,0)),"------"))</f>
        <v/>
      </c>
      <c r="F56" s="25" t="str">
        <f>IF(C56="","",IFERROR(IF(VLOOKUP(C56,'報告書② 第2年度(取組）'!$C$45:$G$64,4,0)="","未入力",VLOOKUP(C56,'報告書② 第2年度(取組）'!$C$45:$G$64,4,0)),"------"))</f>
        <v/>
      </c>
      <c r="G56" s="25" t="str">
        <f>IF(C56="","",IFERROR(IF(VLOOKUP(C56,'報告書② 第2年度(取組）'!$C$45:$G$64,5,0)="","未入力",VLOOKUP(C56,'報告書② 第2年度(取組）'!$C$45:$G$64,5,0)),"------"))</f>
        <v/>
      </c>
      <c r="H56" s="26"/>
      <c r="I56" s="42"/>
    </row>
    <row r="57" spans="1:13" ht="65.25" customHeight="1">
      <c r="A57" s="15">
        <v>13</v>
      </c>
      <c r="B57" s="40"/>
      <c r="C57" s="41" t="str">
        <f>対策リスト!AT14&amp;""</f>
        <v/>
      </c>
      <c r="D57" s="23" t="str">
        <f t="shared" si="1"/>
        <v/>
      </c>
      <c r="E57" s="24" t="str">
        <f>IF(C57="","",IFERROR(IF(VLOOKUP(C57,'報告書② 第2年度(取組）'!$C$45:$G$64,3,0)="","未入力",VLOOKUP(C57,'報告書② 第2年度(取組）'!$C$45:$G$64,3,0)),"------"))</f>
        <v/>
      </c>
      <c r="F57" s="25" t="str">
        <f>IF(C57="","",IFERROR(IF(VLOOKUP(C57,'報告書② 第2年度(取組）'!$C$45:$G$64,4,0)="","未入力",VLOOKUP(C57,'報告書② 第2年度(取組）'!$C$45:$G$64,4,0)),"------"))</f>
        <v/>
      </c>
      <c r="G57" s="25" t="str">
        <f>IF(C57="","",IFERROR(IF(VLOOKUP(C57,'報告書② 第2年度(取組）'!$C$45:$G$64,5,0)="","未入力",VLOOKUP(C57,'報告書② 第2年度(取組）'!$C$45:$G$64,5,0)),"------"))</f>
        <v/>
      </c>
      <c r="H57" s="26"/>
      <c r="I57" s="42"/>
    </row>
    <row r="58" spans="1:13" ht="65.25" customHeight="1">
      <c r="A58" s="15">
        <v>14</v>
      </c>
      <c r="B58" s="40"/>
      <c r="C58" s="41" t="str">
        <f>対策リスト!AT15&amp;""</f>
        <v/>
      </c>
      <c r="D58" s="23" t="str">
        <f t="shared" si="1"/>
        <v/>
      </c>
      <c r="E58" s="24" t="str">
        <f>IF(C58="","",IFERROR(IF(VLOOKUP(C58,'報告書② 第2年度(取組）'!$C$45:$G$64,3,0)="","未入力",VLOOKUP(C58,'報告書② 第2年度(取組）'!$C$45:$G$64,3,0)),"------"))</f>
        <v/>
      </c>
      <c r="F58" s="25" t="str">
        <f>IF(C58="","",IFERROR(IF(VLOOKUP(C58,'報告書② 第2年度(取組）'!$C$45:$G$64,4,0)="","未入力",VLOOKUP(C58,'報告書② 第2年度(取組）'!$C$45:$G$64,4,0)),"------"))</f>
        <v/>
      </c>
      <c r="G58" s="25" t="str">
        <f>IF(C58="","",IFERROR(IF(VLOOKUP(C58,'報告書② 第2年度(取組）'!$C$45:$G$64,5,0)="","未入力",VLOOKUP(C58,'報告書② 第2年度(取組）'!$C$45:$G$64,5,0)),"------"))</f>
        <v/>
      </c>
      <c r="H58" s="26"/>
      <c r="I58" s="42"/>
      <c r="K58" s="19"/>
      <c r="L58" s="19"/>
      <c r="M58" s="19"/>
    </row>
    <row r="59" spans="1:13" ht="65.25" customHeight="1">
      <c r="A59" s="15">
        <v>15</v>
      </c>
      <c r="B59" s="40"/>
      <c r="C59" s="41" t="str">
        <f>対策リスト!AT16&amp;""</f>
        <v/>
      </c>
      <c r="D59" s="23" t="str">
        <f t="shared" si="1"/>
        <v/>
      </c>
      <c r="E59" s="24" t="str">
        <f>IF(C59="","",IFERROR(IF(VLOOKUP(C59,'報告書② 第2年度(取組）'!$C$45:$G$64,3,0)="","未入力",VLOOKUP(C59,'報告書② 第2年度(取組）'!$C$45:$G$64,3,0)),"------"))</f>
        <v/>
      </c>
      <c r="F59" s="25" t="str">
        <f>IF(C59="","",IFERROR(IF(VLOOKUP(C59,'報告書② 第2年度(取組）'!$C$45:$G$64,4,0)="","未入力",VLOOKUP(C59,'報告書② 第2年度(取組）'!$C$45:$G$64,4,0)),"------"))</f>
        <v/>
      </c>
      <c r="G59" s="25" t="str">
        <f>IF(C59="","",IFERROR(IF(VLOOKUP(C59,'報告書② 第2年度(取組）'!$C$45:$G$64,5,0)="","未入力",VLOOKUP(C59,'報告書② 第2年度(取組）'!$C$45:$G$64,5,0)),"------"))</f>
        <v/>
      </c>
      <c r="H59" s="26"/>
      <c r="I59" s="42"/>
      <c r="M59" s="19"/>
    </row>
    <row r="60" spans="1:13" ht="65.25" customHeight="1">
      <c r="A60" s="15">
        <v>16</v>
      </c>
      <c r="B60" s="40"/>
      <c r="C60" s="41" t="str">
        <f>対策リスト!AT17&amp;""</f>
        <v/>
      </c>
      <c r="D60" s="23" t="str">
        <f>IFERROR(VLOOKUP(C60,選択対策,2,0),"")</f>
        <v/>
      </c>
      <c r="E60" s="24" t="str">
        <f>IF(C60="","",IFERROR(IF(VLOOKUP(C60,'報告書② 第2年度(取組）'!$C$45:$G$64,3,0)="","未入力",VLOOKUP(C60,'報告書② 第2年度(取組）'!$C$45:$G$64,3,0)),"------"))</f>
        <v/>
      </c>
      <c r="F60" s="25" t="str">
        <f>IF(C60="","",IFERROR(IF(VLOOKUP(C60,'報告書② 第2年度(取組）'!$C$45:$G$64,4,0)="","未入力",VLOOKUP(C60,'報告書② 第2年度(取組）'!$C$45:$G$64,4,0)),"------"))</f>
        <v/>
      </c>
      <c r="G60" s="25" t="str">
        <f>IF(C60="","",IFERROR(IF(VLOOKUP(C60,'報告書② 第2年度(取組）'!$C$45:$G$64,5,0)="","未入力",VLOOKUP(C60,'報告書② 第2年度(取組）'!$C$45:$G$64,5,0)),"------"))</f>
        <v/>
      </c>
      <c r="H60" s="26"/>
      <c r="I60" s="42"/>
      <c r="M60" s="19"/>
    </row>
    <row r="61" spans="1:13" ht="65.25" customHeight="1">
      <c r="A61" s="15">
        <v>17</v>
      </c>
      <c r="B61" s="40"/>
      <c r="C61" s="41" t="str">
        <f>対策リスト!AT18&amp;""</f>
        <v/>
      </c>
      <c r="D61" s="23" t="str">
        <f>IFERROR(VLOOKUP(C61,選択対策,2,0),"")</f>
        <v/>
      </c>
      <c r="E61" s="24" t="str">
        <f>IF(C61="","",IFERROR(IF(VLOOKUP(C61,'報告書② 第2年度(取組）'!$C$45:$G$64,3,0)="","未入力",VLOOKUP(C61,'報告書② 第2年度(取組）'!$C$45:$G$64,3,0)),"------"))</f>
        <v/>
      </c>
      <c r="F61" s="25" t="str">
        <f>IF(C61="","",IFERROR(IF(VLOOKUP(C61,'報告書② 第2年度(取組）'!$C$45:$G$64,4,0)="","未入力",VLOOKUP(C61,'報告書② 第2年度(取組）'!$C$45:$G$64,4,0)),"------"))</f>
        <v/>
      </c>
      <c r="G61" s="25" t="str">
        <f>IF(C61="","",IFERROR(IF(VLOOKUP(C61,'報告書② 第2年度(取組）'!$C$45:$G$64,5,0)="","未入力",VLOOKUP(C61,'報告書② 第2年度(取組）'!$C$45:$G$64,5,0)),"------"))</f>
        <v/>
      </c>
      <c r="H61" s="26"/>
      <c r="I61" s="42"/>
      <c r="M61" s="19"/>
    </row>
    <row r="62" spans="1:13" ht="65.25" customHeight="1">
      <c r="A62" s="15">
        <v>18</v>
      </c>
      <c r="B62" s="40"/>
      <c r="C62" s="41" t="str">
        <f>対策リスト!AT19&amp;""</f>
        <v/>
      </c>
      <c r="D62" s="23" t="str">
        <f>IFERROR(VLOOKUP(C62,選択対策,2,0),"")</f>
        <v/>
      </c>
      <c r="E62" s="24" t="str">
        <f>IF(C62="","",IFERROR(IF(VLOOKUP(C62,'報告書② 第2年度(取組）'!$C$45:$G$64,3,0)="","未入力",VLOOKUP(C62,'報告書② 第2年度(取組）'!$C$45:$G$64,3,0)),"------"))</f>
        <v/>
      </c>
      <c r="F62" s="25" t="str">
        <f>IF(C62="","",IFERROR(IF(VLOOKUP(C62,'報告書② 第2年度(取組）'!$C$45:$G$64,4,0)="","未入力",VLOOKUP(C62,'報告書② 第2年度(取組）'!$C$45:$G$64,4,0)),"------"))</f>
        <v/>
      </c>
      <c r="G62" s="25" t="str">
        <f>IF(C62="","",IFERROR(IF(VLOOKUP(C62,'報告書② 第2年度(取組）'!$C$45:$G$64,5,0)="","未入力",VLOOKUP(C62,'報告書② 第2年度(取組）'!$C$45:$G$64,5,0)),"------"))</f>
        <v/>
      </c>
      <c r="H62" s="26"/>
      <c r="I62" s="42"/>
      <c r="M62" s="19"/>
    </row>
    <row r="63" spans="1:13" ht="65.25" customHeight="1">
      <c r="A63" s="15">
        <v>19</v>
      </c>
      <c r="B63" s="40"/>
      <c r="C63" s="41" t="str">
        <f>対策リスト!AT20&amp;""</f>
        <v/>
      </c>
      <c r="D63" s="23" t="str">
        <f>IFERROR(VLOOKUP(C63,選択対策,2,0),"")</f>
        <v/>
      </c>
      <c r="E63" s="24" t="str">
        <f>IF(C63="","",IFERROR(IF(VLOOKUP(C63,'報告書② 第2年度(取組）'!$C$45:$G$64,3,0)="","未入力",VLOOKUP(C63,'報告書② 第2年度(取組）'!$C$45:$G$64,3,0)),"------"))</f>
        <v/>
      </c>
      <c r="F63" s="25" t="str">
        <f>IF(C63="","",IFERROR(IF(VLOOKUP(C63,'報告書② 第2年度(取組）'!$C$45:$G$64,4,0)="","未入力",VLOOKUP(C63,'報告書② 第2年度(取組）'!$C$45:$G$64,4,0)),"------"))</f>
        <v/>
      </c>
      <c r="G63" s="25" t="str">
        <f>IF(C63="","",IFERROR(IF(VLOOKUP(C63,'報告書② 第2年度(取組）'!$C$45:$G$64,5,0)="","未入力",VLOOKUP(C63,'報告書② 第2年度(取組）'!$C$45:$G$64,5,0)),"------"))</f>
        <v/>
      </c>
      <c r="H63" s="26"/>
      <c r="I63" s="42"/>
      <c r="M63" s="19"/>
    </row>
    <row r="64" spans="1:13" ht="65.25" customHeight="1">
      <c r="A64" s="15">
        <v>20</v>
      </c>
      <c r="B64" s="40"/>
      <c r="C64" s="41" t="str">
        <f>対策リスト!AT21&amp;""</f>
        <v/>
      </c>
      <c r="D64" s="23" t="str">
        <f>IFERROR(VLOOKUP(C64,選択対策,2,0),"")</f>
        <v/>
      </c>
      <c r="E64" s="24" t="str">
        <f>IF(C64="","",IFERROR(IF(VLOOKUP(C64,'報告書② 第2年度(取組）'!$C$45:$G$64,3,0)="","未入力",VLOOKUP(C64,'報告書② 第2年度(取組）'!$C$45:$G$64,3,0)),"------"))</f>
        <v/>
      </c>
      <c r="F64" s="25" t="str">
        <f>IF(C64="","",IFERROR(IF(VLOOKUP(C64,'報告書② 第2年度(取組）'!$C$45:$G$64,4,0)="","未入力",VLOOKUP(C64,'報告書② 第2年度(取組）'!$C$45:$G$64,4,0)),"------"))</f>
        <v/>
      </c>
      <c r="G64" s="25" t="str">
        <f>IF(C64="","",IFERROR(IF(VLOOKUP(C64,'報告書② 第2年度(取組）'!$C$45:$G$64,5,0)="","未入力",VLOOKUP(C64,'報告書② 第2年度(取組）'!$C$45:$G$64,5,0)),"------"))</f>
        <v/>
      </c>
      <c r="H64" s="26"/>
      <c r="I64" s="42"/>
      <c r="M64" s="19"/>
    </row>
    <row r="67" spans="1:19">
      <c r="A67" s="14" t="s">
        <v>4178</v>
      </c>
      <c r="B67" s="14"/>
      <c r="Q67" s="641"/>
      <c r="R67" s="641"/>
    </row>
    <row r="68" spans="1:19" ht="13.35" customHeight="1">
      <c r="A68" s="905" t="s">
        <v>88</v>
      </c>
      <c r="B68" s="645" t="s">
        <v>89</v>
      </c>
      <c r="C68" s="645"/>
      <c r="D68" s="645" t="s">
        <v>4897</v>
      </c>
      <c r="E68" s="642" t="s">
        <v>4110</v>
      </c>
      <c r="F68" s="908"/>
      <c r="G68" s="908"/>
      <c r="H68" s="643"/>
      <c r="I68" s="42"/>
      <c r="K68" s="12" t="s">
        <v>4102</v>
      </c>
    </row>
    <row r="69" spans="1:19" ht="33" customHeight="1">
      <c r="A69" s="905"/>
      <c r="B69" s="645"/>
      <c r="C69" s="645"/>
      <c r="D69" s="645"/>
      <c r="E69" s="20" t="s">
        <v>4104</v>
      </c>
      <c r="F69" s="20" t="s">
        <v>4096</v>
      </c>
      <c r="G69" s="20" t="s">
        <v>4101</v>
      </c>
      <c r="H69" s="20" t="s">
        <v>4102</v>
      </c>
      <c r="I69" s="42"/>
      <c r="K69" s="21" t="s">
        <v>131</v>
      </c>
      <c r="L69" s="21" t="s">
        <v>134</v>
      </c>
      <c r="M69" s="38" t="s">
        <v>140</v>
      </c>
      <c r="O69" s="21" t="s">
        <v>4110</v>
      </c>
      <c r="P69" s="21" t="s">
        <v>134</v>
      </c>
      <c r="Q69" s="22" t="s">
        <v>120</v>
      </c>
      <c r="R69" s="22" t="s">
        <v>121</v>
      </c>
      <c r="S69" s="19" t="s">
        <v>4112</v>
      </c>
    </row>
    <row r="70" spans="1:19" ht="65.25" customHeight="1">
      <c r="A70" s="15">
        <v>1</v>
      </c>
      <c r="B70" s="45"/>
      <c r="C70" s="41" t="str">
        <f>対策リスト!BT2&amp;""</f>
        <v/>
      </c>
      <c r="D70" s="41" t="str">
        <f>対策リスト!BW2&amp;""</f>
        <v/>
      </c>
      <c r="E70" s="24" t="str">
        <f>IF(C70="","",IF(対策リスト!CD2="","-------",対策リスト!CD2))</f>
        <v/>
      </c>
      <c r="F70" s="25" t="str">
        <f>IF(C70="","",IF(対策リスト!CC2="","-------",対策リスト!CC2))</f>
        <v/>
      </c>
      <c r="G70" s="25" t="str">
        <f>IF(C70="","",IF(対策リスト!CB2="","-------",対策リスト!CB2))</f>
        <v/>
      </c>
      <c r="H70" s="26"/>
      <c r="I70" s="42"/>
      <c r="K70" s="27" t="s">
        <v>120</v>
      </c>
      <c r="L70" s="27">
        <f>COUNTIF($H$70:$H$79,$K70)</f>
        <v>0</v>
      </c>
      <c r="M70" s="38">
        <v>5</v>
      </c>
      <c r="O70" s="27" t="s">
        <v>135</v>
      </c>
      <c r="P70" s="27" t="str">
        <f>IF($J$2&gt;0,SUM(Q70:R70),"")</f>
        <v/>
      </c>
      <c r="Q70" s="27" t="str">
        <f>IF($J$2&gt;0,COUNTIF($F$70:$F$79,Q$69),"")</f>
        <v/>
      </c>
      <c r="R70" s="27" t="str">
        <f>IF($J$2&gt;0,COUNTIF($F$70:$F$79,R$69),"")</f>
        <v/>
      </c>
      <c r="S70" s="12" t="str">
        <f>IF($J$2&gt;0,Q70*$M$70,"")</f>
        <v/>
      </c>
    </row>
    <row r="71" spans="1:19" ht="65.25" customHeight="1">
      <c r="A71" s="15">
        <v>2</v>
      </c>
      <c r="B71" s="45"/>
      <c r="C71" s="41" t="str">
        <f>対策リスト!BT3&amp;""</f>
        <v/>
      </c>
      <c r="D71" s="41" t="str">
        <f>対策リスト!BW3&amp;""</f>
        <v/>
      </c>
      <c r="E71" s="24" t="str">
        <f>IF(C71="","",IF(対策リスト!CD3="","-------",対策リスト!CD3))</f>
        <v/>
      </c>
      <c r="F71" s="25" t="str">
        <f>IF(C71="","",IF(対策リスト!CC3="","-------",対策リスト!CC3))</f>
        <v/>
      </c>
      <c r="G71" s="25" t="str">
        <f>IF(C71="","",IF(対策リスト!CB3="","-------",対策リスト!CB3))</f>
        <v/>
      </c>
      <c r="H71" s="26"/>
      <c r="I71" s="42"/>
      <c r="K71" s="27" t="s">
        <v>121</v>
      </c>
      <c r="L71" s="27">
        <f>COUNTIF($H$70:$H$79,$K71)</f>
        <v>0</v>
      </c>
      <c r="M71" s="38">
        <v>0</v>
      </c>
      <c r="O71" s="27" t="s">
        <v>136</v>
      </c>
      <c r="P71" s="27" t="str">
        <f>IF($J$2&gt;1,SUM(Q71:R71),"")</f>
        <v/>
      </c>
      <c r="Q71" s="27" t="str">
        <f>IF($J$2&gt;1,COUNTIF($G$70:$G$79,Q$69),"")</f>
        <v/>
      </c>
      <c r="R71" s="27" t="str">
        <f>IF($J$2&gt;1,COUNTIF($G$70:$G$79,R$69),"")</f>
        <v/>
      </c>
      <c r="S71" s="12" t="str">
        <f>IF($J$2&gt;1,Q71*$M$70,"")</f>
        <v/>
      </c>
    </row>
    <row r="72" spans="1:19" ht="65.25" customHeight="1">
      <c r="A72" s="15">
        <v>3</v>
      </c>
      <c r="B72" s="45"/>
      <c r="C72" s="41" t="str">
        <f>対策リスト!BT4&amp;""</f>
        <v/>
      </c>
      <c r="D72" s="41" t="str">
        <f>対策リスト!BW4&amp;""</f>
        <v/>
      </c>
      <c r="E72" s="24" t="str">
        <f>IF(C72="","",IF(対策リスト!CD4="","-------",対策リスト!CD4))</f>
        <v/>
      </c>
      <c r="F72" s="25" t="str">
        <f>IF(C72="","",IF(対策リスト!CC4="","-------",対策リスト!CC4))</f>
        <v/>
      </c>
      <c r="G72" s="25" t="str">
        <f>IF(C72="","",IF(対策リスト!CB4="","-------",対策リスト!CB4))</f>
        <v/>
      </c>
      <c r="H72" s="26"/>
      <c r="I72" s="42"/>
      <c r="K72" s="27" t="s">
        <v>106</v>
      </c>
      <c r="L72" s="27">
        <f>SUM(L70:L71)</f>
        <v>0</v>
      </c>
      <c r="M72" s="38">
        <v>25</v>
      </c>
      <c r="O72" s="27" t="s">
        <v>137</v>
      </c>
      <c r="P72" s="27" t="str">
        <f>IF($J$2&gt;2,SUM(Q72:R72),"")</f>
        <v/>
      </c>
      <c r="Q72" s="27" t="str">
        <f>IF($J$2&gt;2,COUNTIF($H$70:$H$79,Q$69),"")</f>
        <v/>
      </c>
      <c r="R72" s="27" t="str">
        <f>IF($J$2&gt;2,COUNTIF($H$70:$H$79,R$69),"")</f>
        <v/>
      </c>
      <c r="S72" s="12" t="str">
        <f>IF($J$2&gt;2,Q72*$M$70,"")</f>
        <v/>
      </c>
    </row>
    <row r="73" spans="1:19" ht="65.25" customHeight="1">
      <c r="A73" s="15">
        <v>4</v>
      </c>
      <c r="B73" s="45"/>
      <c r="C73" s="41" t="str">
        <f>対策リスト!BT5&amp;""</f>
        <v/>
      </c>
      <c r="D73" s="41" t="str">
        <f>対策リスト!BW5&amp;""</f>
        <v/>
      </c>
      <c r="E73" s="24" t="str">
        <f>IF(C73="","",IF(対策リスト!CD5="","-------",対策リスト!CD5))</f>
        <v/>
      </c>
      <c r="F73" s="25" t="str">
        <f>IF(C73="","",IF(対策リスト!CC5="","-------",対策リスト!CC5))</f>
        <v/>
      </c>
      <c r="G73" s="25" t="str">
        <f>IF(C73="","",IF(対策リスト!CB5="","-------",対策リスト!CB5))</f>
        <v/>
      </c>
      <c r="H73" s="26"/>
      <c r="I73" s="42"/>
      <c r="K73" s="31" t="s">
        <v>4130</v>
      </c>
      <c r="L73" s="33">
        <f>IF(L70*M70&gt;M72,M72,L70*M70)</f>
        <v>0</v>
      </c>
      <c r="O73" s="43" t="s">
        <v>4116</v>
      </c>
      <c r="P73" s="43" t="str">
        <f>IFERROR(ROUNDUP(AVERAGE(P70:P72),0),"")</f>
        <v/>
      </c>
      <c r="Q73" s="43" t="str">
        <f>IFERROR(ROUNDUP(AVERAGE(Q70:Q72),0),"")</f>
        <v/>
      </c>
      <c r="R73" s="43" t="str">
        <f>IFERROR(ROUNDUP(AVERAGE(R70:R72),0),"")</f>
        <v/>
      </c>
      <c r="S73" s="43" t="str">
        <f>IFERROR(ROUNDUP(AVERAGE(S70:S72),0),"")</f>
        <v/>
      </c>
    </row>
    <row r="74" spans="1:19" ht="65.25" customHeight="1">
      <c r="A74" s="15">
        <v>5</v>
      </c>
      <c r="B74" s="45"/>
      <c r="C74" s="41" t="str">
        <f>対策リスト!BT6&amp;""</f>
        <v/>
      </c>
      <c r="D74" s="41" t="str">
        <f>対策リスト!BW6&amp;""</f>
        <v/>
      </c>
      <c r="E74" s="24" t="str">
        <f>IF(C74="","",IF(対策リスト!CD6="","-------",対策リスト!CD6))</f>
        <v/>
      </c>
      <c r="F74" s="25" t="str">
        <f>IF(C74="","",IF(対策リスト!CC6="","-------",対策リスト!CC6))</f>
        <v/>
      </c>
      <c r="G74" s="25" t="str">
        <f>IF(C74="","",IF(対策リスト!CB6="","-------",対策リスト!CB6))</f>
        <v/>
      </c>
      <c r="H74" s="26"/>
      <c r="I74" s="42"/>
    </row>
    <row r="75" spans="1:19" ht="65.25" customHeight="1">
      <c r="A75" s="15">
        <v>6</v>
      </c>
      <c r="B75" s="45"/>
      <c r="C75" s="41" t="str">
        <f>対策リスト!BT7&amp;""</f>
        <v/>
      </c>
      <c r="D75" s="41" t="str">
        <f>対策リスト!BW7&amp;""</f>
        <v/>
      </c>
      <c r="E75" s="24" t="str">
        <f>IF(C75="","",IF(対策リスト!CD7="","-------",対策リスト!CD7))</f>
        <v/>
      </c>
      <c r="F75" s="25" t="str">
        <f>IF(C75="","",IF(対策リスト!CC7="","-------",対策リスト!CC7))</f>
        <v/>
      </c>
      <c r="G75" s="25" t="str">
        <f>IF(C75="","",IF(対策リスト!CB7="","-------",対策リスト!CB7))</f>
        <v/>
      </c>
      <c r="H75" s="26"/>
      <c r="I75" s="42"/>
    </row>
    <row r="76" spans="1:19" ht="65.25" customHeight="1">
      <c r="A76" s="15">
        <v>7</v>
      </c>
      <c r="B76" s="45"/>
      <c r="C76" s="41" t="str">
        <f>対策リスト!BT8&amp;""</f>
        <v/>
      </c>
      <c r="D76" s="41" t="str">
        <f>対策リスト!BW8&amp;""</f>
        <v/>
      </c>
      <c r="E76" s="24" t="str">
        <f>IF(C76="","",IF(対策リスト!CD8="","-------",対策リスト!CD8))</f>
        <v/>
      </c>
      <c r="F76" s="25" t="str">
        <f>IF(C76="","",IF(対策リスト!CC8="","-------",対策リスト!CC8))</f>
        <v/>
      </c>
      <c r="G76" s="25" t="str">
        <f>IF(C76="","",IF(対策リスト!CB8="","-------",対策リスト!CB8))</f>
        <v/>
      </c>
      <c r="H76" s="26"/>
    </row>
    <row r="77" spans="1:19" ht="65.25" customHeight="1">
      <c r="A77" s="15">
        <v>8</v>
      </c>
      <c r="B77" s="45"/>
      <c r="C77" s="41" t="str">
        <f>対策リスト!BT9&amp;""</f>
        <v/>
      </c>
      <c r="D77" s="41" t="str">
        <f>対策リスト!BW9&amp;""</f>
        <v/>
      </c>
      <c r="E77" s="24" t="str">
        <f>IF(C77="","",IF(対策リスト!CD9="","-------",対策リスト!CD9))</f>
        <v/>
      </c>
      <c r="F77" s="25" t="str">
        <f>IF(C77="","",IF(対策リスト!CC9="","-------",対策リスト!CC9))</f>
        <v/>
      </c>
      <c r="G77" s="25" t="str">
        <f>IF(C77="","",IF(対策リスト!CB9="","-------",対策リスト!CB9))</f>
        <v/>
      </c>
      <c r="H77" s="26"/>
    </row>
    <row r="78" spans="1:19" ht="65.25" customHeight="1">
      <c r="A78" s="15">
        <v>9</v>
      </c>
      <c r="B78" s="45"/>
      <c r="C78" s="41" t="str">
        <f>対策リスト!BT10&amp;""</f>
        <v/>
      </c>
      <c r="D78" s="41" t="str">
        <f>対策リスト!BW10&amp;""</f>
        <v/>
      </c>
      <c r="E78" s="24" t="str">
        <f>IF(C78="","",IF(対策リスト!CD10="","-------",対策リスト!CD10))</f>
        <v/>
      </c>
      <c r="F78" s="25" t="str">
        <f>IF(C78="","",IF(対策リスト!CC10="","-------",対策リスト!CC10))</f>
        <v/>
      </c>
      <c r="G78" s="25" t="str">
        <f>IF(C78="","",IF(対策リスト!CB10="","-------",対策リスト!CB10))</f>
        <v/>
      </c>
      <c r="H78" s="26"/>
    </row>
    <row r="79" spans="1:19" ht="65.25" customHeight="1">
      <c r="A79" s="15">
        <v>10</v>
      </c>
      <c r="B79" s="45"/>
      <c r="C79" s="41" t="str">
        <f>対策リスト!BT11&amp;""</f>
        <v/>
      </c>
      <c r="D79" s="41" t="str">
        <f>対策リスト!BW11&amp;""</f>
        <v/>
      </c>
      <c r="E79" s="24" t="str">
        <f>IF(C79="","",IF(対策リスト!CD11="","-------",対策リスト!CD11))</f>
        <v/>
      </c>
      <c r="F79" s="25" t="str">
        <f>IF(C79="","",IF(対策リスト!CC11="","-------",対策リスト!CC11))</f>
        <v/>
      </c>
      <c r="G79" s="25" t="str">
        <f>IF(C79="","",IF(対策リスト!CB11="","-------",対策リスト!CB11))</f>
        <v/>
      </c>
      <c r="H79" s="26"/>
    </row>
    <row r="90" spans="1:3">
      <c r="C90" s="12" t="s">
        <v>4894</v>
      </c>
    </row>
    <row r="91" spans="1:3">
      <c r="A91" s="12">
        <v>1</v>
      </c>
      <c r="C91" s="46"/>
    </row>
    <row r="92" spans="1:3">
      <c r="A92" s="12">
        <v>2</v>
      </c>
      <c r="C92" s="46"/>
    </row>
    <row r="93" spans="1:3">
      <c r="A93" s="12">
        <v>3</v>
      </c>
      <c r="C93" s="46"/>
    </row>
    <row r="94" spans="1:3">
      <c r="A94" s="12">
        <v>4</v>
      </c>
      <c r="C94" s="46"/>
    </row>
    <row r="95" spans="1:3">
      <c r="A95" s="12">
        <v>5</v>
      </c>
      <c r="C95" s="46"/>
    </row>
    <row r="96" spans="1:3">
      <c r="A96" s="12">
        <v>6</v>
      </c>
      <c r="C96" s="46"/>
    </row>
    <row r="97" spans="1:3">
      <c r="A97" s="12">
        <v>7</v>
      </c>
      <c r="C97" s="46"/>
    </row>
    <row r="98" spans="1:3">
      <c r="A98" s="12">
        <v>8</v>
      </c>
      <c r="C98" s="46"/>
    </row>
    <row r="99" spans="1:3">
      <c r="A99" s="12">
        <v>9</v>
      </c>
      <c r="C99" s="46"/>
    </row>
    <row r="100" spans="1:3">
      <c r="A100" s="12">
        <v>10</v>
      </c>
      <c r="C100" s="46"/>
    </row>
    <row r="101" spans="1:3">
      <c r="A101" s="12">
        <v>11</v>
      </c>
      <c r="C101" s="46"/>
    </row>
    <row r="102" spans="1:3">
      <c r="A102" s="12">
        <v>12</v>
      </c>
      <c r="C102" s="46"/>
    </row>
    <row r="103" spans="1:3">
      <c r="A103" s="12">
        <v>13</v>
      </c>
      <c r="C103" s="46"/>
    </row>
    <row r="104" spans="1:3">
      <c r="A104" s="12">
        <v>14</v>
      </c>
      <c r="C104" s="46"/>
    </row>
    <row r="105" spans="1:3">
      <c r="A105" s="12">
        <v>15</v>
      </c>
      <c r="C105" s="46"/>
    </row>
    <row r="106" spans="1:3">
      <c r="A106" s="12">
        <v>16</v>
      </c>
      <c r="C106" s="46"/>
    </row>
    <row r="107" spans="1:3">
      <c r="A107" s="12">
        <v>17</v>
      </c>
      <c r="C107" s="46"/>
    </row>
    <row r="108" spans="1:3">
      <c r="A108" s="12">
        <v>18</v>
      </c>
      <c r="C108" s="46"/>
    </row>
    <row r="109" spans="1:3">
      <c r="A109" s="12">
        <v>19</v>
      </c>
      <c r="C109" s="46"/>
    </row>
    <row r="110" spans="1:3">
      <c r="A110" s="12">
        <v>20</v>
      </c>
      <c r="C110" s="46"/>
    </row>
    <row r="119" spans="1:4">
      <c r="C119" s="12" t="s">
        <v>4895</v>
      </c>
    </row>
    <row r="120" spans="1:4">
      <c r="D120" s="19" t="s">
        <v>4896</v>
      </c>
    </row>
    <row r="121" spans="1:4" ht="90" customHeight="1">
      <c r="A121" s="27">
        <v>1</v>
      </c>
      <c r="B121" s="27"/>
      <c r="C121" s="47"/>
      <c r="D121" s="48"/>
    </row>
    <row r="122" spans="1:4" ht="90" customHeight="1">
      <c r="A122" s="27">
        <v>2</v>
      </c>
      <c r="B122" s="27"/>
      <c r="C122" s="47"/>
      <c r="D122" s="48"/>
    </row>
    <row r="123" spans="1:4" ht="90" customHeight="1">
      <c r="A123" s="27">
        <v>3</v>
      </c>
      <c r="B123" s="27"/>
      <c r="C123" s="47"/>
      <c r="D123" s="48"/>
    </row>
    <row r="124" spans="1:4" ht="90" customHeight="1">
      <c r="A124" s="27">
        <v>4</v>
      </c>
      <c r="B124" s="27"/>
      <c r="C124" s="47"/>
      <c r="D124" s="48"/>
    </row>
    <row r="125" spans="1:4" ht="90" customHeight="1">
      <c r="A125" s="27">
        <v>5</v>
      </c>
      <c r="B125" s="27"/>
      <c r="C125" s="47"/>
      <c r="D125" s="48"/>
    </row>
    <row r="126" spans="1:4" ht="90" customHeight="1">
      <c r="A126" s="27">
        <v>6</v>
      </c>
      <c r="B126" s="27"/>
      <c r="C126" s="47"/>
      <c r="D126" s="48"/>
    </row>
    <row r="127" spans="1:4" ht="90" customHeight="1">
      <c r="A127" s="27">
        <v>7</v>
      </c>
      <c r="B127" s="27"/>
      <c r="C127" s="47"/>
      <c r="D127" s="48"/>
    </row>
    <row r="128" spans="1:4" ht="90" customHeight="1">
      <c r="A128" s="27">
        <v>8</v>
      </c>
      <c r="B128" s="27"/>
      <c r="C128" s="47"/>
      <c r="D128" s="48"/>
    </row>
    <row r="129" spans="1:4" ht="90" customHeight="1">
      <c r="A129" s="27">
        <v>9</v>
      </c>
      <c r="B129" s="27"/>
      <c r="C129" s="47"/>
      <c r="D129" s="48"/>
    </row>
    <row r="130" spans="1:4" ht="90" customHeight="1">
      <c r="A130" s="27">
        <v>10</v>
      </c>
      <c r="B130" s="27"/>
      <c r="C130" s="47"/>
      <c r="D130" s="48"/>
    </row>
  </sheetData>
  <sheetProtection algorithmName="SHA-512" hashValue="es82u0Y6XANKWncmw+70QQpLVbRjq3JVNrAHV65AHVTs58ROB2eO2W7BEwU99GqYohZvFywa+QZrlhye3zSlGw==" saltValue="892SrBbrFntJLiPizS2GQQ==" spinCount="100000" sheet="1" objects="1" scenarios="1" selectLockedCells="1"/>
  <mergeCells count="21">
    <mergeCell ref="A38:C38"/>
    <mergeCell ref="D38:F38"/>
    <mergeCell ref="A4:A5"/>
    <mergeCell ref="B4:B5"/>
    <mergeCell ref="C4:C5"/>
    <mergeCell ref="D4:D5"/>
    <mergeCell ref="E4:H4"/>
    <mergeCell ref="A39:C39"/>
    <mergeCell ref="D39:F39"/>
    <mergeCell ref="A40:C40"/>
    <mergeCell ref="D40:F40"/>
    <mergeCell ref="A43:A44"/>
    <mergeCell ref="B43:B44"/>
    <mergeCell ref="C43:C44"/>
    <mergeCell ref="D43:D44"/>
    <mergeCell ref="E43:H43"/>
    <mergeCell ref="Q67:R67"/>
    <mergeCell ref="A68:A69"/>
    <mergeCell ref="B68:C69"/>
    <mergeCell ref="D68:D69"/>
    <mergeCell ref="E68:H68"/>
  </mergeCells>
  <phoneticPr fontId="1"/>
  <conditionalFormatting sqref="D40">
    <cfRule type="expression" dxfId="24" priority="4">
      <formula>$D$40&lt;&gt;""</formula>
    </cfRule>
  </conditionalFormatting>
  <conditionalFormatting sqref="D121:D130">
    <cfRule type="expression" dxfId="23" priority="1">
      <formula>D121&lt;&gt;""</formula>
    </cfRule>
  </conditionalFormatting>
  <conditionalFormatting sqref="H6:H35 H45:H64 H70:H79">
    <cfRule type="expression" dxfId="22" priority="14">
      <formula>$H6&lt;&gt;""</formula>
    </cfRule>
  </conditionalFormatting>
  <dataValidations count="3">
    <dataValidation type="list" allowBlank="1" showInputMessage="1" showErrorMessage="1" sqref="H70:H79" xr:uid="{00000000-0002-0000-0D00-000000000000}">
      <formula1>"実施済,未実施"</formula1>
    </dataValidation>
    <dataValidation type="list" allowBlank="1" showInputMessage="1" showErrorMessage="1" sqref="H45:H64" xr:uid="{00000000-0002-0000-0D00-000001000000}">
      <formula1>"実施済,一部実施済,未実施"</formula1>
    </dataValidation>
    <dataValidation type="list" allowBlank="1" showInputMessage="1" showErrorMessage="1" sqref="H6:H35" xr:uid="{00000000-0002-0000-0D00-000002000000}">
      <formula1>"実施済,未実施,非該当"</formula1>
    </dataValidation>
  </dataValidations>
  <pageMargins left="0.70866141732283472" right="0.51181102362204722" top="0.55118110236220474" bottom="0.55118110236220474" header="0.31496062992125984" footer="0.31496062992125984"/>
  <pageSetup paperSize="9" scale="93" fitToHeight="2" orientation="portrait" r:id="rId1"/>
  <headerFooter>
    <oddHeader>&amp;L様式第２号</oddHeader>
    <oddFooter>&amp;R&amp;8（一般事業所等用）</oddFooter>
  </headerFooter>
  <rowBreaks count="5" manualBreakCount="5">
    <brk id="17" max="7" man="1"/>
    <brk id="29" max="7" man="1"/>
    <brk id="41" max="7" man="1"/>
    <brk id="54" max="7" man="1"/>
    <brk id="65" max="7"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D00-000003000000}">
          <x14:formula1>
            <xm:f>OFFSET(対策リスト!$BP$2,0,0,13-COUNTBLANK(対策リスト!$BP$2:$BP$14),1)</xm:f>
          </x14:formula1>
          <xm:sqref>C121:C130</xm:sqref>
        </x14:dataValidation>
        <x14:dataValidation type="list" allowBlank="1" showInputMessage="1" showErrorMessage="1" xr:uid="{00000000-0002-0000-0D00-000004000000}">
          <x14:formula1>
            <xm:f>OFFSET(対策リスト!$AP$2,0,0,45-COUNTBLANK(対策リスト!$AP$2:$AP$46),1)</xm:f>
          </x14:formula1>
          <xm:sqref>C91:C110</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6">
    <tabColor rgb="FF00B050"/>
  </sheetPr>
  <dimension ref="A1:F15"/>
  <sheetViews>
    <sheetView showGridLines="0" view="pageBreakPreview" zoomScaleNormal="100" zoomScaleSheetLayoutView="100" workbookViewId="0">
      <selection activeCell="B4" sqref="B4"/>
    </sheetView>
  </sheetViews>
  <sheetFormatPr defaultColWidth="9" defaultRowHeight="16.2"/>
  <cols>
    <col min="1" max="1" width="5.6640625" style="12" customWidth="1"/>
    <col min="2" max="2" width="41.44140625" style="12" customWidth="1"/>
    <col min="3" max="3" width="10.44140625" style="12" customWidth="1"/>
    <col min="4" max="4" width="14.109375" style="12" customWidth="1"/>
    <col min="5" max="5" width="9.88671875" style="13" hidden="1" customWidth="1"/>
    <col min="6" max="6" width="19.88671875" style="12" customWidth="1"/>
    <col min="7" max="35" width="5.6640625" style="12" customWidth="1"/>
    <col min="36" max="16384" width="9" style="12"/>
  </cols>
  <sheetData>
    <row r="1" spans="1:6" ht="24.6" customHeight="1"/>
    <row r="2" spans="1:6">
      <c r="A2" s="63" t="s">
        <v>4170</v>
      </c>
    </row>
    <row r="3" spans="1:6" ht="33" customHeight="1">
      <c r="A3" s="64" t="s">
        <v>4165</v>
      </c>
      <c r="B3" s="64" t="s">
        <v>4166</v>
      </c>
      <c r="C3" s="65" t="s">
        <v>4167</v>
      </c>
      <c r="D3" s="65" t="s">
        <v>4954</v>
      </c>
      <c r="E3" s="66"/>
      <c r="F3" s="65" t="s">
        <v>4236</v>
      </c>
    </row>
    <row r="4" spans="1:6" ht="90" customHeight="1">
      <c r="A4" s="64">
        <v>1</v>
      </c>
      <c r="B4" s="40"/>
      <c r="C4" s="249"/>
      <c r="D4" s="250"/>
      <c r="E4" s="573"/>
      <c r="F4" s="69"/>
    </row>
    <row r="5" spans="1:6" ht="90" customHeight="1">
      <c r="A5" s="64">
        <v>2</v>
      </c>
      <c r="B5" s="40"/>
      <c r="C5" s="249"/>
      <c r="D5" s="250"/>
      <c r="E5" s="573"/>
      <c r="F5" s="69"/>
    </row>
    <row r="6" spans="1:6" ht="90" customHeight="1">
      <c r="A6" s="64">
        <v>3</v>
      </c>
      <c r="B6" s="40"/>
      <c r="C6" s="249"/>
      <c r="D6" s="250"/>
      <c r="E6" s="573"/>
      <c r="F6" s="69"/>
    </row>
    <row r="7" spans="1:6" ht="90" customHeight="1">
      <c r="A7" s="64">
        <v>4</v>
      </c>
      <c r="B7" s="40"/>
      <c r="C7" s="249"/>
      <c r="D7" s="250"/>
      <c r="E7" s="573"/>
      <c r="F7" s="69"/>
    </row>
    <row r="8" spans="1:6" ht="90" customHeight="1">
      <c r="A8" s="64">
        <v>5</v>
      </c>
      <c r="B8" s="40"/>
      <c r="C8" s="249"/>
      <c r="D8" s="250"/>
      <c r="E8" s="573"/>
      <c r="F8" s="69"/>
    </row>
    <row r="9" spans="1:6" ht="90" customHeight="1">
      <c r="A9" s="64">
        <v>6</v>
      </c>
      <c r="B9" s="40"/>
      <c r="C9" s="249"/>
      <c r="D9" s="250"/>
      <c r="E9" s="573"/>
      <c r="F9" s="69"/>
    </row>
    <row r="10" spans="1:6" ht="90" customHeight="1">
      <c r="A10" s="64">
        <v>7</v>
      </c>
      <c r="B10" s="40"/>
      <c r="C10" s="249"/>
      <c r="D10" s="250"/>
      <c r="E10" s="573"/>
      <c r="F10" s="69"/>
    </row>
    <row r="11" spans="1:6" ht="90" customHeight="1">
      <c r="A11" s="64">
        <v>8</v>
      </c>
      <c r="B11" s="40"/>
      <c r="C11" s="249"/>
      <c r="D11" s="250"/>
      <c r="E11" s="573"/>
      <c r="F11" s="69"/>
    </row>
    <row r="12" spans="1:6" ht="90" customHeight="1">
      <c r="A12" s="64">
        <v>9</v>
      </c>
      <c r="B12" s="40"/>
      <c r="C12" s="249"/>
      <c r="D12" s="250"/>
      <c r="E12" s="573"/>
      <c r="F12" s="69"/>
    </row>
    <row r="13" spans="1:6" ht="90" customHeight="1">
      <c r="A13" s="64">
        <v>10</v>
      </c>
      <c r="B13" s="40"/>
      <c r="C13" s="249"/>
      <c r="D13" s="250"/>
      <c r="E13" s="573"/>
      <c r="F13" s="69"/>
    </row>
    <row r="14" spans="1:6" ht="33.75" customHeight="1"/>
    <row r="15" spans="1:6" ht="33.75" customHeight="1"/>
  </sheetData>
  <sheetProtection algorithmName="SHA-512" hashValue="HmVCuIMMtGG4o6HNpGxGn4W9mG2AsIkMXu8q7qSNonpUt4tXeUt1HQAqTt/Ijj+kalIigT5Uz4Qs91JZ/HioAg==" saltValue="A9BzllrIZB6J7GO6gjngug==" spinCount="100000" sheet="1" scenarios="1" selectLockedCells="1"/>
  <phoneticPr fontId="1"/>
  <conditionalFormatting sqref="B4:D13">
    <cfRule type="expression" dxfId="21" priority="1">
      <formula>B4&lt;&gt;""</formula>
    </cfRule>
  </conditionalFormatting>
  <dataValidations count="3">
    <dataValidation type="list" allowBlank="1" showInputMessage="1" showErrorMessage="1" sqref="C4:C13" xr:uid="{00000000-0002-0000-0E00-000000000000}">
      <formula1>"第１年度,第２年度,第３年度"</formula1>
    </dataValidation>
    <dataValidation imeMode="hiragana" allowBlank="1" showInputMessage="1" showErrorMessage="1" sqref="B4:B13" xr:uid="{00000000-0002-0000-0E00-000001000000}"/>
    <dataValidation imeMode="halfAlpha" allowBlank="1" showInputMessage="1" showErrorMessage="1" sqref="D4:D13" xr:uid="{00000000-0002-0000-0E00-000002000000}"/>
  </dataValidations>
  <pageMargins left="0.70866141732283472" right="0.51181102362204722" top="0.55118110236220474" bottom="0.55118110236220474" header="0.31496062992125984" footer="0.31496062992125984"/>
  <pageSetup paperSize="9" scale="84" orientation="portrait" r:id="rId1"/>
  <headerFooter>
    <oddHeader>&amp;L様式第２号</oddHeader>
    <oddFooter>&amp;R&amp;8（一般事業所等用）</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tabColor rgb="FF00B050"/>
    <pageSetUpPr fitToPage="1"/>
  </sheetPr>
  <dimension ref="A1:V66"/>
  <sheetViews>
    <sheetView view="pageBreakPreview" zoomScaleNormal="100" zoomScaleSheetLayoutView="100" workbookViewId="0">
      <selection activeCell="C4" sqref="C4"/>
    </sheetView>
  </sheetViews>
  <sheetFormatPr defaultColWidth="9" defaultRowHeight="16.2"/>
  <cols>
    <col min="1" max="1" width="18.33203125" style="12" bestFit="1" customWidth="1"/>
    <col min="2" max="2" width="10" style="12" customWidth="1"/>
    <col min="3" max="15" width="7.109375" style="12" customWidth="1"/>
    <col min="16" max="17" width="9" style="12"/>
    <col min="18" max="18" width="7.6640625" style="12" bestFit="1" customWidth="1"/>
    <col min="19" max="21" width="9" style="12"/>
    <col min="22" max="22" width="0" style="12" hidden="1" customWidth="1"/>
    <col min="23" max="16384" width="9" style="12"/>
  </cols>
  <sheetData>
    <row r="1" spans="1:18" ht="42.6" customHeight="1">
      <c r="A1" s="530" t="s">
        <v>4197</v>
      </c>
    </row>
    <row r="2" spans="1:18" ht="27.75" customHeight="1">
      <c r="A2" s="12" t="s">
        <v>4113</v>
      </c>
    </row>
    <row r="3" spans="1:18" ht="26.25" customHeight="1" thickBot="1">
      <c r="A3" s="642" t="s">
        <v>4195</v>
      </c>
      <c r="B3" s="643"/>
      <c r="C3" s="21" t="s">
        <v>4183</v>
      </c>
      <c r="D3" s="21" t="s">
        <v>4184</v>
      </c>
      <c r="E3" s="21" t="s">
        <v>4185</v>
      </c>
      <c r="F3" s="21" t="s">
        <v>4186</v>
      </c>
      <c r="G3" s="21" t="s">
        <v>4187</v>
      </c>
      <c r="H3" s="21" t="s">
        <v>4188</v>
      </c>
      <c r="I3" s="21" t="s">
        <v>4189</v>
      </c>
      <c r="J3" s="21" t="s">
        <v>4190</v>
      </c>
      <c r="K3" s="21" t="s">
        <v>4191</v>
      </c>
      <c r="L3" s="21" t="s">
        <v>4192</v>
      </c>
      <c r="M3" s="21" t="s">
        <v>4193</v>
      </c>
      <c r="N3" s="21" t="s">
        <v>4194</v>
      </c>
      <c r="O3" s="531" t="s">
        <v>106</v>
      </c>
      <c r="Q3" s="531" t="s">
        <v>106</v>
      </c>
    </row>
    <row r="4" spans="1:18" ht="26.25" customHeight="1">
      <c r="A4" s="532" t="s">
        <v>44</v>
      </c>
      <c r="B4" s="533" t="s">
        <v>4198</v>
      </c>
      <c r="C4" s="227"/>
      <c r="D4" s="227"/>
      <c r="E4" s="227"/>
      <c r="F4" s="227"/>
      <c r="G4" s="227"/>
      <c r="H4" s="227"/>
      <c r="I4" s="227"/>
      <c r="J4" s="227"/>
      <c r="K4" s="227"/>
      <c r="L4" s="227"/>
      <c r="M4" s="227"/>
      <c r="N4" s="228"/>
      <c r="O4" s="534" t="str">
        <f>IF(COUNTBLANK(C4:N4)=12,"",SUM(C4:N4))</f>
        <v/>
      </c>
      <c r="Q4" s="535" t="str">
        <f>IF(COUNTBLANK(C4:N4)=12,"",O4/1000)</f>
        <v/>
      </c>
      <c r="R4" s="12" t="s">
        <v>4199</v>
      </c>
    </row>
    <row r="5" spans="1:18" ht="26.25" customHeight="1">
      <c r="A5" s="532" t="s">
        <v>46</v>
      </c>
      <c r="B5" s="533" t="s">
        <v>4198</v>
      </c>
      <c r="C5" s="227"/>
      <c r="D5" s="227"/>
      <c r="E5" s="227"/>
      <c r="F5" s="227"/>
      <c r="G5" s="227"/>
      <c r="H5" s="227"/>
      <c r="I5" s="227"/>
      <c r="J5" s="227"/>
      <c r="K5" s="227"/>
      <c r="L5" s="227"/>
      <c r="M5" s="227"/>
      <c r="N5" s="228"/>
      <c r="O5" s="534" t="str">
        <f t="shared" ref="O5:O10" si="0">IF(COUNTBLANK(C5:N5)=12,"",SUM(C5:N5))</f>
        <v/>
      </c>
      <c r="Q5" s="536" t="str">
        <f t="shared" ref="Q5:Q10" si="1">IF(COUNTBLANK(C5:N5)=12,"",O5/1000)</f>
        <v/>
      </c>
      <c r="R5" s="12" t="s">
        <v>4199</v>
      </c>
    </row>
    <row r="6" spans="1:18" ht="26.25" customHeight="1">
      <c r="A6" s="532" t="s">
        <v>47</v>
      </c>
      <c r="B6" s="533" t="s">
        <v>4198</v>
      </c>
      <c r="C6" s="227"/>
      <c r="D6" s="227"/>
      <c r="E6" s="227"/>
      <c r="F6" s="227"/>
      <c r="G6" s="227"/>
      <c r="H6" s="227"/>
      <c r="I6" s="227"/>
      <c r="J6" s="227"/>
      <c r="K6" s="227"/>
      <c r="L6" s="227"/>
      <c r="M6" s="227"/>
      <c r="N6" s="228"/>
      <c r="O6" s="534" t="str">
        <f t="shared" si="0"/>
        <v/>
      </c>
      <c r="Q6" s="536" t="str">
        <f t="shared" si="1"/>
        <v/>
      </c>
      <c r="R6" s="12" t="s">
        <v>4199</v>
      </c>
    </row>
    <row r="7" spans="1:18" ht="26.25" customHeight="1">
      <c r="A7" s="532" t="s">
        <v>48</v>
      </c>
      <c r="B7" s="533" t="s">
        <v>4198</v>
      </c>
      <c r="C7" s="227"/>
      <c r="D7" s="227"/>
      <c r="E7" s="227"/>
      <c r="F7" s="227"/>
      <c r="G7" s="227"/>
      <c r="H7" s="227"/>
      <c r="I7" s="227"/>
      <c r="J7" s="227"/>
      <c r="K7" s="227"/>
      <c r="L7" s="227"/>
      <c r="M7" s="227"/>
      <c r="N7" s="228"/>
      <c r="O7" s="534" t="str">
        <f t="shared" si="0"/>
        <v/>
      </c>
      <c r="Q7" s="536" t="str">
        <f t="shared" si="1"/>
        <v/>
      </c>
      <c r="R7" s="12" t="s">
        <v>4199</v>
      </c>
    </row>
    <row r="8" spans="1:18" ht="26.25" customHeight="1">
      <c r="A8" s="532" t="s">
        <v>49</v>
      </c>
      <c r="B8" s="533" t="s">
        <v>4198</v>
      </c>
      <c r="C8" s="227"/>
      <c r="D8" s="227"/>
      <c r="E8" s="227"/>
      <c r="F8" s="227"/>
      <c r="G8" s="227"/>
      <c r="H8" s="227"/>
      <c r="I8" s="227"/>
      <c r="J8" s="227"/>
      <c r="K8" s="227"/>
      <c r="L8" s="227"/>
      <c r="M8" s="227"/>
      <c r="N8" s="228"/>
      <c r="O8" s="534" t="str">
        <f t="shared" si="0"/>
        <v/>
      </c>
      <c r="Q8" s="536" t="str">
        <f t="shared" si="1"/>
        <v/>
      </c>
      <c r="R8" s="12" t="s">
        <v>4199</v>
      </c>
    </row>
    <row r="9" spans="1:18" ht="26.25" customHeight="1">
      <c r="A9" s="532" t="s">
        <v>4900</v>
      </c>
      <c r="B9" s="533" t="s">
        <v>4200</v>
      </c>
      <c r="C9" s="227"/>
      <c r="D9" s="227"/>
      <c r="E9" s="227"/>
      <c r="F9" s="227"/>
      <c r="G9" s="227"/>
      <c r="H9" s="227"/>
      <c r="I9" s="227"/>
      <c r="J9" s="227"/>
      <c r="K9" s="227"/>
      <c r="L9" s="227"/>
      <c r="M9" s="227"/>
      <c r="N9" s="228"/>
      <c r="O9" s="534" t="str">
        <f t="shared" si="0"/>
        <v/>
      </c>
      <c r="Q9" s="536" t="str">
        <f t="shared" si="1"/>
        <v/>
      </c>
      <c r="R9" s="12" t="s">
        <v>4201</v>
      </c>
    </row>
    <row r="10" spans="1:18" ht="26.25" customHeight="1" thickBot="1">
      <c r="A10" s="532" t="s">
        <v>63</v>
      </c>
      <c r="B10" s="537" t="s">
        <v>4912</v>
      </c>
      <c r="C10" s="227"/>
      <c r="D10" s="227"/>
      <c r="E10" s="227"/>
      <c r="F10" s="227"/>
      <c r="G10" s="227"/>
      <c r="H10" s="227"/>
      <c r="I10" s="227"/>
      <c r="J10" s="227"/>
      <c r="K10" s="227"/>
      <c r="L10" s="227"/>
      <c r="M10" s="227"/>
      <c r="N10" s="228"/>
      <c r="O10" s="534" t="str">
        <f t="shared" si="0"/>
        <v/>
      </c>
      <c r="Q10" s="538" t="str">
        <f t="shared" si="1"/>
        <v/>
      </c>
      <c r="R10" s="12" t="s">
        <v>4202</v>
      </c>
    </row>
    <row r="12" spans="1:18" ht="26.25" customHeight="1" thickBot="1">
      <c r="A12" s="645" t="s">
        <v>4196</v>
      </c>
      <c r="B12" s="645"/>
      <c r="C12" s="21" t="s">
        <v>4183</v>
      </c>
      <c r="D12" s="21" t="s">
        <v>4184</v>
      </c>
      <c r="E12" s="21" t="s">
        <v>4185</v>
      </c>
      <c r="F12" s="21" t="s">
        <v>4186</v>
      </c>
      <c r="G12" s="21" t="s">
        <v>4187</v>
      </c>
      <c r="H12" s="21" t="s">
        <v>4188</v>
      </c>
      <c r="I12" s="21" t="s">
        <v>4189</v>
      </c>
      <c r="J12" s="21" t="s">
        <v>4190</v>
      </c>
      <c r="K12" s="21" t="s">
        <v>4191</v>
      </c>
      <c r="L12" s="21" t="s">
        <v>4192</v>
      </c>
      <c r="M12" s="21" t="s">
        <v>4193</v>
      </c>
      <c r="N12" s="21" t="s">
        <v>4194</v>
      </c>
      <c r="O12" s="531" t="s">
        <v>106</v>
      </c>
      <c r="Q12" s="531" t="s">
        <v>106</v>
      </c>
    </row>
    <row r="13" spans="1:18" ht="26.25" customHeight="1">
      <c r="A13" s="644" t="str">
        <f>'事業所排出量内訳 (第1年度)'!$U$42&amp;""</f>
        <v/>
      </c>
      <c r="B13" s="27" t="s">
        <v>69</v>
      </c>
      <c r="C13" s="230"/>
      <c r="D13" s="230"/>
      <c r="E13" s="230"/>
      <c r="F13" s="230"/>
      <c r="G13" s="230"/>
      <c r="H13" s="230"/>
      <c r="I13" s="230"/>
      <c r="J13" s="230"/>
      <c r="K13" s="230"/>
      <c r="L13" s="230"/>
      <c r="M13" s="230"/>
      <c r="N13" s="231"/>
      <c r="O13" s="534" t="str">
        <f>IF(COUNTBLANK(C13:N13)=12,"",SUM(C13:N13))</f>
        <v/>
      </c>
      <c r="Q13" s="535" t="str">
        <f>IF(COUNTBLANK(C13:N13)=12,"",O13/1000)</f>
        <v/>
      </c>
      <c r="R13" s="12" t="s">
        <v>4203</v>
      </c>
    </row>
    <row r="14" spans="1:18" ht="26.25" customHeight="1">
      <c r="A14" s="644"/>
      <c r="B14" s="27" t="s">
        <v>70</v>
      </c>
      <c r="C14" s="230"/>
      <c r="D14" s="230"/>
      <c r="E14" s="230"/>
      <c r="F14" s="230"/>
      <c r="G14" s="230"/>
      <c r="H14" s="230"/>
      <c r="I14" s="230"/>
      <c r="J14" s="230"/>
      <c r="K14" s="230"/>
      <c r="L14" s="230"/>
      <c r="M14" s="230"/>
      <c r="N14" s="231"/>
      <c r="O14" s="534" t="str">
        <f t="shared" ref="O14:O22" si="2">IF(COUNTBLANK(C14:N14)=12,"",SUM(C14:N14))</f>
        <v/>
      </c>
      <c r="Q14" s="536" t="str">
        <f t="shared" ref="Q14:Q21" si="3">IF(COUNTBLANK(C14:N14)=12,"",O14/1000)</f>
        <v/>
      </c>
      <c r="R14" s="12" t="s">
        <v>4203</v>
      </c>
    </row>
    <row r="15" spans="1:18" ht="26.25" customHeight="1">
      <c r="A15" s="644" t="str">
        <f>'事業所排出量内訳 (第1年度)'!$U$43&amp;""</f>
        <v/>
      </c>
      <c r="B15" s="27" t="s">
        <v>69</v>
      </c>
      <c r="C15" s="230"/>
      <c r="D15" s="230"/>
      <c r="E15" s="230"/>
      <c r="F15" s="230"/>
      <c r="G15" s="230"/>
      <c r="H15" s="230"/>
      <c r="I15" s="230"/>
      <c r="J15" s="230"/>
      <c r="K15" s="230"/>
      <c r="L15" s="230"/>
      <c r="M15" s="230"/>
      <c r="N15" s="231"/>
      <c r="O15" s="534" t="str">
        <f t="shared" si="2"/>
        <v/>
      </c>
      <c r="Q15" s="536" t="str">
        <f t="shared" si="3"/>
        <v/>
      </c>
      <c r="R15" s="12" t="s">
        <v>4203</v>
      </c>
    </row>
    <row r="16" spans="1:18" ht="26.25" customHeight="1">
      <c r="A16" s="644"/>
      <c r="B16" s="27" t="s">
        <v>70</v>
      </c>
      <c r="C16" s="230"/>
      <c r="D16" s="230"/>
      <c r="E16" s="230"/>
      <c r="F16" s="230"/>
      <c r="G16" s="230"/>
      <c r="H16" s="230"/>
      <c r="I16" s="230"/>
      <c r="J16" s="230"/>
      <c r="K16" s="230"/>
      <c r="L16" s="230"/>
      <c r="M16" s="230"/>
      <c r="N16" s="231"/>
      <c r="O16" s="534" t="str">
        <f t="shared" si="2"/>
        <v/>
      </c>
      <c r="Q16" s="536" t="str">
        <f t="shared" si="3"/>
        <v/>
      </c>
      <c r="R16" s="12" t="s">
        <v>4203</v>
      </c>
    </row>
    <row r="17" spans="1:18" ht="26.25" customHeight="1">
      <c r="A17" s="644" t="str">
        <f>'事業所排出量内訳 (第1年度)'!$U$44&amp;""</f>
        <v/>
      </c>
      <c r="B17" s="27" t="s">
        <v>69</v>
      </c>
      <c r="C17" s="230"/>
      <c r="D17" s="230"/>
      <c r="E17" s="230"/>
      <c r="F17" s="230"/>
      <c r="G17" s="230"/>
      <c r="H17" s="230"/>
      <c r="I17" s="230"/>
      <c r="J17" s="230"/>
      <c r="K17" s="230"/>
      <c r="L17" s="230"/>
      <c r="M17" s="230"/>
      <c r="N17" s="231"/>
      <c r="O17" s="534" t="str">
        <f t="shared" si="2"/>
        <v/>
      </c>
      <c r="Q17" s="536" t="str">
        <f t="shared" si="3"/>
        <v/>
      </c>
      <c r="R17" s="12" t="s">
        <v>4203</v>
      </c>
    </row>
    <row r="18" spans="1:18" ht="26.25" customHeight="1">
      <c r="A18" s="644"/>
      <c r="B18" s="27" t="s">
        <v>70</v>
      </c>
      <c r="C18" s="230"/>
      <c r="D18" s="230"/>
      <c r="E18" s="230"/>
      <c r="F18" s="230"/>
      <c r="G18" s="230"/>
      <c r="H18" s="230"/>
      <c r="I18" s="230"/>
      <c r="J18" s="230"/>
      <c r="K18" s="230"/>
      <c r="L18" s="230"/>
      <c r="M18" s="230"/>
      <c r="N18" s="231"/>
      <c r="O18" s="534" t="str">
        <f t="shared" si="2"/>
        <v/>
      </c>
      <c r="Q18" s="536" t="str">
        <f t="shared" si="3"/>
        <v/>
      </c>
      <c r="R18" s="12" t="s">
        <v>4203</v>
      </c>
    </row>
    <row r="19" spans="1:18" ht="26.25" customHeight="1">
      <c r="A19" s="644" t="str">
        <f>'事業所排出量内訳 (第1年度)'!$U$45&amp;""</f>
        <v/>
      </c>
      <c r="B19" s="27" t="s">
        <v>69</v>
      </c>
      <c r="C19" s="230"/>
      <c r="D19" s="230"/>
      <c r="E19" s="230"/>
      <c r="F19" s="230"/>
      <c r="G19" s="230"/>
      <c r="H19" s="230"/>
      <c r="I19" s="230"/>
      <c r="J19" s="230"/>
      <c r="K19" s="230"/>
      <c r="L19" s="230"/>
      <c r="M19" s="230"/>
      <c r="N19" s="231"/>
      <c r="O19" s="534" t="str">
        <f t="shared" si="2"/>
        <v/>
      </c>
      <c r="Q19" s="536" t="str">
        <f t="shared" si="3"/>
        <v/>
      </c>
      <c r="R19" s="12" t="s">
        <v>4203</v>
      </c>
    </row>
    <row r="20" spans="1:18" ht="26.25" customHeight="1">
      <c r="A20" s="644"/>
      <c r="B20" s="27" t="s">
        <v>70</v>
      </c>
      <c r="C20" s="230"/>
      <c r="D20" s="230"/>
      <c r="E20" s="230"/>
      <c r="F20" s="230"/>
      <c r="G20" s="230"/>
      <c r="H20" s="230"/>
      <c r="I20" s="230"/>
      <c r="J20" s="230"/>
      <c r="K20" s="230"/>
      <c r="L20" s="230"/>
      <c r="M20" s="230"/>
      <c r="N20" s="231"/>
      <c r="O20" s="534" t="str">
        <f t="shared" si="2"/>
        <v/>
      </c>
      <c r="Q20" s="536" t="str">
        <f t="shared" si="3"/>
        <v/>
      </c>
      <c r="R20" s="12" t="s">
        <v>4203</v>
      </c>
    </row>
    <row r="21" spans="1:18" ht="26.25" customHeight="1">
      <c r="A21" s="644" t="str">
        <f>'事業所排出量内訳 (第1年度)'!$U$46&amp;""</f>
        <v/>
      </c>
      <c r="B21" s="27" t="s">
        <v>69</v>
      </c>
      <c r="C21" s="230"/>
      <c r="D21" s="230"/>
      <c r="E21" s="230"/>
      <c r="F21" s="230"/>
      <c r="G21" s="230"/>
      <c r="H21" s="230"/>
      <c r="I21" s="230"/>
      <c r="J21" s="230"/>
      <c r="K21" s="230"/>
      <c r="L21" s="230"/>
      <c r="M21" s="230"/>
      <c r="N21" s="231"/>
      <c r="O21" s="534" t="str">
        <f t="shared" si="2"/>
        <v/>
      </c>
      <c r="Q21" s="536" t="str">
        <f t="shared" si="3"/>
        <v/>
      </c>
      <c r="R21" s="12" t="s">
        <v>4203</v>
      </c>
    </row>
    <row r="22" spans="1:18" ht="26.25" customHeight="1" thickBot="1">
      <c r="A22" s="644"/>
      <c r="B22" s="27" t="s">
        <v>70</v>
      </c>
      <c r="C22" s="230"/>
      <c r="D22" s="230"/>
      <c r="E22" s="230"/>
      <c r="F22" s="230"/>
      <c r="G22" s="230"/>
      <c r="H22" s="230"/>
      <c r="I22" s="230"/>
      <c r="J22" s="230"/>
      <c r="K22" s="230"/>
      <c r="L22" s="230"/>
      <c r="M22" s="230"/>
      <c r="N22" s="231"/>
      <c r="O22" s="534" t="str">
        <f t="shared" si="2"/>
        <v/>
      </c>
      <c r="Q22" s="538" t="str">
        <f>IF(COUNTBLANK(C22:N22)=12,"",O22/1000)</f>
        <v/>
      </c>
      <c r="R22" s="12" t="s">
        <v>4203</v>
      </c>
    </row>
    <row r="24" spans="1:18" ht="27.75" customHeight="1">
      <c r="A24" s="12" t="s">
        <v>4114</v>
      </c>
    </row>
    <row r="25" spans="1:18" ht="26.25" customHeight="1" thickBot="1">
      <c r="A25" s="642" t="s">
        <v>4195</v>
      </c>
      <c r="B25" s="643"/>
      <c r="C25" s="21" t="s">
        <v>4183</v>
      </c>
      <c r="D25" s="21" t="s">
        <v>4184</v>
      </c>
      <c r="E25" s="21" t="s">
        <v>4185</v>
      </c>
      <c r="F25" s="21" t="s">
        <v>4186</v>
      </c>
      <c r="G25" s="21" t="s">
        <v>4187</v>
      </c>
      <c r="H25" s="21" t="s">
        <v>4188</v>
      </c>
      <c r="I25" s="21" t="s">
        <v>4189</v>
      </c>
      <c r="J25" s="21" t="s">
        <v>4190</v>
      </c>
      <c r="K25" s="21" t="s">
        <v>4191</v>
      </c>
      <c r="L25" s="21" t="s">
        <v>4192</v>
      </c>
      <c r="M25" s="21" t="s">
        <v>4193</v>
      </c>
      <c r="N25" s="21" t="s">
        <v>4194</v>
      </c>
      <c r="O25" s="531" t="s">
        <v>106</v>
      </c>
      <c r="Q25" s="531" t="s">
        <v>106</v>
      </c>
    </row>
    <row r="26" spans="1:18" ht="26.25" customHeight="1">
      <c r="A26" s="532" t="s">
        <v>44</v>
      </c>
      <c r="B26" s="533" t="s">
        <v>4198</v>
      </c>
      <c r="C26" s="227"/>
      <c r="D26" s="227"/>
      <c r="E26" s="227"/>
      <c r="F26" s="227"/>
      <c r="G26" s="227"/>
      <c r="H26" s="227"/>
      <c r="I26" s="227"/>
      <c r="J26" s="227"/>
      <c r="K26" s="227"/>
      <c r="L26" s="227"/>
      <c r="M26" s="227"/>
      <c r="N26" s="228"/>
      <c r="O26" s="534" t="str">
        <f t="shared" ref="O26:O32" si="4">IF(COUNTBLANK(C26:N26)=12,"",SUM(C26:N26))</f>
        <v/>
      </c>
      <c r="Q26" s="535" t="str">
        <f>IF(COUNTBLANK(C26:N26)=12,"",O26/1000)</f>
        <v/>
      </c>
      <c r="R26" s="12" t="s">
        <v>4199</v>
      </c>
    </row>
    <row r="27" spans="1:18" ht="26.25" customHeight="1">
      <c r="A27" s="532" t="s">
        <v>46</v>
      </c>
      <c r="B27" s="533" t="s">
        <v>4198</v>
      </c>
      <c r="C27" s="227"/>
      <c r="D27" s="227"/>
      <c r="E27" s="227"/>
      <c r="F27" s="227"/>
      <c r="G27" s="227"/>
      <c r="H27" s="227"/>
      <c r="I27" s="227"/>
      <c r="J27" s="227"/>
      <c r="K27" s="227"/>
      <c r="L27" s="227"/>
      <c r="M27" s="227"/>
      <c r="N27" s="228"/>
      <c r="O27" s="534" t="str">
        <f t="shared" si="4"/>
        <v/>
      </c>
      <c r="Q27" s="536" t="str">
        <f t="shared" ref="Q27:Q32" si="5">IF(COUNTBLANK(C27:N27)=12,"",O27/1000)</f>
        <v/>
      </c>
      <c r="R27" s="12" t="s">
        <v>4199</v>
      </c>
    </row>
    <row r="28" spans="1:18" ht="26.25" customHeight="1">
      <c r="A28" s="532" t="s">
        <v>47</v>
      </c>
      <c r="B28" s="533" t="s">
        <v>4198</v>
      </c>
      <c r="C28" s="227"/>
      <c r="D28" s="227"/>
      <c r="E28" s="227"/>
      <c r="F28" s="227"/>
      <c r="G28" s="227"/>
      <c r="H28" s="227"/>
      <c r="I28" s="227"/>
      <c r="J28" s="227"/>
      <c r="K28" s="227"/>
      <c r="L28" s="227"/>
      <c r="M28" s="227"/>
      <c r="N28" s="228"/>
      <c r="O28" s="534" t="str">
        <f t="shared" si="4"/>
        <v/>
      </c>
      <c r="Q28" s="536" t="str">
        <f t="shared" si="5"/>
        <v/>
      </c>
      <c r="R28" s="12" t="s">
        <v>4199</v>
      </c>
    </row>
    <row r="29" spans="1:18" ht="26.25" customHeight="1">
      <c r="A29" s="532" t="s">
        <v>48</v>
      </c>
      <c r="B29" s="533" t="s">
        <v>4198</v>
      </c>
      <c r="C29" s="227"/>
      <c r="D29" s="227"/>
      <c r="E29" s="227"/>
      <c r="F29" s="227"/>
      <c r="G29" s="227"/>
      <c r="H29" s="227"/>
      <c r="I29" s="227"/>
      <c r="J29" s="227"/>
      <c r="K29" s="227"/>
      <c r="L29" s="227"/>
      <c r="M29" s="227"/>
      <c r="N29" s="228"/>
      <c r="O29" s="534" t="str">
        <f t="shared" si="4"/>
        <v/>
      </c>
      <c r="Q29" s="536" t="str">
        <f t="shared" si="5"/>
        <v/>
      </c>
      <c r="R29" s="12" t="s">
        <v>4199</v>
      </c>
    </row>
    <row r="30" spans="1:18" ht="26.25" customHeight="1">
      <c r="A30" s="532" t="s">
        <v>49</v>
      </c>
      <c r="B30" s="533" t="s">
        <v>4198</v>
      </c>
      <c r="C30" s="227"/>
      <c r="D30" s="227"/>
      <c r="E30" s="227"/>
      <c r="F30" s="227"/>
      <c r="G30" s="227"/>
      <c r="H30" s="227"/>
      <c r="I30" s="227"/>
      <c r="J30" s="227"/>
      <c r="K30" s="227"/>
      <c r="L30" s="227"/>
      <c r="M30" s="227"/>
      <c r="N30" s="228"/>
      <c r="O30" s="534" t="str">
        <f t="shared" si="4"/>
        <v/>
      </c>
      <c r="Q30" s="536" t="str">
        <f t="shared" si="5"/>
        <v/>
      </c>
      <c r="R30" s="12" t="s">
        <v>4199</v>
      </c>
    </row>
    <row r="31" spans="1:18" ht="26.25" customHeight="1">
      <c r="A31" s="532" t="s">
        <v>4901</v>
      </c>
      <c r="B31" s="533" t="s">
        <v>4200</v>
      </c>
      <c r="C31" s="227"/>
      <c r="D31" s="227"/>
      <c r="E31" s="227"/>
      <c r="F31" s="227"/>
      <c r="G31" s="227"/>
      <c r="H31" s="227"/>
      <c r="I31" s="227"/>
      <c r="J31" s="227"/>
      <c r="K31" s="227"/>
      <c r="L31" s="227"/>
      <c r="M31" s="227"/>
      <c r="N31" s="228"/>
      <c r="O31" s="534" t="str">
        <f t="shared" si="4"/>
        <v/>
      </c>
      <c r="Q31" s="536" t="str">
        <f t="shared" si="5"/>
        <v/>
      </c>
      <c r="R31" s="12" t="s">
        <v>4201</v>
      </c>
    </row>
    <row r="32" spans="1:18" ht="26.25" customHeight="1" thickBot="1">
      <c r="A32" s="532" t="s">
        <v>63</v>
      </c>
      <c r="B32" s="537" t="s">
        <v>4912</v>
      </c>
      <c r="C32" s="227"/>
      <c r="D32" s="227"/>
      <c r="E32" s="227"/>
      <c r="F32" s="227"/>
      <c r="G32" s="227"/>
      <c r="H32" s="227"/>
      <c r="I32" s="227"/>
      <c r="J32" s="227"/>
      <c r="K32" s="227"/>
      <c r="L32" s="227"/>
      <c r="M32" s="227"/>
      <c r="N32" s="228"/>
      <c r="O32" s="534" t="str">
        <f t="shared" si="4"/>
        <v/>
      </c>
      <c r="Q32" s="538" t="str">
        <f t="shared" si="5"/>
        <v/>
      </c>
      <c r="R32" s="12" t="s">
        <v>4202</v>
      </c>
    </row>
    <row r="33" spans="1:22" ht="13.5" customHeight="1"/>
    <row r="34" spans="1:22" ht="26.25" customHeight="1" thickBot="1">
      <c r="A34" s="645" t="s">
        <v>4196</v>
      </c>
      <c r="B34" s="645"/>
      <c r="C34" s="21" t="s">
        <v>4183</v>
      </c>
      <c r="D34" s="21" t="s">
        <v>4184</v>
      </c>
      <c r="E34" s="21" t="s">
        <v>4185</v>
      </c>
      <c r="F34" s="21" t="s">
        <v>4186</v>
      </c>
      <c r="G34" s="21" t="s">
        <v>4187</v>
      </c>
      <c r="H34" s="21" t="s">
        <v>4188</v>
      </c>
      <c r="I34" s="21" t="s">
        <v>4189</v>
      </c>
      <c r="J34" s="21" t="s">
        <v>4190</v>
      </c>
      <c r="K34" s="21" t="s">
        <v>4191</v>
      </c>
      <c r="L34" s="21" t="s">
        <v>4192</v>
      </c>
      <c r="M34" s="21" t="s">
        <v>4193</v>
      </c>
      <c r="N34" s="21" t="s">
        <v>4194</v>
      </c>
      <c r="O34" s="531" t="s">
        <v>106</v>
      </c>
      <c r="Q34" s="531" t="s">
        <v>106</v>
      </c>
      <c r="V34" s="12" t="s">
        <v>4849</v>
      </c>
    </row>
    <row r="35" spans="1:22" ht="26.25" customHeight="1">
      <c r="A35" s="644" t="str">
        <f>'事業所排出量内訳 (第2年度)'!$U$42&amp;""</f>
        <v/>
      </c>
      <c r="B35" s="27" t="s">
        <v>69</v>
      </c>
      <c r="C35" s="230"/>
      <c r="D35" s="230"/>
      <c r="E35" s="230"/>
      <c r="F35" s="230"/>
      <c r="G35" s="230"/>
      <c r="H35" s="230"/>
      <c r="I35" s="230"/>
      <c r="J35" s="230"/>
      <c r="K35" s="230"/>
      <c r="L35" s="230"/>
      <c r="M35" s="230"/>
      <c r="N35" s="231"/>
      <c r="O35" s="534" t="str">
        <f t="shared" ref="O35:O44" si="6">IF(COUNTBLANK(C35:N35)=12,"",SUM(C35:N35))</f>
        <v/>
      </c>
      <c r="Q35" s="535" t="str">
        <f t="shared" ref="Q35:Q44" si="7">IF(COUNTBLANK(C35:N35)=12,"",O35/1000)</f>
        <v/>
      </c>
      <c r="R35" s="12" t="s">
        <v>4203</v>
      </c>
      <c r="V35" s="12" t="s">
        <v>4850</v>
      </c>
    </row>
    <row r="36" spans="1:22" ht="26.25" customHeight="1">
      <c r="A36" s="644"/>
      <c r="B36" s="27" t="s">
        <v>70</v>
      </c>
      <c r="C36" s="230"/>
      <c r="D36" s="230"/>
      <c r="E36" s="230"/>
      <c r="F36" s="230"/>
      <c r="G36" s="230"/>
      <c r="H36" s="230"/>
      <c r="I36" s="230"/>
      <c r="J36" s="230"/>
      <c r="K36" s="230"/>
      <c r="L36" s="230"/>
      <c r="M36" s="230"/>
      <c r="N36" s="231"/>
      <c r="O36" s="534" t="str">
        <f t="shared" si="6"/>
        <v/>
      </c>
      <c r="Q36" s="536" t="str">
        <f t="shared" si="7"/>
        <v/>
      </c>
      <c r="R36" s="12" t="s">
        <v>4203</v>
      </c>
      <c r="V36" s="12" t="s">
        <v>4851</v>
      </c>
    </row>
    <row r="37" spans="1:22" ht="26.25" customHeight="1">
      <c r="A37" s="644" t="str">
        <f>'事業所排出量内訳 (第2年度)'!$U$43&amp;""</f>
        <v/>
      </c>
      <c r="B37" s="27" t="s">
        <v>69</v>
      </c>
      <c r="C37" s="230"/>
      <c r="D37" s="230"/>
      <c r="E37" s="230"/>
      <c r="F37" s="230"/>
      <c r="G37" s="230"/>
      <c r="H37" s="230"/>
      <c r="I37" s="230"/>
      <c r="J37" s="230"/>
      <c r="K37" s="230"/>
      <c r="L37" s="230"/>
      <c r="M37" s="230"/>
      <c r="N37" s="231"/>
      <c r="O37" s="534" t="str">
        <f t="shared" si="6"/>
        <v/>
      </c>
      <c r="Q37" s="536" t="str">
        <f t="shared" si="7"/>
        <v/>
      </c>
      <c r="R37" s="12" t="s">
        <v>4203</v>
      </c>
      <c r="V37" s="12" t="s">
        <v>4852</v>
      </c>
    </row>
    <row r="38" spans="1:22" ht="26.25" customHeight="1">
      <c r="A38" s="644"/>
      <c r="B38" s="27" t="s">
        <v>70</v>
      </c>
      <c r="C38" s="230"/>
      <c r="D38" s="230"/>
      <c r="E38" s="230"/>
      <c r="F38" s="230"/>
      <c r="G38" s="230"/>
      <c r="H38" s="230"/>
      <c r="I38" s="230"/>
      <c r="J38" s="230"/>
      <c r="K38" s="230"/>
      <c r="L38" s="230"/>
      <c r="M38" s="230"/>
      <c r="N38" s="231"/>
      <c r="O38" s="534" t="str">
        <f t="shared" si="6"/>
        <v/>
      </c>
      <c r="Q38" s="536" t="str">
        <f t="shared" si="7"/>
        <v/>
      </c>
      <c r="R38" s="12" t="s">
        <v>4203</v>
      </c>
      <c r="V38" s="12" t="s">
        <v>4853</v>
      </c>
    </row>
    <row r="39" spans="1:22" ht="26.25" customHeight="1">
      <c r="A39" s="644" t="str">
        <f>'事業所排出量内訳 (第2年度)'!$U$44&amp;""</f>
        <v/>
      </c>
      <c r="B39" s="27" t="s">
        <v>69</v>
      </c>
      <c r="C39" s="230"/>
      <c r="D39" s="230"/>
      <c r="E39" s="230"/>
      <c r="F39" s="230"/>
      <c r="G39" s="230"/>
      <c r="H39" s="230"/>
      <c r="I39" s="230"/>
      <c r="J39" s="230"/>
      <c r="K39" s="230"/>
      <c r="L39" s="230"/>
      <c r="M39" s="230"/>
      <c r="N39" s="231"/>
      <c r="O39" s="534" t="str">
        <f t="shared" si="6"/>
        <v/>
      </c>
      <c r="Q39" s="536" t="str">
        <f t="shared" si="7"/>
        <v/>
      </c>
      <c r="R39" s="12" t="s">
        <v>4203</v>
      </c>
      <c r="V39" s="12" t="s">
        <v>4854</v>
      </c>
    </row>
    <row r="40" spans="1:22" ht="26.25" customHeight="1">
      <c r="A40" s="644"/>
      <c r="B40" s="27" t="s">
        <v>70</v>
      </c>
      <c r="C40" s="230"/>
      <c r="D40" s="230"/>
      <c r="E40" s="230"/>
      <c r="F40" s="230"/>
      <c r="G40" s="230"/>
      <c r="H40" s="230"/>
      <c r="I40" s="230"/>
      <c r="J40" s="230"/>
      <c r="K40" s="230"/>
      <c r="L40" s="230"/>
      <c r="M40" s="230"/>
      <c r="N40" s="231"/>
      <c r="O40" s="534" t="str">
        <f t="shared" si="6"/>
        <v/>
      </c>
      <c r="Q40" s="536" t="str">
        <f t="shared" si="7"/>
        <v/>
      </c>
      <c r="R40" s="12" t="s">
        <v>4203</v>
      </c>
      <c r="V40" s="12" t="s">
        <v>4855</v>
      </c>
    </row>
    <row r="41" spans="1:22" ht="26.25" customHeight="1">
      <c r="A41" s="644" t="str">
        <f>'事業所排出量内訳 (第2年度)'!$U$45&amp;""</f>
        <v/>
      </c>
      <c r="B41" s="27" t="s">
        <v>69</v>
      </c>
      <c r="C41" s="230"/>
      <c r="D41" s="230"/>
      <c r="E41" s="230"/>
      <c r="F41" s="230"/>
      <c r="G41" s="230"/>
      <c r="H41" s="230"/>
      <c r="I41" s="230"/>
      <c r="J41" s="230"/>
      <c r="K41" s="230"/>
      <c r="L41" s="230"/>
      <c r="M41" s="230"/>
      <c r="N41" s="231"/>
      <c r="O41" s="534" t="str">
        <f t="shared" si="6"/>
        <v/>
      </c>
      <c r="Q41" s="536" t="str">
        <f t="shared" si="7"/>
        <v/>
      </c>
      <c r="R41" s="12" t="s">
        <v>4203</v>
      </c>
      <c r="V41" s="12" t="s">
        <v>4856</v>
      </c>
    </row>
    <row r="42" spans="1:22" ht="26.25" customHeight="1">
      <c r="A42" s="644"/>
      <c r="B42" s="27" t="s">
        <v>70</v>
      </c>
      <c r="C42" s="230"/>
      <c r="D42" s="230"/>
      <c r="E42" s="230"/>
      <c r="F42" s="230"/>
      <c r="G42" s="230"/>
      <c r="H42" s="230"/>
      <c r="I42" s="230"/>
      <c r="J42" s="230"/>
      <c r="K42" s="230"/>
      <c r="L42" s="230"/>
      <c r="M42" s="230"/>
      <c r="N42" s="231"/>
      <c r="O42" s="534" t="str">
        <f t="shared" si="6"/>
        <v/>
      </c>
      <c r="Q42" s="536" t="str">
        <f t="shared" si="7"/>
        <v/>
      </c>
      <c r="R42" s="12" t="s">
        <v>4203</v>
      </c>
      <c r="V42" s="12" t="s">
        <v>4857</v>
      </c>
    </row>
    <row r="43" spans="1:22" ht="26.25" customHeight="1">
      <c r="A43" s="644" t="str">
        <f>'事業所排出量内訳 (第2年度)'!$U$46&amp;""</f>
        <v/>
      </c>
      <c r="B43" s="27" t="s">
        <v>69</v>
      </c>
      <c r="C43" s="230"/>
      <c r="D43" s="230"/>
      <c r="E43" s="230"/>
      <c r="F43" s="230"/>
      <c r="G43" s="230"/>
      <c r="H43" s="230"/>
      <c r="I43" s="230"/>
      <c r="J43" s="230"/>
      <c r="K43" s="230"/>
      <c r="L43" s="230"/>
      <c r="M43" s="230"/>
      <c r="N43" s="231"/>
      <c r="O43" s="534" t="str">
        <f t="shared" si="6"/>
        <v/>
      </c>
      <c r="Q43" s="536" t="str">
        <f t="shared" si="7"/>
        <v/>
      </c>
      <c r="R43" s="12" t="s">
        <v>4203</v>
      </c>
      <c r="V43" s="12" t="s">
        <v>4858</v>
      </c>
    </row>
    <row r="44" spans="1:22" ht="26.25" customHeight="1" thickBot="1">
      <c r="A44" s="644"/>
      <c r="B44" s="27" t="s">
        <v>70</v>
      </c>
      <c r="C44" s="230"/>
      <c r="D44" s="230"/>
      <c r="E44" s="230"/>
      <c r="F44" s="230"/>
      <c r="G44" s="230"/>
      <c r="H44" s="230"/>
      <c r="I44" s="230"/>
      <c r="J44" s="230"/>
      <c r="K44" s="230"/>
      <c r="L44" s="230"/>
      <c r="M44" s="230"/>
      <c r="N44" s="231"/>
      <c r="O44" s="534" t="str">
        <f t="shared" si="6"/>
        <v/>
      </c>
      <c r="Q44" s="538" t="str">
        <f t="shared" si="7"/>
        <v/>
      </c>
      <c r="R44" s="12" t="s">
        <v>4203</v>
      </c>
      <c r="V44" s="12" t="s">
        <v>4859</v>
      </c>
    </row>
    <row r="46" spans="1:22" ht="27.75" customHeight="1">
      <c r="A46" s="12" t="s">
        <v>4115</v>
      </c>
    </row>
    <row r="47" spans="1:22" ht="26.25" customHeight="1" thickBot="1">
      <c r="A47" s="642" t="s">
        <v>4195</v>
      </c>
      <c r="B47" s="643"/>
      <c r="C47" s="21" t="s">
        <v>4183</v>
      </c>
      <c r="D47" s="21" t="s">
        <v>4184</v>
      </c>
      <c r="E47" s="21" t="s">
        <v>4185</v>
      </c>
      <c r="F47" s="21" t="s">
        <v>4186</v>
      </c>
      <c r="G47" s="21" t="s">
        <v>4187</v>
      </c>
      <c r="H47" s="21" t="s">
        <v>4188</v>
      </c>
      <c r="I47" s="21" t="s">
        <v>4189</v>
      </c>
      <c r="J47" s="21" t="s">
        <v>4190</v>
      </c>
      <c r="K47" s="21" t="s">
        <v>4191</v>
      </c>
      <c r="L47" s="21" t="s">
        <v>4192</v>
      </c>
      <c r="M47" s="21" t="s">
        <v>4193</v>
      </c>
      <c r="N47" s="21" t="s">
        <v>4194</v>
      </c>
      <c r="O47" s="531" t="s">
        <v>106</v>
      </c>
      <c r="Q47" s="531" t="s">
        <v>106</v>
      </c>
    </row>
    <row r="48" spans="1:22" ht="26.25" customHeight="1">
      <c r="A48" s="532" t="s">
        <v>44</v>
      </c>
      <c r="B48" s="533" t="s">
        <v>4198</v>
      </c>
      <c r="C48" s="227"/>
      <c r="D48" s="227"/>
      <c r="E48" s="227"/>
      <c r="F48" s="227"/>
      <c r="G48" s="227"/>
      <c r="H48" s="227"/>
      <c r="I48" s="227"/>
      <c r="J48" s="227"/>
      <c r="K48" s="227"/>
      <c r="L48" s="227"/>
      <c r="M48" s="227"/>
      <c r="N48" s="228"/>
      <c r="O48" s="534" t="str">
        <f t="shared" ref="O48:O54" si="8">IF(COUNTBLANK(C48:N48)=12,"",SUM(C48:N48))</f>
        <v/>
      </c>
      <c r="Q48" s="535" t="str">
        <f t="shared" ref="Q48:Q54" si="9">IF(COUNTBLANK(C48:N48)=12,"",O48/1000)</f>
        <v/>
      </c>
      <c r="R48" s="12" t="s">
        <v>4199</v>
      </c>
    </row>
    <row r="49" spans="1:18" ht="26.25" customHeight="1">
      <c r="A49" s="532" t="s">
        <v>46</v>
      </c>
      <c r="B49" s="533" t="s">
        <v>4198</v>
      </c>
      <c r="C49" s="227"/>
      <c r="D49" s="227"/>
      <c r="E49" s="227"/>
      <c r="F49" s="227"/>
      <c r="G49" s="227"/>
      <c r="H49" s="227"/>
      <c r="I49" s="227"/>
      <c r="J49" s="227"/>
      <c r="K49" s="227"/>
      <c r="L49" s="227"/>
      <c r="M49" s="227"/>
      <c r="N49" s="228"/>
      <c r="O49" s="534" t="str">
        <f t="shared" si="8"/>
        <v/>
      </c>
      <c r="Q49" s="536" t="str">
        <f t="shared" si="9"/>
        <v/>
      </c>
      <c r="R49" s="12" t="s">
        <v>4199</v>
      </c>
    </row>
    <row r="50" spans="1:18" ht="26.25" customHeight="1">
      <c r="A50" s="532" t="s">
        <v>47</v>
      </c>
      <c r="B50" s="533" t="s">
        <v>4198</v>
      </c>
      <c r="C50" s="227"/>
      <c r="D50" s="227"/>
      <c r="E50" s="227"/>
      <c r="F50" s="227"/>
      <c r="G50" s="227"/>
      <c r="H50" s="227"/>
      <c r="I50" s="227"/>
      <c r="J50" s="227"/>
      <c r="K50" s="227"/>
      <c r="L50" s="227"/>
      <c r="M50" s="227"/>
      <c r="N50" s="228"/>
      <c r="O50" s="534" t="str">
        <f t="shared" si="8"/>
        <v/>
      </c>
      <c r="Q50" s="536" t="str">
        <f t="shared" si="9"/>
        <v/>
      </c>
      <c r="R50" s="12" t="s">
        <v>4199</v>
      </c>
    </row>
    <row r="51" spans="1:18" ht="26.25" customHeight="1">
      <c r="A51" s="532" t="s">
        <v>48</v>
      </c>
      <c r="B51" s="533" t="s">
        <v>4198</v>
      </c>
      <c r="C51" s="227"/>
      <c r="D51" s="227"/>
      <c r="E51" s="227"/>
      <c r="F51" s="227"/>
      <c r="G51" s="227"/>
      <c r="H51" s="227"/>
      <c r="I51" s="227"/>
      <c r="J51" s="227"/>
      <c r="K51" s="227"/>
      <c r="L51" s="227"/>
      <c r="M51" s="227"/>
      <c r="N51" s="228"/>
      <c r="O51" s="534" t="str">
        <f t="shared" si="8"/>
        <v/>
      </c>
      <c r="Q51" s="536" t="str">
        <f t="shared" si="9"/>
        <v/>
      </c>
      <c r="R51" s="12" t="s">
        <v>4199</v>
      </c>
    </row>
    <row r="52" spans="1:18" ht="26.25" customHeight="1">
      <c r="A52" s="532" t="s">
        <v>49</v>
      </c>
      <c r="B52" s="533" t="s">
        <v>4198</v>
      </c>
      <c r="C52" s="227"/>
      <c r="D52" s="227"/>
      <c r="E52" s="227"/>
      <c r="F52" s="227"/>
      <c r="G52" s="227"/>
      <c r="H52" s="227"/>
      <c r="I52" s="227"/>
      <c r="J52" s="227"/>
      <c r="K52" s="227"/>
      <c r="L52" s="227"/>
      <c r="M52" s="227"/>
      <c r="N52" s="228"/>
      <c r="O52" s="534" t="str">
        <f t="shared" si="8"/>
        <v/>
      </c>
      <c r="Q52" s="536" t="str">
        <f t="shared" si="9"/>
        <v/>
      </c>
      <c r="R52" s="12" t="s">
        <v>4199</v>
      </c>
    </row>
    <row r="53" spans="1:18" ht="26.25" customHeight="1">
      <c r="A53" s="532" t="s">
        <v>4901</v>
      </c>
      <c r="B53" s="533" t="s">
        <v>4200</v>
      </c>
      <c r="C53" s="227"/>
      <c r="D53" s="227"/>
      <c r="E53" s="227"/>
      <c r="F53" s="227"/>
      <c r="G53" s="227"/>
      <c r="H53" s="227"/>
      <c r="I53" s="227"/>
      <c r="J53" s="227"/>
      <c r="K53" s="227"/>
      <c r="L53" s="227"/>
      <c r="M53" s="227"/>
      <c r="N53" s="228"/>
      <c r="O53" s="534" t="str">
        <f t="shared" si="8"/>
        <v/>
      </c>
      <c r="Q53" s="536" t="str">
        <f t="shared" si="9"/>
        <v/>
      </c>
      <c r="R53" s="12" t="s">
        <v>4201</v>
      </c>
    </row>
    <row r="54" spans="1:18" ht="26.25" customHeight="1" thickBot="1">
      <c r="A54" s="532" t="s">
        <v>63</v>
      </c>
      <c r="B54" s="537" t="s">
        <v>4912</v>
      </c>
      <c r="C54" s="227"/>
      <c r="D54" s="227"/>
      <c r="E54" s="227"/>
      <c r="F54" s="227"/>
      <c r="G54" s="227"/>
      <c r="H54" s="227"/>
      <c r="I54" s="227"/>
      <c r="J54" s="227"/>
      <c r="K54" s="227"/>
      <c r="L54" s="227"/>
      <c r="M54" s="227"/>
      <c r="N54" s="228"/>
      <c r="O54" s="534" t="str">
        <f t="shared" si="8"/>
        <v/>
      </c>
      <c r="Q54" s="538" t="str">
        <f t="shared" si="9"/>
        <v/>
      </c>
      <c r="R54" s="12" t="s">
        <v>4202</v>
      </c>
    </row>
    <row r="55" spans="1:18" ht="13.5" customHeight="1"/>
    <row r="56" spans="1:18" ht="26.25" customHeight="1" thickBot="1">
      <c r="A56" s="645" t="s">
        <v>4196</v>
      </c>
      <c r="B56" s="645"/>
      <c r="C56" s="21" t="s">
        <v>4183</v>
      </c>
      <c r="D56" s="21" t="s">
        <v>4184</v>
      </c>
      <c r="E56" s="21" t="s">
        <v>4185</v>
      </c>
      <c r="F56" s="21" t="s">
        <v>4186</v>
      </c>
      <c r="G56" s="21" t="s">
        <v>4187</v>
      </c>
      <c r="H56" s="21" t="s">
        <v>4188</v>
      </c>
      <c r="I56" s="21" t="s">
        <v>4189</v>
      </c>
      <c r="J56" s="21" t="s">
        <v>4190</v>
      </c>
      <c r="K56" s="21" t="s">
        <v>4191</v>
      </c>
      <c r="L56" s="21" t="s">
        <v>4192</v>
      </c>
      <c r="M56" s="21" t="s">
        <v>4193</v>
      </c>
      <c r="N56" s="21" t="s">
        <v>4194</v>
      </c>
      <c r="O56" s="531" t="s">
        <v>106</v>
      </c>
      <c r="Q56" s="531" t="s">
        <v>106</v>
      </c>
    </row>
    <row r="57" spans="1:18" ht="26.25" customHeight="1">
      <c r="A57" s="644" t="str">
        <f>'事業所排出量内訳 (第3年度)'!$U$42&amp;""</f>
        <v/>
      </c>
      <c r="B57" s="27" t="s">
        <v>69</v>
      </c>
      <c r="C57" s="230"/>
      <c r="D57" s="230"/>
      <c r="E57" s="230"/>
      <c r="F57" s="230"/>
      <c r="G57" s="230"/>
      <c r="H57" s="230"/>
      <c r="I57" s="230"/>
      <c r="J57" s="230"/>
      <c r="K57" s="230"/>
      <c r="L57" s="230"/>
      <c r="M57" s="230"/>
      <c r="N57" s="231"/>
      <c r="O57" s="534" t="str">
        <f t="shared" ref="O57:O66" si="10">IF(COUNTBLANK(C57:N57)=12,"",SUM(C57:N57))</f>
        <v/>
      </c>
      <c r="Q57" s="535" t="str">
        <f t="shared" ref="Q57:Q66" si="11">IF(COUNTBLANK(C57:N57)=12,"",O57/1000)</f>
        <v/>
      </c>
      <c r="R57" s="12" t="s">
        <v>4203</v>
      </c>
    </row>
    <row r="58" spans="1:18" ht="26.25" customHeight="1">
      <c r="A58" s="644"/>
      <c r="B58" s="27" t="s">
        <v>70</v>
      </c>
      <c r="C58" s="230"/>
      <c r="D58" s="230"/>
      <c r="E58" s="230"/>
      <c r="F58" s="230"/>
      <c r="G58" s="230"/>
      <c r="H58" s="230"/>
      <c r="I58" s="230"/>
      <c r="J58" s="230"/>
      <c r="K58" s="230"/>
      <c r="L58" s="230"/>
      <c r="M58" s="230"/>
      <c r="N58" s="231"/>
      <c r="O58" s="534" t="str">
        <f t="shared" si="10"/>
        <v/>
      </c>
      <c r="Q58" s="536" t="str">
        <f t="shared" si="11"/>
        <v/>
      </c>
      <c r="R58" s="12" t="s">
        <v>4203</v>
      </c>
    </row>
    <row r="59" spans="1:18" ht="26.25" customHeight="1">
      <c r="A59" s="644" t="str">
        <f>'事業所排出量内訳 (第3年度)'!$U$43&amp;""</f>
        <v/>
      </c>
      <c r="B59" s="27" t="s">
        <v>69</v>
      </c>
      <c r="C59" s="230"/>
      <c r="D59" s="230"/>
      <c r="E59" s="230"/>
      <c r="F59" s="230"/>
      <c r="G59" s="230"/>
      <c r="H59" s="230"/>
      <c r="I59" s="230"/>
      <c r="J59" s="230"/>
      <c r="K59" s="230"/>
      <c r="L59" s="230"/>
      <c r="M59" s="230"/>
      <c r="N59" s="231"/>
      <c r="O59" s="534" t="str">
        <f t="shared" si="10"/>
        <v/>
      </c>
      <c r="Q59" s="536" t="str">
        <f t="shared" si="11"/>
        <v/>
      </c>
      <c r="R59" s="12" t="s">
        <v>4203</v>
      </c>
    </row>
    <row r="60" spans="1:18" ht="26.25" customHeight="1">
      <c r="A60" s="644"/>
      <c r="B60" s="27" t="s">
        <v>70</v>
      </c>
      <c r="C60" s="230"/>
      <c r="D60" s="230"/>
      <c r="E60" s="230"/>
      <c r="F60" s="230"/>
      <c r="G60" s="230"/>
      <c r="H60" s="230"/>
      <c r="I60" s="230"/>
      <c r="J60" s="230"/>
      <c r="K60" s="230"/>
      <c r="L60" s="230"/>
      <c r="M60" s="230"/>
      <c r="N60" s="231"/>
      <c r="O60" s="534" t="str">
        <f t="shared" si="10"/>
        <v/>
      </c>
      <c r="Q60" s="536" t="str">
        <f t="shared" si="11"/>
        <v/>
      </c>
      <c r="R60" s="12" t="s">
        <v>4203</v>
      </c>
    </row>
    <row r="61" spans="1:18" ht="26.25" customHeight="1">
      <c r="A61" s="644" t="str">
        <f>'事業所排出量内訳 (第3年度)'!$U$44&amp;""</f>
        <v/>
      </c>
      <c r="B61" s="27" t="s">
        <v>69</v>
      </c>
      <c r="C61" s="230"/>
      <c r="D61" s="230"/>
      <c r="E61" s="230"/>
      <c r="F61" s="230"/>
      <c r="G61" s="230"/>
      <c r="H61" s="230"/>
      <c r="I61" s="230"/>
      <c r="J61" s="230"/>
      <c r="K61" s="230"/>
      <c r="L61" s="230"/>
      <c r="M61" s="230"/>
      <c r="N61" s="231"/>
      <c r="O61" s="534" t="str">
        <f t="shared" si="10"/>
        <v/>
      </c>
      <c r="Q61" s="536" t="str">
        <f t="shared" si="11"/>
        <v/>
      </c>
      <c r="R61" s="12" t="s">
        <v>4203</v>
      </c>
    </row>
    <row r="62" spans="1:18" ht="26.25" customHeight="1">
      <c r="A62" s="644"/>
      <c r="B62" s="27" t="s">
        <v>70</v>
      </c>
      <c r="C62" s="230"/>
      <c r="D62" s="230"/>
      <c r="E62" s="230"/>
      <c r="F62" s="230"/>
      <c r="G62" s="230"/>
      <c r="H62" s="230"/>
      <c r="I62" s="230"/>
      <c r="J62" s="230"/>
      <c r="K62" s="230"/>
      <c r="L62" s="230"/>
      <c r="M62" s="230"/>
      <c r="N62" s="231"/>
      <c r="O62" s="534" t="str">
        <f t="shared" si="10"/>
        <v/>
      </c>
      <c r="Q62" s="536" t="str">
        <f t="shared" si="11"/>
        <v/>
      </c>
      <c r="R62" s="12" t="s">
        <v>4203</v>
      </c>
    </row>
    <row r="63" spans="1:18" ht="26.25" customHeight="1">
      <c r="A63" s="644" t="str">
        <f>'事業所排出量内訳 (第3年度)'!$U$45&amp;""</f>
        <v/>
      </c>
      <c r="B63" s="27" t="s">
        <v>69</v>
      </c>
      <c r="C63" s="230"/>
      <c r="D63" s="230"/>
      <c r="E63" s="230"/>
      <c r="F63" s="230"/>
      <c r="G63" s="230"/>
      <c r="H63" s="230"/>
      <c r="I63" s="230"/>
      <c r="J63" s="230"/>
      <c r="K63" s="230"/>
      <c r="L63" s="230"/>
      <c r="M63" s="230"/>
      <c r="N63" s="231"/>
      <c r="O63" s="534" t="str">
        <f t="shared" si="10"/>
        <v/>
      </c>
      <c r="Q63" s="536" t="str">
        <f t="shared" si="11"/>
        <v/>
      </c>
      <c r="R63" s="12" t="s">
        <v>4203</v>
      </c>
    </row>
    <row r="64" spans="1:18" ht="26.25" customHeight="1">
      <c r="A64" s="644"/>
      <c r="B64" s="27" t="s">
        <v>70</v>
      </c>
      <c r="C64" s="230"/>
      <c r="D64" s="230"/>
      <c r="E64" s="230"/>
      <c r="F64" s="230"/>
      <c r="G64" s="230"/>
      <c r="H64" s="230"/>
      <c r="I64" s="230"/>
      <c r="J64" s="230"/>
      <c r="K64" s="230"/>
      <c r="L64" s="230"/>
      <c r="M64" s="230"/>
      <c r="N64" s="231"/>
      <c r="O64" s="534" t="str">
        <f t="shared" si="10"/>
        <v/>
      </c>
      <c r="Q64" s="536" t="str">
        <f t="shared" si="11"/>
        <v/>
      </c>
      <c r="R64" s="12" t="s">
        <v>4203</v>
      </c>
    </row>
    <row r="65" spans="1:18" ht="26.25" customHeight="1">
      <c r="A65" s="644" t="str">
        <f>'事業所排出量内訳 (第3年度)'!$U$46&amp;""</f>
        <v/>
      </c>
      <c r="B65" s="27" t="s">
        <v>69</v>
      </c>
      <c r="C65" s="230"/>
      <c r="D65" s="230"/>
      <c r="E65" s="230"/>
      <c r="F65" s="230"/>
      <c r="G65" s="230"/>
      <c r="H65" s="230"/>
      <c r="I65" s="230"/>
      <c r="J65" s="230"/>
      <c r="K65" s="230"/>
      <c r="L65" s="230"/>
      <c r="M65" s="230"/>
      <c r="N65" s="231"/>
      <c r="O65" s="534" t="str">
        <f t="shared" si="10"/>
        <v/>
      </c>
      <c r="Q65" s="536" t="str">
        <f t="shared" si="11"/>
        <v/>
      </c>
      <c r="R65" s="12" t="s">
        <v>4203</v>
      </c>
    </row>
    <row r="66" spans="1:18" ht="26.25" customHeight="1" thickBot="1">
      <c r="A66" s="644"/>
      <c r="B66" s="27" t="s">
        <v>70</v>
      </c>
      <c r="C66" s="230"/>
      <c r="D66" s="230"/>
      <c r="E66" s="230"/>
      <c r="F66" s="230"/>
      <c r="G66" s="230"/>
      <c r="H66" s="230"/>
      <c r="I66" s="230"/>
      <c r="J66" s="230"/>
      <c r="K66" s="230"/>
      <c r="L66" s="230"/>
      <c r="M66" s="230"/>
      <c r="N66" s="231"/>
      <c r="O66" s="534" t="str">
        <f t="shared" si="10"/>
        <v/>
      </c>
      <c r="Q66" s="538" t="str">
        <f t="shared" si="11"/>
        <v/>
      </c>
      <c r="R66" s="12" t="s">
        <v>4203</v>
      </c>
    </row>
  </sheetData>
  <sheetProtection algorithmName="SHA-512" hashValue="lNxiJi9VMqHbY9RIS7GI5PQOJQj9cFq8CR7fok4jjGbPrCxl0+xC6JGyK3Yq1wXALj3hxBwT1ybMMFoEeUG2uA==" saltValue="Yh9rMSq2ri1Zk42k7jQpsg==" spinCount="100000" sheet="1" objects="1" scenarios="1" selectLockedCells="1"/>
  <mergeCells count="21">
    <mergeCell ref="A3:B3"/>
    <mergeCell ref="A12:B12"/>
    <mergeCell ref="A13:A14"/>
    <mergeCell ref="A15:A16"/>
    <mergeCell ref="A17:A18"/>
    <mergeCell ref="A63:A64"/>
    <mergeCell ref="A65:A66"/>
    <mergeCell ref="A41:A42"/>
    <mergeCell ref="A43:A44"/>
    <mergeCell ref="A19:A20"/>
    <mergeCell ref="A21:A22"/>
    <mergeCell ref="A25:B25"/>
    <mergeCell ref="A57:A58"/>
    <mergeCell ref="A59:A60"/>
    <mergeCell ref="A61:A62"/>
    <mergeCell ref="A34:B34"/>
    <mergeCell ref="A35:A36"/>
    <mergeCell ref="A37:A38"/>
    <mergeCell ref="A39:A40"/>
    <mergeCell ref="A47:B47"/>
    <mergeCell ref="A56:B56"/>
  </mergeCells>
  <phoneticPr fontId="1"/>
  <conditionalFormatting sqref="A13:A22">
    <cfRule type="expression" dxfId="20" priority="25" stopIfTrue="1">
      <formula>$A13&lt;&gt;""</formula>
    </cfRule>
  </conditionalFormatting>
  <conditionalFormatting sqref="A35:A44">
    <cfRule type="expression" dxfId="19" priority="22" stopIfTrue="1">
      <formula>$A35&lt;&gt;""</formula>
    </cfRule>
  </conditionalFormatting>
  <conditionalFormatting sqref="A57:A66">
    <cfRule type="expression" dxfId="18" priority="1" stopIfTrue="1">
      <formula>$A57&lt;&gt;""</formula>
    </cfRule>
  </conditionalFormatting>
  <conditionalFormatting sqref="C4:N10 C26:N32 C48:N54">
    <cfRule type="expression" dxfId="17" priority="26">
      <formula>C4&lt;&gt;""</formula>
    </cfRule>
  </conditionalFormatting>
  <conditionalFormatting sqref="C13:N22">
    <cfRule type="expression" dxfId="16" priority="12">
      <formula>C13&lt;&gt;""</formula>
    </cfRule>
  </conditionalFormatting>
  <conditionalFormatting sqref="C35:N44">
    <cfRule type="expression" dxfId="15" priority="14">
      <formula>C35&lt;&gt;""</formula>
    </cfRule>
  </conditionalFormatting>
  <conditionalFormatting sqref="C57:N66">
    <cfRule type="expression" dxfId="14" priority="16">
      <formula>C57&lt;&gt;""</formula>
    </cfRule>
  </conditionalFormatting>
  <dataValidations count="1">
    <dataValidation imeMode="halfAlpha" allowBlank="1" showInputMessage="1" showErrorMessage="1" sqref="C4:N10 C35:N44 C26:N32 C57:N66 C48:N54 C13:N22" xr:uid="{00000000-0002-0000-0F00-000000000000}"/>
  </dataValidations>
  <printOptions horizontalCentered="1"/>
  <pageMargins left="0.70866141732283472" right="0.70866141732283472" top="0.74803149606299213" bottom="0.74803149606299213" header="0.31496062992125984" footer="0.31496062992125984"/>
  <pageSetup paperSize="9" scale="60" fitToHeight="0" orientation="portrait" r:id="rId1"/>
  <headerFooter>
    <oddHeader>&amp;L様式第２号</oddHeader>
    <oddFooter>&amp;R&amp;8（一般事業所等用）</oddFooter>
  </headerFooter>
  <rowBreaks count="1" manualBreakCount="1">
    <brk id="44" max="17" man="1"/>
  </rowBreak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800068-E78B-47E0-A56D-3168520E6637}">
  <sheetPr codeName="Sheet3">
    <tabColor theme="6" tint="0.79998168889431442"/>
    <pageSetUpPr fitToPage="1"/>
  </sheetPr>
  <dimension ref="A1:BB137"/>
  <sheetViews>
    <sheetView showGridLines="0" view="pageBreakPreview" topLeftCell="C1" zoomScale="70" zoomScaleNormal="55" zoomScaleSheetLayoutView="70" zoomScalePageLayoutView="70" workbookViewId="0">
      <selection activeCell="J6" sqref="J6"/>
    </sheetView>
  </sheetViews>
  <sheetFormatPr defaultColWidth="9" defaultRowHeight="16.2"/>
  <cols>
    <col min="1" max="2" width="4.88671875" style="277" customWidth="1"/>
    <col min="3" max="3" width="6" style="277" customWidth="1"/>
    <col min="4" max="4" width="6.109375" style="277" customWidth="1"/>
    <col min="5" max="5" width="6.88671875" style="277" customWidth="1"/>
    <col min="6" max="6" width="14.88671875" style="277" customWidth="1"/>
    <col min="7" max="7" width="9.109375" style="277" customWidth="1"/>
    <col min="8" max="8" width="10.6640625" style="277" customWidth="1"/>
    <col min="9" max="9" width="11.88671875" style="277" customWidth="1"/>
    <col min="10" max="10" width="13.44140625" style="277" customWidth="1"/>
    <col min="11" max="11" width="11.109375" style="277" customWidth="1"/>
    <col min="12" max="14" width="11" style="277" customWidth="1"/>
    <col min="15" max="15" width="7.88671875" style="277" hidden="1" customWidth="1"/>
    <col min="16" max="19" width="11" style="277" hidden="1" customWidth="1"/>
    <col min="20" max="20" width="13.88671875" style="277" customWidth="1"/>
    <col min="21" max="21" width="28.109375" style="277" customWidth="1"/>
    <col min="22" max="22" width="14.88671875" style="277" customWidth="1"/>
    <col min="23" max="23" width="15.33203125" style="277" customWidth="1"/>
    <col min="24" max="24" width="15.109375" style="277" customWidth="1"/>
    <col min="25" max="25" width="14.88671875" style="277" customWidth="1"/>
    <col min="26" max="26" width="16.109375" style="277" customWidth="1"/>
    <col min="27" max="27" width="16.44140625" style="277" customWidth="1"/>
    <col min="28" max="28" width="17.88671875" style="277" customWidth="1"/>
    <col min="29" max="32" width="9" style="277" customWidth="1"/>
    <col min="33" max="33" width="27.6640625" style="277" hidden="1" customWidth="1"/>
    <col min="34" max="34" width="31.44140625" style="277" hidden="1" customWidth="1"/>
    <col min="35" max="38" width="9" style="277" hidden="1" customWidth="1"/>
    <col min="39" max="39" width="19.6640625" style="277" hidden="1" customWidth="1"/>
    <col min="40" max="40" width="31.44140625" style="277" hidden="1" customWidth="1"/>
    <col min="41" max="45" width="9" style="277" hidden="1" customWidth="1"/>
    <col min="46" max="56" width="0" style="277" hidden="1" customWidth="1"/>
    <col min="57" max="16384" width="9" style="277"/>
  </cols>
  <sheetData>
    <row r="1" spans="3:54" s="280" customFormat="1" ht="27.75" customHeight="1">
      <c r="C1" s="273" t="s">
        <v>125</v>
      </c>
      <c r="D1" s="274"/>
      <c r="E1" s="274"/>
      <c r="F1" s="275"/>
      <c r="G1" s="275"/>
      <c r="H1" s="275"/>
      <c r="I1" s="276" t="s">
        <v>4096</v>
      </c>
      <c r="J1" s="652" t="str">
        <f>"（"&amp;はじめに!E4+1&amp;"年度）"</f>
        <v>（1年度）</v>
      </c>
      <c r="K1" s="652"/>
      <c r="L1" s="277"/>
      <c r="M1" s="277"/>
      <c r="N1" s="278"/>
      <c r="O1" s="278"/>
      <c r="P1"/>
      <c r="Q1"/>
      <c r="R1"/>
      <c r="S1"/>
      <c r="T1" s="279">
        <f>はじめに!E4+1</f>
        <v>1</v>
      </c>
      <c r="AW1" s="277" t="str">
        <f>IF(T1=2022,AZ1,AZ2)</f>
        <v>一般その他化石2023</v>
      </c>
      <c r="AX1" s="277" t="str">
        <f>IF(T1=2022,BB1,BB2)</f>
        <v>一般その他非化石2023</v>
      </c>
      <c r="AZ1" s="280" t="s">
        <v>5075</v>
      </c>
      <c r="BB1" s="280" t="s">
        <v>5076</v>
      </c>
    </row>
    <row r="2" spans="3:54" ht="12" customHeight="1">
      <c r="N2" s="278">
        <f>はじめに!E4</f>
        <v>0</v>
      </c>
      <c r="O2" s="278"/>
      <c r="P2"/>
      <c r="Q2"/>
      <c r="R2"/>
      <c r="S2"/>
      <c r="T2" s="281"/>
      <c r="AH2" s="282">
        <v>2022</v>
      </c>
      <c r="AN2" s="282">
        <v>2023</v>
      </c>
      <c r="AZ2" s="280" t="s">
        <v>5077</v>
      </c>
      <c r="BB2" s="280" t="s">
        <v>5078</v>
      </c>
    </row>
    <row r="3" spans="3:54" ht="32.4" customHeight="1" thickBot="1">
      <c r="C3" s="283" t="s">
        <v>5079</v>
      </c>
      <c r="D3" s="283"/>
      <c r="E3" s="283"/>
      <c r="F3" s="283"/>
      <c r="G3" s="283"/>
      <c r="H3" s="284"/>
      <c r="I3" s="284"/>
      <c r="J3" s="284"/>
      <c r="K3" s="284"/>
      <c r="L3" s="284"/>
      <c r="M3" s="284"/>
      <c r="N3" s="284"/>
      <c r="O3" s="278"/>
      <c r="P3"/>
      <c r="Q3"/>
      <c r="R3"/>
      <c r="S3"/>
      <c r="T3" s="285"/>
      <c r="U3" s="283" t="s">
        <v>5079</v>
      </c>
      <c r="AI3" s="277" t="s">
        <v>42</v>
      </c>
      <c r="AO3" s="277" t="s">
        <v>42</v>
      </c>
    </row>
    <row r="4" spans="3:54" ht="19.350000000000001" customHeight="1" thickBot="1">
      <c r="C4" s="646" t="s">
        <v>5082</v>
      </c>
      <c r="D4" s="647"/>
      <c r="E4" s="647"/>
      <c r="F4" s="647"/>
      <c r="G4" s="647"/>
      <c r="H4" s="648"/>
      <c r="I4" s="653" t="s">
        <v>112</v>
      </c>
      <c r="J4" s="655" t="s">
        <v>40</v>
      </c>
      <c r="K4" s="657" t="s">
        <v>41</v>
      </c>
      <c r="L4" s="661" t="s">
        <v>42</v>
      </c>
      <c r="M4" s="667" t="s">
        <v>5083</v>
      </c>
      <c r="N4" s="665" t="s">
        <v>5084</v>
      </c>
      <c r="O4" s="278"/>
      <c r="P4"/>
      <c r="Q4"/>
      <c r="R4" s="277">
        <f>IF(V4=0,0,1)</f>
        <v>0</v>
      </c>
      <c r="S4"/>
      <c r="T4" s="285"/>
      <c r="U4" s="289" t="s">
        <v>113</v>
      </c>
      <c r="V4" s="290">
        <f>SUM(M22,M30,M42)</f>
        <v>0</v>
      </c>
      <c r="W4" s="291" t="s">
        <v>116</v>
      </c>
      <c r="AE4" s="292"/>
      <c r="AG4" s="277">
        <v>1</v>
      </c>
      <c r="AH4" s="277" t="s">
        <v>4258</v>
      </c>
      <c r="AI4" s="277" t="s">
        <v>4181</v>
      </c>
      <c r="AJ4" s="277">
        <f t="shared" ref="AJ4:AJ20" si="0">SUMIFS($I$13:$I$19,$E$13:$E$19,$AN4)</f>
        <v>0</v>
      </c>
      <c r="AK4" s="277">
        <f t="shared" ref="AK4:AK20" si="1">SUMIFS($J$13:$J$19,$E$13:$E$19,$AN4)</f>
        <v>0</v>
      </c>
      <c r="AM4" s="277">
        <v>1</v>
      </c>
      <c r="AN4" s="277" t="s">
        <v>4258</v>
      </c>
      <c r="AO4" s="277" t="s">
        <v>4181</v>
      </c>
      <c r="AP4" s="277">
        <f t="shared" ref="AP4:AP60" si="2">SUMIFS($I$13:$I$19,$E$13:$E$19,$AN4)</f>
        <v>0</v>
      </c>
      <c r="AQ4" s="277">
        <f t="shared" ref="AQ4:AQ60" si="3">SUMIFS($J$13:$J$19,$E$13:$E$19,$AN4)</f>
        <v>0</v>
      </c>
      <c r="AR4" s="277">
        <f t="shared" ref="AR4:AR34" si="4">COUNTIF($AT$4:$AT$10,AN4)</f>
        <v>1</v>
      </c>
      <c r="AT4" s="277" t="s">
        <v>4966</v>
      </c>
    </row>
    <row r="5" spans="3:54" ht="19.350000000000001" customHeight="1">
      <c r="C5" s="649"/>
      <c r="D5" s="650"/>
      <c r="E5" s="650"/>
      <c r="F5" s="650"/>
      <c r="G5" s="650"/>
      <c r="H5" s="651"/>
      <c r="I5" s="654"/>
      <c r="J5" s="656"/>
      <c r="K5" s="658"/>
      <c r="L5" s="662"/>
      <c r="M5" s="664"/>
      <c r="N5" s="666"/>
      <c r="O5" s="278"/>
      <c r="P5" s="296" t="s">
        <v>5080</v>
      </c>
      <c r="Q5" s="296" t="s">
        <v>5081</v>
      </c>
      <c r="R5" s="296" t="s">
        <v>4961</v>
      </c>
      <c r="S5" s="296" t="s">
        <v>4962</v>
      </c>
      <c r="T5" s="285"/>
      <c r="U5" s="297" t="s">
        <v>114</v>
      </c>
      <c r="V5" s="298">
        <f>V4*0.0258</f>
        <v>0</v>
      </c>
      <c r="W5" s="299" t="s">
        <v>117</v>
      </c>
      <c r="AE5" s="292"/>
      <c r="AG5" s="277">
        <v>2</v>
      </c>
      <c r="AH5" s="292" t="s">
        <v>46</v>
      </c>
      <c r="AI5" s="277" t="s">
        <v>4182</v>
      </c>
      <c r="AJ5" s="277">
        <f t="shared" si="0"/>
        <v>0</v>
      </c>
      <c r="AK5" s="277">
        <f t="shared" si="1"/>
        <v>0</v>
      </c>
      <c r="AM5" s="277">
        <v>2</v>
      </c>
      <c r="AN5" s="292" t="s">
        <v>46</v>
      </c>
      <c r="AO5" s="277" t="s">
        <v>4182</v>
      </c>
      <c r="AP5" s="277">
        <f t="shared" si="2"/>
        <v>0</v>
      </c>
      <c r="AQ5" s="277">
        <f t="shared" si="3"/>
        <v>0</v>
      </c>
      <c r="AR5" s="277">
        <f t="shared" si="4"/>
        <v>1</v>
      </c>
      <c r="AT5" s="277" t="s">
        <v>46</v>
      </c>
    </row>
    <row r="6" spans="3:54" ht="19.350000000000001" customHeight="1" thickBot="1">
      <c r="C6" s="300"/>
      <c r="D6" s="301" t="s">
        <v>44</v>
      </c>
      <c r="E6" s="302"/>
      <c r="F6" s="302"/>
      <c r="G6" s="302"/>
      <c r="H6" s="302"/>
      <c r="I6" s="303" t="str">
        <f>'計算シート（第１～第３年度）'!Q4</f>
        <v/>
      </c>
      <c r="J6" s="163"/>
      <c r="K6" s="304" t="str">
        <f>IF(AND(I6="",J6=""),"",SUM(I6)-SUM(J6))</f>
        <v/>
      </c>
      <c r="L6" s="305" t="s">
        <v>39</v>
      </c>
      <c r="M6" s="577" t="str">
        <f t="shared" ref="M6:M12" si="5">IFERROR(IF(K6="","",$K6*R6),"-------------")</f>
        <v/>
      </c>
      <c r="N6" s="306" t="str">
        <f t="shared" ref="N6:N17" si="6">IFERROR(IF(K6="","",$M6*S6*44/12),"----------")</f>
        <v/>
      </c>
      <c r="O6" s="278"/>
      <c r="P6" s="307" t="s">
        <v>4258</v>
      </c>
      <c r="Q6" s="307" t="s">
        <v>4258</v>
      </c>
      <c r="R6" s="307">
        <f t="shared" ref="R6:R12" si="7">IF($T$1=2022,VLOOKUP(P6,係数2022,7,0),VLOOKUP(Q6,係数2023,7,0))</f>
        <v>33.4</v>
      </c>
      <c r="S6" s="308">
        <f t="shared" ref="S6:S12" si="8">IF($T$1=2022,VLOOKUP(P6,係数2022,9,0),VLOOKUP(Q6,係数2023,9,0))</f>
        <v>1.8700000000000001E-2</v>
      </c>
      <c r="T6" s="292"/>
      <c r="U6" s="309" t="s">
        <v>118</v>
      </c>
      <c r="V6" s="310">
        <f>ROUNDDOWN(SUM(N22,N30,N42),1)</f>
        <v>0</v>
      </c>
      <c r="W6" s="490" t="s">
        <v>5085</v>
      </c>
      <c r="AG6" s="277">
        <v>3</v>
      </c>
      <c r="AH6" s="277" t="s">
        <v>47</v>
      </c>
      <c r="AI6" s="277" t="s">
        <v>5086</v>
      </c>
      <c r="AJ6" s="277">
        <f t="shared" si="0"/>
        <v>0</v>
      </c>
      <c r="AK6" s="277">
        <f t="shared" si="1"/>
        <v>0</v>
      </c>
      <c r="AM6" s="277">
        <v>3</v>
      </c>
      <c r="AN6" s="277" t="s">
        <v>47</v>
      </c>
      <c r="AO6" s="277" t="s">
        <v>5086</v>
      </c>
      <c r="AP6" s="277">
        <f t="shared" si="2"/>
        <v>0</v>
      </c>
      <c r="AQ6" s="277">
        <f t="shared" si="3"/>
        <v>0</v>
      </c>
      <c r="AR6" s="277">
        <f t="shared" si="4"/>
        <v>1</v>
      </c>
      <c r="AT6" s="277" t="s">
        <v>47</v>
      </c>
    </row>
    <row r="7" spans="3:54" ht="19.350000000000001" customHeight="1">
      <c r="C7" s="313"/>
      <c r="D7" s="314" t="s">
        <v>46</v>
      </c>
      <c r="E7" s="302"/>
      <c r="F7" s="302"/>
      <c r="G7" s="302"/>
      <c r="H7" s="302"/>
      <c r="I7" s="303" t="str">
        <f>'計算シート（第１～第３年度）'!Q5</f>
        <v/>
      </c>
      <c r="J7" s="163"/>
      <c r="K7" s="304" t="str">
        <f t="shared" ref="K7:K12" si="9">IF(AND(I7="",J7=""),"",SUM(I7)-SUM(J7))</f>
        <v/>
      </c>
      <c r="L7" s="305" t="s">
        <v>39</v>
      </c>
      <c r="M7" s="577" t="str">
        <f t="shared" si="5"/>
        <v/>
      </c>
      <c r="N7" s="306" t="str">
        <f t="shared" si="6"/>
        <v/>
      </c>
      <c r="O7" s="278"/>
      <c r="P7" s="307" t="s">
        <v>46</v>
      </c>
      <c r="Q7" s="307" t="s">
        <v>46</v>
      </c>
      <c r="R7" s="307">
        <f t="shared" si="7"/>
        <v>36.5</v>
      </c>
      <c r="S7" s="315">
        <f t="shared" si="8"/>
        <v>1.8700000000000001E-2</v>
      </c>
      <c r="T7" s="292"/>
      <c r="AG7" s="277">
        <v>4</v>
      </c>
      <c r="AH7" s="292" t="s">
        <v>48</v>
      </c>
      <c r="AI7" s="277" t="s">
        <v>4181</v>
      </c>
      <c r="AJ7" s="277">
        <f t="shared" si="0"/>
        <v>0</v>
      </c>
      <c r="AK7" s="277">
        <f t="shared" si="1"/>
        <v>0</v>
      </c>
      <c r="AM7" s="277">
        <v>4</v>
      </c>
      <c r="AN7" s="292" t="s">
        <v>48</v>
      </c>
      <c r="AO7" s="277" t="s">
        <v>4181</v>
      </c>
      <c r="AP7" s="277">
        <f t="shared" si="2"/>
        <v>0</v>
      </c>
      <c r="AQ7" s="277">
        <f t="shared" si="3"/>
        <v>0</v>
      </c>
      <c r="AR7" s="277">
        <f t="shared" si="4"/>
        <v>1</v>
      </c>
      <c r="AT7" s="277" t="s">
        <v>48</v>
      </c>
    </row>
    <row r="8" spans="3:54" ht="19.350000000000001" customHeight="1">
      <c r="C8" s="313"/>
      <c r="D8" s="314" t="s">
        <v>47</v>
      </c>
      <c r="E8" s="302"/>
      <c r="F8" s="302"/>
      <c r="G8" s="302"/>
      <c r="H8" s="302"/>
      <c r="I8" s="303" t="str">
        <f>'計算シート（第１～第３年度）'!Q6</f>
        <v/>
      </c>
      <c r="J8" s="163"/>
      <c r="K8" s="304" t="str">
        <f t="shared" si="9"/>
        <v/>
      </c>
      <c r="L8" s="305" t="s">
        <v>39</v>
      </c>
      <c r="M8" s="577" t="str">
        <f t="shared" si="5"/>
        <v/>
      </c>
      <c r="N8" s="306" t="str">
        <f t="shared" si="6"/>
        <v/>
      </c>
      <c r="O8" s="278"/>
      <c r="P8" s="307" t="s">
        <v>47</v>
      </c>
      <c r="Q8" s="307" t="s">
        <v>47</v>
      </c>
      <c r="R8" s="307">
        <f>IF($T$1=2022,VLOOKUP(P8,係数2022,7,0),VLOOKUP(Q8,係数2023,7,0))</f>
        <v>38</v>
      </c>
      <c r="S8" s="315">
        <f t="shared" si="8"/>
        <v>1.8800000000000001E-2</v>
      </c>
      <c r="T8" s="292"/>
      <c r="U8" s="668" t="s">
        <v>5144</v>
      </c>
      <c r="V8" s="670" t="s">
        <v>5145</v>
      </c>
      <c r="W8" s="671"/>
      <c r="X8" s="316"/>
      <c r="Y8" s="317"/>
      <c r="Z8" s="318"/>
      <c r="AG8" s="277">
        <v>5</v>
      </c>
      <c r="AH8" s="292" t="s">
        <v>49</v>
      </c>
      <c r="AI8" s="277" t="s">
        <v>4181</v>
      </c>
      <c r="AJ8" s="277">
        <f t="shared" si="0"/>
        <v>0</v>
      </c>
      <c r="AK8" s="277">
        <f t="shared" si="1"/>
        <v>0</v>
      </c>
      <c r="AM8" s="277">
        <v>5</v>
      </c>
      <c r="AN8" s="292" t="s">
        <v>49</v>
      </c>
      <c r="AO8" s="277" t="s">
        <v>4181</v>
      </c>
      <c r="AP8" s="277">
        <f t="shared" si="2"/>
        <v>0</v>
      </c>
      <c r="AQ8" s="277">
        <f t="shared" si="3"/>
        <v>0</v>
      </c>
      <c r="AR8" s="277">
        <f t="shared" si="4"/>
        <v>1</v>
      </c>
      <c r="AT8" s="277" t="s">
        <v>49</v>
      </c>
    </row>
    <row r="9" spans="3:54" ht="19.350000000000001" customHeight="1">
      <c r="C9" s="313"/>
      <c r="D9" s="314" t="s">
        <v>48</v>
      </c>
      <c r="E9" s="302"/>
      <c r="F9" s="302"/>
      <c r="G9" s="302"/>
      <c r="H9" s="302"/>
      <c r="I9" s="303" t="str">
        <f>'計算シート（第１～第３年度）'!Q7</f>
        <v/>
      </c>
      <c r="J9" s="163"/>
      <c r="K9" s="304" t="str">
        <f t="shared" si="9"/>
        <v/>
      </c>
      <c r="L9" s="305" t="s">
        <v>39</v>
      </c>
      <c r="M9" s="577" t="str">
        <f t="shared" si="5"/>
        <v/>
      </c>
      <c r="N9" s="306" t="str">
        <f t="shared" si="6"/>
        <v/>
      </c>
      <c r="O9" s="319"/>
      <c r="P9" s="307" t="s">
        <v>48</v>
      </c>
      <c r="Q9" s="307" t="s">
        <v>48</v>
      </c>
      <c r="R9" s="307">
        <f t="shared" si="7"/>
        <v>38.9</v>
      </c>
      <c r="S9" s="315">
        <f t="shared" si="8"/>
        <v>1.9300000000000001E-2</v>
      </c>
      <c r="T9" s="292"/>
      <c r="U9" s="669"/>
      <c r="V9" s="672"/>
      <c r="W9" s="673"/>
      <c r="X9" s="674" t="s">
        <v>5146</v>
      </c>
      <c r="Y9" s="675"/>
      <c r="Z9" s="320" t="s">
        <v>5147</v>
      </c>
      <c r="AG9" s="277">
        <v>6</v>
      </c>
      <c r="AH9" s="277" t="s">
        <v>4179</v>
      </c>
      <c r="AI9" s="277" t="s">
        <v>4182</v>
      </c>
      <c r="AJ9" s="277">
        <f t="shared" si="0"/>
        <v>0</v>
      </c>
      <c r="AK9" s="277">
        <f t="shared" si="1"/>
        <v>0</v>
      </c>
      <c r="AM9" s="277">
        <v>6</v>
      </c>
      <c r="AN9" s="277" t="s">
        <v>4179</v>
      </c>
      <c r="AO9" s="277" t="s">
        <v>4182</v>
      </c>
      <c r="AP9" s="277">
        <f t="shared" si="2"/>
        <v>0</v>
      </c>
      <c r="AQ9" s="277">
        <f t="shared" si="3"/>
        <v>0</v>
      </c>
      <c r="AR9" s="277">
        <f t="shared" si="4"/>
        <v>1</v>
      </c>
      <c r="AT9" s="277" t="s">
        <v>4179</v>
      </c>
    </row>
    <row r="10" spans="3:54" ht="19.350000000000001" customHeight="1">
      <c r="C10" s="313" t="s">
        <v>5088</v>
      </c>
      <c r="D10" s="314" t="s">
        <v>49</v>
      </c>
      <c r="E10" s="302"/>
      <c r="F10" s="302"/>
      <c r="G10" s="302"/>
      <c r="H10" s="302"/>
      <c r="I10" s="303" t="str">
        <f>'計算シート（第１～第３年度）'!Q8</f>
        <v/>
      </c>
      <c r="J10" s="163"/>
      <c r="K10" s="304" t="str">
        <f t="shared" si="9"/>
        <v/>
      </c>
      <c r="L10" s="305" t="s">
        <v>39</v>
      </c>
      <c r="M10" s="577" t="str">
        <f t="shared" si="5"/>
        <v/>
      </c>
      <c r="N10" s="306" t="str">
        <f t="shared" si="6"/>
        <v/>
      </c>
      <c r="O10" s="319"/>
      <c r="P10" s="307" t="s">
        <v>49</v>
      </c>
      <c r="Q10" s="307" t="s">
        <v>49</v>
      </c>
      <c r="R10" s="307">
        <f t="shared" si="7"/>
        <v>41.8</v>
      </c>
      <c r="S10" s="315">
        <f t="shared" si="8"/>
        <v>2.0199999999999999E-2</v>
      </c>
      <c r="T10" s="292"/>
      <c r="U10" s="321" t="s">
        <v>5154</v>
      </c>
      <c r="V10" s="322">
        <f>M22</f>
        <v>0</v>
      </c>
      <c r="W10" s="323" t="s">
        <v>116</v>
      </c>
      <c r="X10" s="676"/>
      <c r="Y10" s="677"/>
      <c r="Z10" s="324"/>
      <c r="AG10" s="277">
        <v>7</v>
      </c>
      <c r="AH10" s="277" t="s">
        <v>4272</v>
      </c>
      <c r="AI10" s="277" t="s">
        <v>5086</v>
      </c>
      <c r="AJ10" s="277">
        <f t="shared" si="0"/>
        <v>0</v>
      </c>
      <c r="AK10" s="277">
        <f t="shared" si="1"/>
        <v>0</v>
      </c>
      <c r="AM10" s="277">
        <v>7</v>
      </c>
      <c r="AN10" s="277" t="s">
        <v>4272</v>
      </c>
      <c r="AO10" s="277" t="s">
        <v>5086</v>
      </c>
      <c r="AP10" s="277">
        <f t="shared" si="2"/>
        <v>0</v>
      </c>
      <c r="AQ10" s="277">
        <f t="shared" si="3"/>
        <v>0</v>
      </c>
      <c r="AR10" s="277">
        <f t="shared" si="4"/>
        <v>1</v>
      </c>
      <c r="AT10" s="277" t="s">
        <v>4272</v>
      </c>
    </row>
    <row r="11" spans="3:54" ht="19.350000000000001" customHeight="1" thickBot="1">
      <c r="C11" s="313" t="s">
        <v>5089</v>
      </c>
      <c r="D11" s="314" t="s">
        <v>4179</v>
      </c>
      <c r="E11" s="302"/>
      <c r="F11" s="302"/>
      <c r="G11" s="302"/>
      <c r="H11" s="302"/>
      <c r="I11" s="303" t="str">
        <f>'計算シート（第１～第３年度）'!Q9</f>
        <v/>
      </c>
      <c r="J11" s="163"/>
      <c r="K11" s="304" t="str">
        <f t="shared" si="9"/>
        <v/>
      </c>
      <c r="L11" s="305" t="s">
        <v>51</v>
      </c>
      <c r="M11" s="577" t="str">
        <f t="shared" si="5"/>
        <v/>
      </c>
      <c r="N11" s="306" t="str">
        <f t="shared" si="6"/>
        <v/>
      </c>
      <c r="O11" s="319"/>
      <c r="P11" s="307" t="s">
        <v>4179</v>
      </c>
      <c r="Q11" s="307" t="s">
        <v>4179</v>
      </c>
      <c r="R11" s="307">
        <f t="shared" si="7"/>
        <v>50.1</v>
      </c>
      <c r="S11" s="315">
        <f t="shared" si="8"/>
        <v>1.6299999999999999E-2</v>
      </c>
      <c r="T11" s="292"/>
      <c r="U11" s="321" t="s">
        <v>5153</v>
      </c>
      <c r="V11" s="322">
        <f>IF(T1=2022,"-------------------",SUM(M30))</f>
        <v>0</v>
      </c>
      <c r="W11" s="323" t="s">
        <v>116</v>
      </c>
      <c r="X11" s="322">
        <f>V11</f>
        <v>0</v>
      </c>
      <c r="Y11" s="323" t="s">
        <v>116</v>
      </c>
      <c r="Z11" s="325" t="str">
        <f>IF(T1=2022,"---------------",IF(V11&lt;&gt;0,X11/V11,"---------------"))</f>
        <v>---------------</v>
      </c>
      <c r="AG11" s="277">
        <v>8</v>
      </c>
      <c r="AH11" s="292" t="s">
        <v>107</v>
      </c>
      <c r="AI11" s="277" t="s">
        <v>4181</v>
      </c>
      <c r="AJ11" s="277">
        <f t="shared" si="0"/>
        <v>0</v>
      </c>
      <c r="AK11" s="277">
        <f t="shared" si="1"/>
        <v>0</v>
      </c>
      <c r="AM11" s="277">
        <v>8</v>
      </c>
      <c r="AN11" s="292" t="s">
        <v>107</v>
      </c>
      <c r="AO11" s="277" t="s">
        <v>4181</v>
      </c>
      <c r="AP11" s="277">
        <f t="shared" si="2"/>
        <v>0</v>
      </c>
      <c r="AQ11" s="277">
        <f t="shared" si="3"/>
        <v>0</v>
      </c>
      <c r="AR11" s="277">
        <f t="shared" si="4"/>
        <v>0</v>
      </c>
    </row>
    <row r="12" spans="3:54" ht="19.350000000000001" customHeight="1" thickTop="1">
      <c r="C12" s="313" t="s">
        <v>5090</v>
      </c>
      <c r="D12" s="314" t="s">
        <v>63</v>
      </c>
      <c r="E12" s="302"/>
      <c r="F12" s="302"/>
      <c r="G12" s="302"/>
      <c r="H12" s="302"/>
      <c r="I12" s="303" t="str">
        <f>'計算シート（第１～第３年度）'!Q10</f>
        <v/>
      </c>
      <c r="J12" s="163"/>
      <c r="K12" s="304" t="str">
        <f t="shared" si="9"/>
        <v/>
      </c>
      <c r="L12" s="326" t="s">
        <v>4988</v>
      </c>
      <c r="M12" s="577" t="str">
        <f t="shared" si="5"/>
        <v/>
      </c>
      <c r="N12" s="306" t="str">
        <f t="shared" si="6"/>
        <v/>
      </c>
      <c r="O12" s="319"/>
      <c r="P12" s="327" t="s">
        <v>4272</v>
      </c>
      <c r="Q12" s="327" t="s">
        <v>4272</v>
      </c>
      <c r="R12" s="307">
        <f t="shared" si="7"/>
        <v>45</v>
      </c>
      <c r="S12" s="315">
        <f t="shared" si="8"/>
        <v>1.4E-2</v>
      </c>
      <c r="T12" s="292"/>
      <c r="U12" s="321" t="s">
        <v>5148</v>
      </c>
      <c r="V12" s="328">
        <f>SUM(V10:V11)</f>
        <v>0</v>
      </c>
      <c r="W12" s="329" t="s">
        <v>116</v>
      </c>
      <c r="X12" s="328">
        <f>IF($T$1=2022,"-------------------",SUM(X11,X10))</f>
        <v>0</v>
      </c>
      <c r="Y12" s="329" t="s">
        <v>116</v>
      </c>
      <c r="Z12" s="330">
        <f>IF($T$1=2022,"---------------",IF(X12=0,0,X12/V12))</f>
        <v>0</v>
      </c>
      <c r="AG12" s="277">
        <v>9</v>
      </c>
      <c r="AH12" s="292" t="s">
        <v>108</v>
      </c>
      <c r="AI12" s="277" t="s">
        <v>4181</v>
      </c>
      <c r="AJ12" s="277">
        <f t="shared" si="0"/>
        <v>0</v>
      </c>
      <c r="AK12" s="277">
        <f t="shared" si="1"/>
        <v>0</v>
      </c>
      <c r="AM12" s="277">
        <v>9</v>
      </c>
      <c r="AN12" s="292" t="s">
        <v>108</v>
      </c>
      <c r="AO12" s="277" t="s">
        <v>4181</v>
      </c>
      <c r="AP12" s="277">
        <f t="shared" si="2"/>
        <v>0</v>
      </c>
      <c r="AQ12" s="277">
        <f t="shared" si="3"/>
        <v>0</v>
      </c>
      <c r="AR12" s="277">
        <f t="shared" si="4"/>
        <v>0</v>
      </c>
    </row>
    <row r="13" spans="3:54" ht="19.350000000000001" customHeight="1">
      <c r="C13" s="313" t="s">
        <v>5091</v>
      </c>
      <c r="D13" s="331"/>
      <c r="E13" s="696"/>
      <c r="F13" s="697"/>
      <c r="G13" s="697"/>
      <c r="H13" s="698"/>
      <c r="I13" s="164"/>
      <c r="J13" s="163"/>
      <c r="K13" s="304" t="str">
        <f>IF(AND(I13="",J13=""),"",SUM(I13)-SUM(J13))</f>
        <v/>
      </c>
      <c r="L13" s="305" t="str">
        <f>IF(E13="","",IF($T$1=2022,VLOOKUP(E13,係数2022,6,0),VLOOKUP(E13,係数2023,6,0)))</f>
        <v/>
      </c>
      <c r="M13" s="577" t="str">
        <f>IFERROR(IF(K13="","",$K13*R13),"----------")</f>
        <v/>
      </c>
      <c r="N13" s="306" t="str">
        <f t="shared" si="6"/>
        <v/>
      </c>
      <c r="O13" s="319"/>
      <c r="P13" s="332"/>
      <c r="Q13" s="332"/>
      <c r="R13" s="332" t="e">
        <f t="shared" ref="R13:R17" si="10">IF($T$1=2022,VLOOKUP(E13,係数2022,7,0),VLOOKUP(E13,係数2023,7,0))</f>
        <v>#N/A</v>
      </c>
      <c r="S13" s="333" t="e">
        <f t="shared" ref="S13:S17" si="11">IF($T$1=2022,VLOOKUP(E13,係数2022,9,0),VLOOKUP(E13,係数2023,9,0))</f>
        <v>#N/A</v>
      </c>
      <c r="V13" s="312"/>
      <c r="W13" s="312"/>
      <c r="X13" s="312"/>
      <c r="Y13" s="312"/>
      <c r="Z13" s="312"/>
      <c r="AG13" s="277">
        <v>10</v>
      </c>
      <c r="AH13" s="292" t="s">
        <v>45</v>
      </c>
      <c r="AI13" s="277" t="s">
        <v>4181</v>
      </c>
      <c r="AJ13" s="277">
        <f t="shared" si="0"/>
        <v>0</v>
      </c>
      <c r="AK13" s="277">
        <f t="shared" si="1"/>
        <v>0</v>
      </c>
      <c r="AM13" s="277">
        <v>10</v>
      </c>
      <c r="AN13" s="292" t="s">
        <v>45</v>
      </c>
      <c r="AO13" s="277" t="s">
        <v>4181</v>
      </c>
      <c r="AP13" s="277">
        <f t="shared" si="2"/>
        <v>0</v>
      </c>
      <c r="AQ13" s="277">
        <f t="shared" si="3"/>
        <v>0</v>
      </c>
      <c r="AR13" s="277">
        <f t="shared" si="4"/>
        <v>0</v>
      </c>
    </row>
    <row r="14" spans="3:54" ht="19.350000000000001" customHeight="1">
      <c r="C14" s="313" t="s">
        <v>5133</v>
      </c>
      <c r="D14" s="334"/>
      <c r="E14" s="696"/>
      <c r="F14" s="697"/>
      <c r="G14" s="697"/>
      <c r="H14" s="698"/>
      <c r="I14" s="164"/>
      <c r="J14" s="163"/>
      <c r="K14" s="304" t="str">
        <f t="shared" ref="K14:K20" si="12">IF(AND(I14="",J14=""),"",SUM(I14)-SUM(J14))</f>
        <v/>
      </c>
      <c r="L14" s="305" t="str">
        <f>IF(E14="","",IF($T$1=2022,VLOOKUP(E14,係数2022,6,0),VLOOKUP(E14,係数2023,6,0)))</f>
        <v/>
      </c>
      <c r="M14" s="577" t="str">
        <f>IFERROR(IF(K14="","",$K14*R14),"----------")</f>
        <v/>
      </c>
      <c r="N14" s="306" t="str">
        <f t="shared" si="6"/>
        <v/>
      </c>
      <c r="O14" s="319"/>
      <c r="P14" s="332"/>
      <c r="Q14" s="332"/>
      <c r="R14" s="332" t="e">
        <f t="shared" si="10"/>
        <v>#N/A</v>
      </c>
      <c r="S14" s="333" t="e">
        <f t="shared" si="11"/>
        <v>#N/A</v>
      </c>
      <c r="T14" s="292"/>
      <c r="U14" s="668" t="s">
        <v>5144</v>
      </c>
      <c r="V14" s="670" t="s">
        <v>5149</v>
      </c>
      <c r="W14" s="671"/>
      <c r="X14" s="316"/>
      <c r="Y14" s="317"/>
      <c r="Z14" s="318"/>
      <c r="AG14" s="277">
        <v>11</v>
      </c>
      <c r="AH14" s="277" t="s">
        <v>4968</v>
      </c>
      <c r="AI14" s="277" t="s">
        <v>4181</v>
      </c>
      <c r="AJ14" s="277">
        <f t="shared" si="0"/>
        <v>0</v>
      </c>
      <c r="AK14" s="277">
        <f t="shared" si="1"/>
        <v>0</v>
      </c>
      <c r="AM14" s="277">
        <v>11</v>
      </c>
      <c r="AN14" s="277" t="s">
        <v>4968</v>
      </c>
      <c r="AO14" s="277" t="s">
        <v>4181</v>
      </c>
      <c r="AP14" s="277">
        <f t="shared" si="2"/>
        <v>0</v>
      </c>
      <c r="AQ14" s="277">
        <f t="shared" si="3"/>
        <v>0</v>
      </c>
      <c r="AR14" s="277">
        <f t="shared" si="4"/>
        <v>0</v>
      </c>
    </row>
    <row r="15" spans="3:54" ht="19.350000000000001" customHeight="1">
      <c r="C15" s="313" t="s">
        <v>5018</v>
      </c>
      <c r="D15" s="334"/>
      <c r="E15" s="696"/>
      <c r="F15" s="697"/>
      <c r="G15" s="697"/>
      <c r="H15" s="698"/>
      <c r="I15" s="164"/>
      <c r="J15" s="163"/>
      <c r="K15" s="304" t="str">
        <f t="shared" si="12"/>
        <v/>
      </c>
      <c r="L15" s="305" t="str">
        <f>IF(E15="","",IF($T$1=2022,VLOOKUP(E15,係数2022,6,0),VLOOKUP(E15,係数2023,6,0)))</f>
        <v/>
      </c>
      <c r="M15" s="577" t="str">
        <f>IFERROR(IF(K15="","",$K15*R15),"----------")</f>
        <v/>
      </c>
      <c r="N15" s="306" t="str">
        <f t="shared" si="6"/>
        <v/>
      </c>
      <c r="O15" s="319"/>
      <c r="P15" s="332"/>
      <c r="Q15" s="332"/>
      <c r="R15" s="332" t="e">
        <f t="shared" si="10"/>
        <v>#N/A</v>
      </c>
      <c r="S15" s="333" t="e">
        <f t="shared" si="11"/>
        <v>#N/A</v>
      </c>
      <c r="T15" s="292"/>
      <c r="U15" s="669"/>
      <c r="V15" s="672"/>
      <c r="W15" s="673"/>
      <c r="X15" s="674" t="s">
        <v>5150</v>
      </c>
      <c r="Y15" s="675"/>
      <c r="Z15" s="320" t="s">
        <v>5147</v>
      </c>
      <c r="AG15" s="277">
        <v>12</v>
      </c>
      <c r="AH15" s="292" t="s">
        <v>50</v>
      </c>
      <c r="AI15" s="277" t="s">
        <v>4181</v>
      </c>
      <c r="AJ15" s="277">
        <f t="shared" si="0"/>
        <v>0</v>
      </c>
      <c r="AK15" s="277">
        <f t="shared" si="1"/>
        <v>0</v>
      </c>
      <c r="AM15" s="277">
        <v>12</v>
      </c>
      <c r="AN15" s="292" t="s">
        <v>50</v>
      </c>
      <c r="AO15" s="277" t="s">
        <v>4181</v>
      </c>
      <c r="AP15" s="277">
        <f t="shared" si="2"/>
        <v>0</v>
      </c>
      <c r="AQ15" s="277">
        <f t="shared" si="3"/>
        <v>0</v>
      </c>
      <c r="AR15" s="277">
        <f t="shared" si="4"/>
        <v>0</v>
      </c>
    </row>
    <row r="16" spans="3:54" ht="19.350000000000001" customHeight="1">
      <c r="C16" s="300"/>
      <c r="D16" s="334" t="s">
        <v>5092</v>
      </c>
      <c r="E16" s="696"/>
      <c r="F16" s="697"/>
      <c r="G16" s="697"/>
      <c r="H16" s="698"/>
      <c r="I16" s="164"/>
      <c r="J16" s="163"/>
      <c r="K16" s="304" t="str">
        <f t="shared" si="12"/>
        <v/>
      </c>
      <c r="L16" s="305" t="str">
        <f>IF(E16="","",IF($T$1=2022,VLOOKUP(E16,係数2022,6,0),VLOOKUP(E16,係数2023,6,0)))</f>
        <v/>
      </c>
      <c r="M16" s="577" t="str">
        <f t="shared" ref="M16:M18" si="13">IFERROR(IF(K16="","",$K16*R16),"----------")</f>
        <v/>
      </c>
      <c r="N16" s="306" t="str">
        <f t="shared" si="6"/>
        <v/>
      </c>
      <c r="O16" s="319"/>
      <c r="P16" s="332"/>
      <c r="Q16" s="332"/>
      <c r="R16" s="332" t="e">
        <f t="shared" si="10"/>
        <v>#N/A</v>
      </c>
      <c r="S16" s="333" t="e">
        <f t="shared" si="11"/>
        <v>#N/A</v>
      </c>
      <c r="T16" s="292"/>
      <c r="U16" s="321" t="s">
        <v>5035</v>
      </c>
      <c r="V16" s="335">
        <f>K42</f>
        <v>0</v>
      </c>
      <c r="W16" s="317" t="s">
        <v>5161</v>
      </c>
      <c r="X16" s="336">
        <f>K41</f>
        <v>0</v>
      </c>
      <c r="Y16" s="323" t="s">
        <v>5152</v>
      </c>
      <c r="Z16" s="325">
        <f>IF($T$1=2022,"----------",IF(V16=0,0,X16/V16))</f>
        <v>0</v>
      </c>
      <c r="AG16" s="277">
        <v>13</v>
      </c>
      <c r="AH16" s="292" t="s">
        <v>53</v>
      </c>
      <c r="AI16" s="277" t="s">
        <v>4181</v>
      </c>
      <c r="AJ16" s="277">
        <f t="shared" si="0"/>
        <v>0</v>
      </c>
      <c r="AK16" s="277">
        <f t="shared" si="1"/>
        <v>0</v>
      </c>
      <c r="AM16" s="277">
        <v>13</v>
      </c>
      <c r="AN16" s="292" t="s">
        <v>53</v>
      </c>
      <c r="AO16" s="277" t="s">
        <v>4181</v>
      </c>
      <c r="AP16" s="277">
        <f t="shared" si="2"/>
        <v>0</v>
      </c>
      <c r="AQ16" s="277">
        <f t="shared" si="3"/>
        <v>0</v>
      </c>
      <c r="AR16" s="277">
        <f t="shared" si="4"/>
        <v>0</v>
      </c>
    </row>
    <row r="17" spans="3:44" ht="19.350000000000001" customHeight="1">
      <c r="C17" s="300"/>
      <c r="D17" s="334" t="s">
        <v>5093</v>
      </c>
      <c r="E17" s="696"/>
      <c r="F17" s="697"/>
      <c r="G17" s="697"/>
      <c r="H17" s="698"/>
      <c r="I17" s="164"/>
      <c r="J17" s="163"/>
      <c r="K17" s="304" t="str">
        <f t="shared" si="12"/>
        <v/>
      </c>
      <c r="L17" s="305" t="str">
        <f>IF(E17="","",IF($T$1=2022,VLOOKUP(E17,係数2022,6,0),VLOOKUP(E17,係数2023,6,0)))</f>
        <v/>
      </c>
      <c r="M17" s="577" t="str">
        <f t="shared" si="13"/>
        <v/>
      </c>
      <c r="N17" s="306" t="str">
        <f t="shared" si="6"/>
        <v/>
      </c>
      <c r="O17" s="319"/>
      <c r="P17" s="332"/>
      <c r="Q17" s="332"/>
      <c r="R17" s="332" t="e">
        <f t="shared" si="10"/>
        <v>#N/A</v>
      </c>
      <c r="S17" s="333" t="e">
        <f t="shared" si="11"/>
        <v>#N/A</v>
      </c>
      <c r="T17" s="292"/>
      <c r="V17" s="312"/>
      <c r="W17" s="312"/>
      <c r="X17" s="312"/>
      <c r="Y17" s="312"/>
      <c r="Z17" s="312"/>
      <c r="AG17" s="277">
        <v>14</v>
      </c>
      <c r="AH17" s="277" t="s">
        <v>4267</v>
      </c>
      <c r="AI17" s="277" t="s">
        <v>4182</v>
      </c>
      <c r="AJ17" s="277">
        <f t="shared" si="0"/>
        <v>0</v>
      </c>
      <c r="AK17" s="277">
        <f t="shared" si="1"/>
        <v>0</v>
      </c>
      <c r="AM17" s="277">
        <v>14</v>
      </c>
      <c r="AN17" s="277" t="s">
        <v>4267</v>
      </c>
      <c r="AO17" s="277" t="s">
        <v>4182</v>
      </c>
      <c r="AP17" s="277">
        <f t="shared" si="2"/>
        <v>0</v>
      </c>
      <c r="AQ17" s="277">
        <f t="shared" si="3"/>
        <v>0</v>
      </c>
      <c r="AR17" s="277">
        <f t="shared" si="4"/>
        <v>0</v>
      </c>
    </row>
    <row r="18" spans="3:44" ht="19.350000000000001" customHeight="1" thickBot="1">
      <c r="C18" s="300"/>
      <c r="D18" s="334" t="s">
        <v>5094</v>
      </c>
      <c r="E18" s="699" t="s">
        <v>119</v>
      </c>
      <c r="F18" s="700"/>
      <c r="G18" s="700"/>
      <c r="H18" s="701"/>
      <c r="I18" s="164"/>
      <c r="J18" s="163"/>
      <c r="K18" s="304" t="str">
        <f t="shared" si="12"/>
        <v/>
      </c>
      <c r="L18" s="305" t="s">
        <v>116</v>
      </c>
      <c r="M18" s="577" t="str">
        <f t="shared" si="13"/>
        <v/>
      </c>
      <c r="N18" s="338" t="str">
        <f>IF(K18="","",
      IF($T$1=2022,K18*S18,
                  IF(OR(W30="",K18=""),"",K18*W30)))</f>
        <v/>
      </c>
      <c r="O18" s="319"/>
      <c r="P18" s="332" t="s">
        <v>5141</v>
      </c>
      <c r="Q18" s="332" t="s">
        <v>5020</v>
      </c>
      <c r="R18" s="332">
        <f>IF($T$1=2022,VLOOKUP(P18,係数2022,7,0),VLOOKUP(Q18,係数2023,7,0))</f>
        <v>1.19</v>
      </c>
      <c r="S18" s="333" t="str">
        <f t="shared" ref="S18:S20" si="14">IF($T$1=2022,VLOOKUP(P18,係数2022,9,0),VLOOKUP(Q18,係数2023,9,0))</f>
        <v>ー</v>
      </c>
      <c r="T18" s="292"/>
      <c r="U18" s="339" t="s">
        <v>5087</v>
      </c>
      <c r="V18" s="312"/>
      <c r="W18" s="312"/>
      <c r="X18" s="312"/>
      <c r="Y18" s="312"/>
      <c r="Z18" s="312"/>
      <c r="AG18" s="277">
        <v>15</v>
      </c>
      <c r="AH18" s="292" t="s">
        <v>4180</v>
      </c>
      <c r="AI18" s="277" t="s">
        <v>5086</v>
      </c>
      <c r="AJ18" s="277">
        <f t="shared" si="0"/>
        <v>0</v>
      </c>
      <c r="AK18" s="277">
        <f t="shared" si="1"/>
        <v>0</v>
      </c>
      <c r="AM18" s="277">
        <v>15</v>
      </c>
      <c r="AN18" s="292" t="s">
        <v>4180</v>
      </c>
      <c r="AO18" s="277" t="s">
        <v>5086</v>
      </c>
      <c r="AP18" s="277">
        <f t="shared" si="2"/>
        <v>0</v>
      </c>
      <c r="AQ18" s="277">
        <f t="shared" si="3"/>
        <v>0</v>
      </c>
      <c r="AR18" s="277">
        <f t="shared" si="4"/>
        <v>0</v>
      </c>
    </row>
    <row r="19" spans="3:44" ht="19.350000000000001" customHeight="1" thickBot="1">
      <c r="C19" s="300"/>
      <c r="D19" s="334"/>
      <c r="E19" s="699" t="s">
        <v>65</v>
      </c>
      <c r="F19" s="700"/>
      <c r="G19" s="700"/>
      <c r="H19" s="701"/>
      <c r="I19" s="164"/>
      <c r="J19" s="163"/>
      <c r="K19" s="304" t="str">
        <f t="shared" si="12"/>
        <v/>
      </c>
      <c r="L19" s="305" t="s">
        <v>116</v>
      </c>
      <c r="M19" s="577" t="str">
        <f>IFERROR(IF(K19="","",$K19*R19),"----------")</f>
        <v/>
      </c>
      <c r="N19" s="338" t="str">
        <f>IF(K19="","",
      IF($T$1=2022,K19*S19,
                  IF(OR(W31="",K19=""),"",K19*W31)))</f>
        <v/>
      </c>
      <c r="O19" s="319"/>
      <c r="P19" s="332" t="s">
        <v>65</v>
      </c>
      <c r="Q19" s="332" t="s">
        <v>5021</v>
      </c>
      <c r="R19" s="332">
        <f t="shared" ref="R19:R20" si="15">IF($T$1=2022,VLOOKUP(P19,係数2022,7,0),VLOOKUP(Q19,係数2023,7,0))</f>
        <v>1.19</v>
      </c>
      <c r="S19" s="333" t="str">
        <f t="shared" si="14"/>
        <v>ー</v>
      </c>
      <c r="T19" s="292"/>
      <c r="U19" s="340" t="s">
        <v>118</v>
      </c>
      <c r="V19" s="341">
        <f>SUM(G54)</f>
        <v>0</v>
      </c>
      <c r="W19" s="342" t="s">
        <v>5160</v>
      </c>
      <c r="X19" s="312"/>
      <c r="Y19" s="312"/>
      <c r="Z19" s="312"/>
      <c r="AG19" s="277">
        <v>16</v>
      </c>
      <c r="AH19" s="292" t="s">
        <v>54</v>
      </c>
      <c r="AI19" s="277" t="s">
        <v>4182</v>
      </c>
      <c r="AJ19" s="277">
        <f t="shared" si="0"/>
        <v>0</v>
      </c>
      <c r="AK19" s="277">
        <f t="shared" si="1"/>
        <v>0</v>
      </c>
      <c r="AM19" s="277">
        <v>16</v>
      </c>
      <c r="AN19" s="292" t="s">
        <v>54</v>
      </c>
      <c r="AO19" s="277" t="s">
        <v>4182</v>
      </c>
      <c r="AP19" s="277">
        <f t="shared" si="2"/>
        <v>0</v>
      </c>
      <c r="AQ19" s="277">
        <f t="shared" si="3"/>
        <v>0</v>
      </c>
      <c r="AR19" s="277">
        <f t="shared" si="4"/>
        <v>0</v>
      </c>
    </row>
    <row r="20" spans="3:44" ht="19.350000000000001" customHeight="1">
      <c r="C20" s="343"/>
      <c r="D20" s="344"/>
      <c r="E20" s="699" t="s">
        <v>66</v>
      </c>
      <c r="F20" s="700"/>
      <c r="G20" s="700"/>
      <c r="H20" s="701"/>
      <c r="I20" s="164"/>
      <c r="J20" s="163"/>
      <c r="K20" s="304" t="str">
        <f t="shared" si="12"/>
        <v/>
      </c>
      <c r="L20" s="305" t="s">
        <v>116</v>
      </c>
      <c r="M20" s="578" t="str">
        <f>IFERROR(IF(K20="","",$K20*R20),"----------")</f>
        <v/>
      </c>
      <c r="N20" s="338" t="str">
        <f>IF(K20="","",
      IF($T$1=2022,K20*S20,
                  IF(OR(W32="",K20=""),"",K20*W32)))</f>
        <v/>
      </c>
      <c r="O20" s="319"/>
      <c r="P20" s="332" t="s">
        <v>66</v>
      </c>
      <c r="Q20" s="332" t="s">
        <v>5022</v>
      </c>
      <c r="R20" s="332">
        <f t="shared" si="15"/>
        <v>1.19</v>
      </c>
      <c r="S20" s="333" t="str">
        <f t="shared" si="14"/>
        <v>ー</v>
      </c>
      <c r="T20" s="292"/>
      <c r="V20" s="312"/>
      <c r="W20" s="312"/>
      <c r="X20" s="312"/>
      <c r="Y20" s="312"/>
      <c r="Z20" s="312"/>
      <c r="AG20" s="277">
        <v>17</v>
      </c>
      <c r="AH20" s="292" t="s">
        <v>56</v>
      </c>
      <c r="AI20" s="277" t="s">
        <v>4182</v>
      </c>
      <c r="AJ20" s="277">
        <f t="shared" si="0"/>
        <v>0</v>
      </c>
      <c r="AK20" s="277">
        <f t="shared" si="1"/>
        <v>0</v>
      </c>
      <c r="AM20" s="277">
        <v>17</v>
      </c>
      <c r="AN20" s="277" t="s">
        <v>4976</v>
      </c>
      <c r="AO20" s="277" t="s">
        <v>4182</v>
      </c>
      <c r="AP20" s="277">
        <f t="shared" si="2"/>
        <v>0</v>
      </c>
      <c r="AQ20" s="277">
        <f t="shared" si="3"/>
        <v>0</v>
      </c>
      <c r="AR20" s="277">
        <f t="shared" si="4"/>
        <v>0</v>
      </c>
    </row>
    <row r="21" spans="3:44" ht="19.350000000000001" customHeight="1" thickBot="1">
      <c r="C21" s="343"/>
      <c r="D21" s="345"/>
      <c r="E21" s="346" t="str">
        <f>"その他（"&amp;U35&amp;"）"</f>
        <v>その他（）</v>
      </c>
      <c r="F21" s="347"/>
      <c r="G21" s="347"/>
      <c r="H21" s="348"/>
      <c r="I21" s="165"/>
      <c r="J21" s="163"/>
      <c r="K21" s="349" t="str">
        <f>IF(AND(I21="",J21=""),"",SUM(I21)-SUM(J21))</f>
        <v/>
      </c>
      <c r="L21" s="166"/>
      <c r="M21" s="599"/>
      <c r="N21" s="236"/>
      <c r="O21" s="319"/>
      <c r="P21" s="327"/>
      <c r="Q21" s="327"/>
      <c r="R21" s="327"/>
      <c r="S21" s="350"/>
      <c r="T21" s="292"/>
      <c r="U21" s="339" t="s">
        <v>127</v>
      </c>
      <c r="V21" s="312"/>
      <c r="W21" s="312"/>
      <c r="X21" s="312"/>
      <c r="Y21" s="312"/>
      <c r="Z21" s="312"/>
      <c r="AG21" s="277">
        <v>18</v>
      </c>
      <c r="AH21" s="292" t="s">
        <v>57</v>
      </c>
      <c r="AI21" s="277" t="s">
        <v>4182</v>
      </c>
      <c r="AJ21" s="277">
        <f>SUMIFS($I$13:$I$19,$E$13:$E$19,$AV25)</f>
        <v>0</v>
      </c>
      <c r="AK21" s="277">
        <f>SUMIFS($J$13:$J$19,$E$13:$E$19,$AV25)</f>
        <v>0</v>
      </c>
      <c r="AM21" s="277">
        <v>18</v>
      </c>
      <c r="AN21" s="277" t="s">
        <v>4977</v>
      </c>
      <c r="AO21" s="277" t="s">
        <v>4182</v>
      </c>
      <c r="AP21" s="277">
        <f t="shared" si="2"/>
        <v>0</v>
      </c>
      <c r="AQ21" s="277">
        <f t="shared" si="3"/>
        <v>0</v>
      </c>
      <c r="AR21" s="277">
        <f t="shared" si="4"/>
        <v>0</v>
      </c>
    </row>
    <row r="22" spans="3:44" ht="19.350000000000001" customHeight="1" thickTop="1" thickBot="1">
      <c r="C22" s="714" t="s">
        <v>67</v>
      </c>
      <c r="D22" s="715"/>
      <c r="E22" s="715"/>
      <c r="F22" s="715"/>
      <c r="G22" s="715"/>
      <c r="H22" s="716"/>
      <c r="I22" s="352" t="s">
        <v>68</v>
      </c>
      <c r="J22" s="353" t="s">
        <v>68</v>
      </c>
      <c r="K22" s="353" t="s">
        <v>68</v>
      </c>
      <c r="L22" s="354" t="s">
        <v>68</v>
      </c>
      <c r="M22" s="580">
        <f>SUM(M6:M21)</f>
        <v>0</v>
      </c>
      <c r="N22" s="355">
        <f>SUM(N6:N21)</f>
        <v>0</v>
      </c>
      <c r="O22" s="319"/>
      <c r="P22" s="351"/>
      <c r="Q22" s="351"/>
      <c r="R22" s="351"/>
      <c r="S22" s="351"/>
      <c r="T22" s="292"/>
      <c r="U22" s="340" t="s">
        <v>154</v>
      </c>
      <c r="V22" s="356">
        <f>SUM(G66)</f>
        <v>0</v>
      </c>
      <c r="W22" s="342" t="s">
        <v>5160</v>
      </c>
      <c r="X22" s="312"/>
      <c r="Y22" s="312"/>
      <c r="Z22" s="312"/>
      <c r="AG22" s="277">
        <v>19</v>
      </c>
      <c r="AH22" s="292" t="s">
        <v>4985</v>
      </c>
      <c r="AI22" s="277" t="s">
        <v>4182</v>
      </c>
      <c r="AJ22" s="277">
        <f>SUMIFS($I$13:$I$19,$E$13:$E$19,$AV26)</f>
        <v>0</v>
      </c>
      <c r="AK22" s="277">
        <f>SUMIFS($J$13:$J$19,$E$13:$E$19,$AV26)</f>
        <v>0</v>
      </c>
      <c r="AM22" s="277">
        <v>19</v>
      </c>
      <c r="AN22" s="292" t="s">
        <v>4979</v>
      </c>
      <c r="AO22" s="277" t="s">
        <v>4182</v>
      </c>
      <c r="AP22" s="277">
        <f t="shared" si="2"/>
        <v>0</v>
      </c>
      <c r="AQ22" s="277">
        <f t="shared" si="3"/>
        <v>0</v>
      </c>
      <c r="AR22" s="277">
        <f t="shared" si="4"/>
        <v>0</v>
      </c>
    </row>
    <row r="23" spans="3:44" ht="19.350000000000001" customHeight="1" thickBot="1">
      <c r="C23" s="733" t="s">
        <v>5142</v>
      </c>
      <c r="D23" s="739"/>
      <c r="E23" s="740"/>
      <c r="F23" s="740"/>
      <c r="G23" s="740"/>
      <c r="H23" s="741"/>
      <c r="I23" s="168"/>
      <c r="J23" s="169"/>
      <c r="K23" s="357" t="str">
        <f t="shared" ref="K23:K29" si="16">IF(AND(I23="",J23=""),"",SUM(I23)-SUM(J23))</f>
        <v/>
      </c>
      <c r="L23" s="358" t="str">
        <f t="shared" ref="L23:L28" si="17">IF(D23="","",IF($T$1=2022,"----------",VLOOKUP(D23,係数2023,6,0)))</f>
        <v/>
      </c>
      <c r="M23" s="581" t="str">
        <f t="shared" ref="M23:M28" si="18">IFERROR(IF(K23="","",$K23*R23),"-------------")</f>
        <v/>
      </c>
      <c r="N23" s="359" t="str">
        <f t="shared" ref="N23:N28" si="19">IFERROR(IF(K23="","",$M23*S23*44/12),"----------")</f>
        <v/>
      </c>
      <c r="O23" s="319"/>
      <c r="P23" s="360"/>
      <c r="Q23" s="360"/>
      <c r="R23" s="361" t="e">
        <f t="shared" ref="R23:R28" si="20">IF($T$1=2022,VLOOKUP(D23,係数2022,7,0),VLOOKUP(D23,係数2023,7,0))</f>
        <v>#N/A</v>
      </c>
      <c r="S23" s="362" t="e">
        <f t="shared" ref="S23:S28" si="21">IF($T$1=2022,VLOOKUP(D23,係数2022,9,0),VLOOKUP(D23,係数2023,9,0))</f>
        <v>#N/A</v>
      </c>
      <c r="T23" s="12"/>
      <c r="V23" s="312"/>
      <c r="W23" s="312"/>
      <c r="X23" s="312"/>
      <c r="Y23" s="312"/>
      <c r="Z23" s="312"/>
      <c r="AG23" s="277">
        <v>20</v>
      </c>
      <c r="AH23" s="277" t="s">
        <v>58</v>
      </c>
      <c r="AI23" s="277" t="s">
        <v>4182</v>
      </c>
      <c r="AJ23" s="277">
        <f>SUMIFS($I$13:$I$19,$E$13:$E$19,$AN26)</f>
        <v>0</v>
      </c>
      <c r="AK23" s="277">
        <f>SUMIFS($J$13:$J$19,$E$13:$E$19,$AN26)</f>
        <v>0</v>
      </c>
      <c r="AM23" s="277">
        <v>20</v>
      </c>
      <c r="AN23" s="277" t="s">
        <v>4982</v>
      </c>
      <c r="AO23" s="277" t="s">
        <v>4182</v>
      </c>
      <c r="AP23" s="277">
        <f t="shared" si="2"/>
        <v>0</v>
      </c>
      <c r="AQ23" s="277">
        <f t="shared" si="3"/>
        <v>0</v>
      </c>
      <c r="AR23" s="277">
        <f t="shared" si="4"/>
        <v>0</v>
      </c>
    </row>
    <row r="24" spans="3:44" ht="19.350000000000001" customHeight="1" thickBot="1">
      <c r="C24" s="734"/>
      <c r="D24" s="736"/>
      <c r="E24" s="737"/>
      <c r="F24" s="737"/>
      <c r="G24" s="737"/>
      <c r="H24" s="738"/>
      <c r="I24" s="170"/>
      <c r="J24" s="171"/>
      <c r="K24" s="363" t="str">
        <f t="shared" si="16"/>
        <v/>
      </c>
      <c r="L24" s="305" t="str">
        <f t="shared" si="17"/>
        <v/>
      </c>
      <c r="M24" s="582" t="str">
        <f t="shared" si="18"/>
        <v/>
      </c>
      <c r="N24" s="338" t="str">
        <f t="shared" si="19"/>
        <v/>
      </c>
      <c r="O24" s="319"/>
      <c r="P24" s="364"/>
      <c r="Q24" s="364"/>
      <c r="R24" s="365" t="e">
        <f t="shared" si="20"/>
        <v>#N/A</v>
      </c>
      <c r="S24" s="366" t="e">
        <f t="shared" si="21"/>
        <v>#N/A</v>
      </c>
      <c r="T24" s="12"/>
      <c r="U24" s="340" t="s">
        <v>155</v>
      </c>
      <c r="V24" s="367">
        <f>V6+V19-V22</f>
        <v>0</v>
      </c>
      <c r="W24" s="342" t="s">
        <v>5160</v>
      </c>
      <c r="X24" s="312"/>
      <c r="Y24" s="312"/>
      <c r="Z24" s="312"/>
      <c r="AG24" s="277">
        <v>21</v>
      </c>
      <c r="AH24" s="277" t="s">
        <v>59</v>
      </c>
      <c r="AI24" s="277" t="s">
        <v>4182</v>
      </c>
      <c r="AJ24" s="277">
        <f>SUMIFS($I$13:$I$19,$E$13:$E$19,$AN27)</f>
        <v>0</v>
      </c>
      <c r="AK24" s="277">
        <f>SUMIFS($J$13:$J$19,$E$13:$E$19,$AN27)</f>
        <v>0</v>
      </c>
      <c r="AM24" s="277">
        <v>21</v>
      </c>
      <c r="AN24" s="277" t="s">
        <v>4984</v>
      </c>
      <c r="AO24" s="277" t="s">
        <v>4182</v>
      </c>
      <c r="AP24" s="277">
        <f t="shared" si="2"/>
        <v>0</v>
      </c>
      <c r="AQ24" s="277">
        <f t="shared" si="3"/>
        <v>0</v>
      </c>
      <c r="AR24" s="277">
        <f t="shared" si="4"/>
        <v>0</v>
      </c>
    </row>
    <row r="25" spans="3:44" ht="19.350000000000001" customHeight="1">
      <c r="C25" s="734"/>
      <c r="D25" s="736"/>
      <c r="E25" s="737"/>
      <c r="F25" s="737"/>
      <c r="G25" s="737"/>
      <c r="H25" s="738"/>
      <c r="I25" s="170"/>
      <c r="J25" s="171"/>
      <c r="K25" s="363" t="str">
        <f t="shared" si="16"/>
        <v/>
      </c>
      <c r="L25" s="305" t="str">
        <f t="shared" si="17"/>
        <v/>
      </c>
      <c r="M25" s="582" t="str">
        <f t="shared" si="18"/>
        <v/>
      </c>
      <c r="N25" s="338" t="str">
        <f t="shared" si="19"/>
        <v/>
      </c>
      <c r="O25" s="319"/>
      <c r="P25" s="364"/>
      <c r="Q25" s="364"/>
      <c r="R25" s="365" t="e">
        <f t="shared" si="20"/>
        <v>#N/A</v>
      </c>
      <c r="S25" s="366" t="e">
        <f t="shared" si="21"/>
        <v>#N/A</v>
      </c>
      <c r="T25" s="12"/>
      <c r="V25" s="312"/>
      <c r="W25" s="312"/>
      <c r="X25" s="312"/>
      <c r="Y25" s="312"/>
      <c r="Z25" s="312"/>
      <c r="AG25" s="277">
        <v>22</v>
      </c>
      <c r="AH25" s="277" t="s">
        <v>60</v>
      </c>
      <c r="AI25" s="277" t="s">
        <v>4182</v>
      </c>
      <c r="AJ25" s="277">
        <f>SUMIFS($I$13:$I$19,$E$13:$E$19,$AN28)</f>
        <v>0</v>
      </c>
      <c r="AK25" s="277">
        <f>SUMIFS($J$13:$J$19,$E$13:$E$19,$AN28)</f>
        <v>0</v>
      </c>
      <c r="AM25" s="277">
        <v>22</v>
      </c>
      <c r="AN25" s="277" t="s">
        <v>4986</v>
      </c>
      <c r="AO25" s="277" t="s">
        <v>4182</v>
      </c>
      <c r="AP25" s="277">
        <f t="shared" si="2"/>
        <v>0</v>
      </c>
      <c r="AQ25" s="277">
        <f t="shared" si="3"/>
        <v>0</v>
      </c>
      <c r="AR25" s="277">
        <f t="shared" si="4"/>
        <v>0</v>
      </c>
    </row>
    <row r="26" spans="3:44" ht="19.350000000000001" customHeight="1" thickBot="1">
      <c r="C26" s="734"/>
      <c r="D26" s="736"/>
      <c r="E26" s="737"/>
      <c r="F26" s="737"/>
      <c r="G26" s="737"/>
      <c r="H26" s="738"/>
      <c r="I26" s="170"/>
      <c r="J26" s="171"/>
      <c r="K26" s="363" t="str">
        <f t="shared" si="16"/>
        <v/>
      </c>
      <c r="L26" s="305" t="str">
        <f t="shared" si="17"/>
        <v/>
      </c>
      <c r="M26" s="582" t="str">
        <f t="shared" si="18"/>
        <v/>
      </c>
      <c r="N26" s="338" t="str">
        <f>IFERROR(IF(K26="","",$M26*S26*44/12),"----------")</f>
        <v/>
      </c>
      <c r="O26" s="319"/>
      <c r="P26" s="364"/>
      <c r="Q26" s="364"/>
      <c r="R26" s="365" t="e">
        <f t="shared" si="20"/>
        <v>#N/A</v>
      </c>
      <c r="S26" s="366" t="e">
        <f t="shared" si="21"/>
        <v>#N/A</v>
      </c>
      <c r="T26" s="12"/>
      <c r="U26" s="339" t="s">
        <v>129</v>
      </c>
      <c r="V26" s="312"/>
      <c r="W26" s="312"/>
      <c r="X26" s="312"/>
      <c r="Y26" s="312"/>
      <c r="Z26" s="312"/>
      <c r="AG26" s="277">
        <v>23</v>
      </c>
      <c r="AH26" s="277" t="s">
        <v>61</v>
      </c>
      <c r="AI26" s="277" t="s">
        <v>5086</v>
      </c>
      <c r="AJ26" s="277">
        <f>SUMIFS($I$13:$I$19,$E$13:$E$19,$AN29)</f>
        <v>0</v>
      </c>
      <c r="AK26" s="277">
        <f>SUMIFS($J$13:$J$19,$E$13:$E$19,$AN29)</f>
        <v>0</v>
      </c>
      <c r="AM26" s="277">
        <v>23</v>
      </c>
      <c r="AN26" s="277" t="s">
        <v>58</v>
      </c>
      <c r="AO26" s="277" t="s">
        <v>4182</v>
      </c>
      <c r="AP26" s="277">
        <f t="shared" si="2"/>
        <v>0</v>
      </c>
      <c r="AQ26" s="277">
        <f t="shared" si="3"/>
        <v>0</v>
      </c>
      <c r="AR26" s="277">
        <f t="shared" si="4"/>
        <v>0</v>
      </c>
    </row>
    <row r="27" spans="3:44" ht="19.350000000000001" customHeight="1" thickBot="1">
      <c r="C27" s="734"/>
      <c r="D27" s="736"/>
      <c r="E27" s="737"/>
      <c r="F27" s="737"/>
      <c r="G27" s="737"/>
      <c r="H27" s="738"/>
      <c r="I27" s="170"/>
      <c r="J27" s="171"/>
      <c r="K27" s="363" t="str">
        <f t="shared" si="16"/>
        <v/>
      </c>
      <c r="L27" s="305" t="str">
        <f t="shared" si="17"/>
        <v/>
      </c>
      <c r="M27" s="582" t="str">
        <f t="shared" si="18"/>
        <v/>
      </c>
      <c r="N27" s="338" t="str">
        <f t="shared" si="19"/>
        <v/>
      </c>
      <c r="O27" s="319"/>
      <c r="P27" s="364"/>
      <c r="Q27" s="364"/>
      <c r="R27" s="365" t="e">
        <f t="shared" si="20"/>
        <v>#N/A</v>
      </c>
      <c r="S27" s="366" t="e">
        <f t="shared" si="21"/>
        <v>#N/A</v>
      </c>
      <c r="U27" s="368" t="s">
        <v>3089</v>
      </c>
      <c r="V27" s="369">
        <f>IF(V24="","",IFERROR(ROUND(V24/G73,3-INT(LOG(V24/G73))),))</f>
        <v>0</v>
      </c>
      <c r="W27" s="909" t="str">
        <f>"t-CO2/"&amp;G72</f>
        <v>t-CO2/</v>
      </c>
      <c r="X27" s="910"/>
      <c r="Y27" s="312"/>
      <c r="Z27" s="312"/>
      <c r="AG27" s="277">
        <v>24</v>
      </c>
      <c r="AH27" s="277" t="s">
        <v>62</v>
      </c>
      <c r="AI27" s="277" t="s">
        <v>4991</v>
      </c>
      <c r="AJ27" s="277">
        <f>SUMIFS($I$13:$I$19,$E$13:$E$19,$AN31)</f>
        <v>0</v>
      </c>
      <c r="AK27" s="277">
        <f>SUMIFS($J$13:$J$19,$E$13:$E$19,$AN31)</f>
        <v>0</v>
      </c>
      <c r="AM27" s="277">
        <v>24</v>
      </c>
      <c r="AN27" s="277" t="s">
        <v>59</v>
      </c>
      <c r="AO27" s="277" t="s">
        <v>4182</v>
      </c>
      <c r="AP27" s="277">
        <f t="shared" si="2"/>
        <v>0</v>
      </c>
      <c r="AQ27" s="277">
        <f t="shared" si="3"/>
        <v>0</v>
      </c>
      <c r="AR27" s="277">
        <f t="shared" si="4"/>
        <v>0</v>
      </c>
    </row>
    <row r="28" spans="3:44" ht="19.350000000000001" customHeight="1">
      <c r="C28" s="734"/>
      <c r="D28" s="736"/>
      <c r="E28" s="737"/>
      <c r="F28" s="737"/>
      <c r="G28" s="737"/>
      <c r="H28" s="738"/>
      <c r="I28" s="170"/>
      <c r="J28" s="171"/>
      <c r="K28" s="363" t="str">
        <f t="shared" si="16"/>
        <v/>
      </c>
      <c r="L28" s="305" t="str">
        <f t="shared" si="17"/>
        <v/>
      </c>
      <c r="M28" s="582" t="str">
        <f t="shared" si="18"/>
        <v/>
      </c>
      <c r="N28" s="338" t="str">
        <f t="shared" si="19"/>
        <v/>
      </c>
      <c r="O28" s="319"/>
      <c r="P28" s="364"/>
      <c r="Q28" s="364"/>
      <c r="R28" s="365" t="e">
        <f t="shared" si="20"/>
        <v>#N/A</v>
      </c>
      <c r="S28" s="366" t="e">
        <f t="shared" si="21"/>
        <v>#N/A</v>
      </c>
      <c r="T28"/>
      <c r="U28" s="504"/>
      <c r="V28" s="370"/>
      <c r="W28" s="370"/>
      <c r="X28" s="370"/>
      <c r="Y28" s="312"/>
      <c r="Z28" s="312"/>
      <c r="AG28" s="277">
        <v>25</v>
      </c>
      <c r="AH28" s="277" t="s">
        <v>109</v>
      </c>
      <c r="AI28" s="277" t="s">
        <v>115</v>
      </c>
      <c r="AJ28" s="277">
        <f>SUMIFS($I$13:$I$19,$E$13:$E$19,$AN36)</f>
        <v>0</v>
      </c>
      <c r="AK28" s="277">
        <f>SUMIFS($J$13:$J$19,$E$13:$E$19,$AN36)</f>
        <v>0</v>
      </c>
      <c r="AM28" s="277">
        <v>25</v>
      </c>
      <c r="AN28" s="277" t="s">
        <v>60</v>
      </c>
      <c r="AO28" s="277" t="s">
        <v>4182</v>
      </c>
      <c r="AP28" s="277">
        <f t="shared" si="2"/>
        <v>0</v>
      </c>
      <c r="AQ28" s="277">
        <f t="shared" si="3"/>
        <v>0</v>
      </c>
      <c r="AR28" s="277">
        <f t="shared" si="4"/>
        <v>0</v>
      </c>
    </row>
    <row r="29" spans="3:44" ht="19.350000000000001" customHeight="1" thickBot="1">
      <c r="C29" s="735"/>
      <c r="D29" s="314" t="str">
        <f>"その他（"&amp;U38&amp;"）"</f>
        <v>その他（）</v>
      </c>
      <c r="E29" s="302"/>
      <c r="F29" s="302"/>
      <c r="G29" s="371"/>
      <c r="H29" s="372"/>
      <c r="I29" s="170"/>
      <c r="J29" s="171"/>
      <c r="K29" s="363" t="str">
        <f t="shared" si="16"/>
        <v/>
      </c>
      <c r="L29" s="523"/>
      <c r="M29" s="600"/>
      <c r="N29" s="373"/>
      <c r="O29" s="319"/>
      <c r="P29" s="374"/>
      <c r="Q29" s="374"/>
      <c r="R29" s="374"/>
      <c r="S29" s="375"/>
      <c r="T29" s="12"/>
      <c r="U29" s="320" t="s">
        <v>5139</v>
      </c>
      <c r="V29" s="376" t="s">
        <v>78</v>
      </c>
      <c r="W29" s="376" t="s">
        <v>5096</v>
      </c>
      <c r="X29" s="377"/>
      <c r="Y29" s="377"/>
      <c r="Z29" s="312"/>
      <c r="AG29" s="277">
        <v>26</v>
      </c>
      <c r="AH29" s="277" t="s">
        <v>119</v>
      </c>
      <c r="AI29" s="277" t="s">
        <v>115</v>
      </c>
      <c r="AJ29" s="277">
        <f>SUMIFS($I$13:$I$19,$E$13:$E$19,$AN37)</f>
        <v>0</v>
      </c>
      <c r="AK29" s="277">
        <f>SUMIFS($J$13:$J$19,$E$13:$E$19,$AN37)</f>
        <v>0</v>
      </c>
      <c r="AM29" s="277">
        <v>26</v>
      </c>
      <c r="AN29" s="277" t="s">
        <v>61</v>
      </c>
      <c r="AO29" s="277" t="s">
        <v>5086</v>
      </c>
      <c r="AP29" s="277">
        <f t="shared" si="2"/>
        <v>0</v>
      </c>
      <c r="AQ29" s="277">
        <f t="shared" si="3"/>
        <v>0</v>
      </c>
      <c r="AR29" s="277">
        <f t="shared" si="4"/>
        <v>0</v>
      </c>
    </row>
    <row r="30" spans="3:44" ht="19.350000000000001" customHeight="1" thickTop="1" thickBot="1">
      <c r="C30" s="714" t="s">
        <v>67</v>
      </c>
      <c r="D30" s="715"/>
      <c r="E30" s="715"/>
      <c r="F30" s="715"/>
      <c r="G30" s="715"/>
      <c r="H30" s="716"/>
      <c r="I30" s="378" t="s">
        <v>68</v>
      </c>
      <c r="J30" s="379" t="s">
        <v>68</v>
      </c>
      <c r="K30" s="379" t="s">
        <v>68</v>
      </c>
      <c r="L30" s="380" t="s">
        <v>68</v>
      </c>
      <c r="M30" s="584">
        <f>SUM(M23:M29)</f>
        <v>0</v>
      </c>
      <c r="N30" s="355">
        <f>SUM(N23:N29)</f>
        <v>0</v>
      </c>
      <c r="O30" s="319"/>
      <c r="P30"/>
      <c r="Q30"/>
      <c r="R30"/>
      <c r="S30"/>
      <c r="T30" s="381"/>
      <c r="U30" s="382" t="s">
        <v>4291</v>
      </c>
      <c r="V30" s="383"/>
      <c r="W30" s="216"/>
      <c r="X30" s="377"/>
      <c r="Y30" s="377"/>
      <c r="Z30" s="312"/>
      <c r="AG30" s="277">
        <v>27</v>
      </c>
      <c r="AH30" s="277" t="s">
        <v>65</v>
      </c>
      <c r="AI30" s="277" t="s">
        <v>115</v>
      </c>
      <c r="AJ30" s="277">
        <f>SUMIFS($I$13:$I$19,$E$13:$E$19,$AN38)</f>
        <v>0</v>
      </c>
      <c r="AK30" s="277">
        <f>SUMIFS($J$13:$J$19,$E$13:$E$19,$AN38)</f>
        <v>0</v>
      </c>
      <c r="AM30" s="277">
        <v>27</v>
      </c>
      <c r="AN30" s="277" t="s">
        <v>4987</v>
      </c>
      <c r="AO30" s="277" t="s">
        <v>5097</v>
      </c>
      <c r="AP30" s="277">
        <f t="shared" si="2"/>
        <v>0</v>
      </c>
      <c r="AQ30" s="277">
        <f t="shared" si="3"/>
        <v>0</v>
      </c>
      <c r="AR30" s="277">
        <f t="shared" si="4"/>
        <v>0</v>
      </c>
    </row>
    <row r="31" spans="3:44" ht="19.350000000000001" customHeight="1" thickBot="1">
      <c r="C31" s="646" t="s">
        <v>5098</v>
      </c>
      <c r="D31" s="647"/>
      <c r="E31" s="647"/>
      <c r="F31" s="647"/>
      <c r="G31" s="647"/>
      <c r="H31" s="648"/>
      <c r="I31" s="653" t="s">
        <v>112</v>
      </c>
      <c r="J31" s="655" t="s">
        <v>40</v>
      </c>
      <c r="K31" s="657" t="s">
        <v>41</v>
      </c>
      <c r="L31" s="661" t="s">
        <v>42</v>
      </c>
      <c r="M31" s="663" t="s">
        <v>5083</v>
      </c>
      <c r="N31" s="911" t="s">
        <v>5084</v>
      </c>
      <c r="O31" s="319"/>
      <c r="P31"/>
      <c r="Q31"/>
      <c r="R31"/>
      <c r="S31"/>
      <c r="T31" s="381"/>
      <c r="U31" s="382" t="s">
        <v>4293</v>
      </c>
      <c r="V31" s="383"/>
      <c r="W31" s="216"/>
      <c r="X31" s="377"/>
      <c r="Y31" s="377"/>
      <c r="Z31" s="312"/>
      <c r="AG31" s="277">
        <v>28</v>
      </c>
      <c r="AH31" s="277" t="s">
        <v>66</v>
      </c>
      <c r="AI31" s="277" t="s">
        <v>115</v>
      </c>
      <c r="AJ31" s="277">
        <f>SUMIFS($I$13:$I$19,$E$13:$E$19,$AN39)</f>
        <v>0</v>
      </c>
      <c r="AK31" s="277">
        <f>SUMIFS($J$13:$J$19,$E$13:$E$19,$AN39)</f>
        <v>0</v>
      </c>
      <c r="AM31" s="277">
        <v>28</v>
      </c>
      <c r="AN31" s="277" t="s">
        <v>62</v>
      </c>
      <c r="AO31" s="277" t="s">
        <v>4991</v>
      </c>
      <c r="AP31" s="277">
        <f t="shared" si="2"/>
        <v>0</v>
      </c>
      <c r="AQ31" s="277">
        <f t="shared" si="3"/>
        <v>0</v>
      </c>
      <c r="AR31" s="277">
        <f t="shared" si="4"/>
        <v>0</v>
      </c>
    </row>
    <row r="32" spans="3:44" ht="19.350000000000001" customHeight="1">
      <c r="C32" s="742"/>
      <c r="D32" s="743"/>
      <c r="E32" s="743"/>
      <c r="F32" s="743"/>
      <c r="G32" s="743"/>
      <c r="H32" s="744"/>
      <c r="I32" s="654"/>
      <c r="J32" s="656"/>
      <c r="K32" s="658"/>
      <c r="L32" s="662"/>
      <c r="M32" s="664"/>
      <c r="N32" s="912"/>
      <c r="O32" s="319"/>
      <c r="P32" s="296" t="s">
        <v>5080</v>
      </c>
      <c r="Q32" s="296" t="s">
        <v>5081</v>
      </c>
      <c r="R32" s="296" t="s">
        <v>4961</v>
      </c>
      <c r="S32" s="296" t="s">
        <v>4962</v>
      </c>
      <c r="T32" s="381"/>
      <c r="U32" s="180" t="s">
        <v>5140</v>
      </c>
      <c r="V32" s="324"/>
      <c r="W32" s="216"/>
      <c r="X32" s="312"/>
      <c r="AG32" s="277">
        <v>29</v>
      </c>
      <c r="AH32" s="384" t="s">
        <v>5111</v>
      </c>
      <c r="AM32" s="277">
        <v>29</v>
      </c>
      <c r="AN32" s="277" t="s">
        <v>5019</v>
      </c>
      <c r="AO32" s="277" t="s">
        <v>115</v>
      </c>
      <c r="AP32" s="277">
        <f t="shared" si="2"/>
        <v>0</v>
      </c>
      <c r="AQ32" s="277">
        <f t="shared" si="3"/>
        <v>0</v>
      </c>
      <c r="AR32" s="277">
        <f t="shared" si="4"/>
        <v>0</v>
      </c>
    </row>
    <row r="33" spans="3:44" ht="19.350000000000001" customHeight="1">
      <c r="C33" s="385"/>
      <c r="D33" s="386" t="s">
        <v>5105</v>
      </c>
      <c r="E33" s="285"/>
      <c r="F33" s="387"/>
      <c r="G33" s="387"/>
      <c r="H33" s="388"/>
      <c r="I33" s="592" t="str">
        <f>IF(COUNTBLANK(V42:W46)=10,"",SUM(I34:I35))</f>
        <v/>
      </c>
      <c r="J33" s="389"/>
      <c r="K33" s="390" t="str">
        <f>I33</f>
        <v/>
      </c>
      <c r="L33" s="505" t="s">
        <v>5036</v>
      </c>
      <c r="M33" s="585" t="str">
        <f>IF(COUNTBLANK(V42:W46)=10,"",SUM(M34,M35))</f>
        <v/>
      </c>
      <c r="N33" s="392" t="str">
        <f>IF(COUNTBLANK(V42:W46)=10,"",SUM(N34,N35))</f>
        <v/>
      </c>
      <c r="O33" s="319"/>
      <c r="P33" s="393"/>
      <c r="Q33" s="393"/>
      <c r="R33" s="393"/>
      <c r="S33" s="393"/>
      <c r="T33" s="381"/>
      <c r="U33" s="312"/>
      <c r="V33" s="312"/>
      <c r="W33" s="312"/>
      <c r="X33" s="312"/>
      <c r="AM33" s="277">
        <v>30</v>
      </c>
      <c r="AN33" s="277" t="s">
        <v>5020</v>
      </c>
      <c r="AO33" s="277" t="s">
        <v>115</v>
      </c>
      <c r="AP33" s="277">
        <f t="shared" si="2"/>
        <v>0</v>
      </c>
      <c r="AQ33" s="277">
        <f t="shared" si="3"/>
        <v>0</v>
      </c>
      <c r="AR33" s="277">
        <f t="shared" si="4"/>
        <v>0</v>
      </c>
    </row>
    <row r="34" spans="3:44" ht="19.350000000000001" customHeight="1">
      <c r="C34" s="385"/>
      <c r="D34" s="386"/>
      <c r="E34" s="285"/>
      <c r="F34" s="730" t="s">
        <v>5100</v>
      </c>
      <c r="G34" s="731"/>
      <c r="H34" s="732"/>
      <c r="I34" s="593" t="str">
        <f>IF(COUNTBLANK(V42:V46)=10,"",V47)</f>
        <v/>
      </c>
      <c r="J34" s="394"/>
      <c r="K34" s="395" t="str">
        <f t="shared" ref="K34:K35" si="22">I34</f>
        <v/>
      </c>
      <c r="L34" s="506" t="s">
        <v>5036</v>
      </c>
      <c r="M34" s="586" t="str">
        <f>IFERROR(IF(K34="","",$K34*R34),"-------------")</f>
        <v/>
      </c>
      <c r="N34" s="507" t="str">
        <f>IF(COUNTBLANK(V42:W46)=10,"",Z47)</f>
        <v/>
      </c>
      <c r="O34" s="319"/>
      <c r="P34" s="393" t="s">
        <v>5034</v>
      </c>
      <c r="Q34" s="393" t="s">
        <v>5034</v>
      </c>
      <c r="R34" s="393">
        <f t="shared" ref="R34:R38" si="23">IF($T$1=2022,VLOOKUP($P34,係数2022,7,0),VLOOKUP($Q34,係数2023,7,0))</f>
        <v>8.64</v>
      </c>
      <c r="S34" s="393"/>
      <c r="T34" s="381"/>
      <c r="U34" s="398" t="s">
        <v>5095</v>
      </c>
      <c r="V34" s="399" t="s">
        <v>78</v>
      </c>
      <c r="W34" s="399" t="s">
        <v>5096</v>
      </c>
      <c r="X34" s="312"/>
      <c r="AM34" s="277">
        <v>31</v>
      </c>
      <c r="AN34" s="277" t="s">
        <v>5021</v>
      </c>
      <c r="AO34" s="277" t="s">
        <v>115</v>
      </c>
      <c r="AP34" s="277">
        <f t="shared" si="2"/>
        <v>0</v>
      </c>
      <c r="AQ34" s="277">
        <f t="shared" si="3"/>
        <v>0</v>
      </c>
      <c r="AR34" s="277">
        <f t="shared" si="4"/>
        <v>0</v>
      </c>
    </row>
    <row r="35" spans="3:44" ht="19.350000000000001" customHeight="1">
      <c r="C35" s="400" t="s">
        <v>5106</v>
      </c>
      <c r="D35" s="386"/>
      <c r="E35" s="285"/>
      <c r="F35" s="730" t="s">
        <v>5101</v>
      </c>
      <c r="G35" s="731"/>
      <c r="H35" s="732"/>
      <c r="I35" s="593" t="str">
        <f>IF(COUNTBLANK(V42:V46)=10,"",W47)</f>
        <v/>
      </c>
      <c r="J35" s="394"/>
      <c r="K35" s="395" t="str">
        <f t="shared" si="22"/>
        <v/>
      </c>
      <c r="L35" s="506" t="s">
        <v>5036</v>
      </c>
      <c r="M35" s="586" t="str">
        <f>IFERROR(IF(K35="","",$K35*R35),"-------------")</f>
        <v/>
      </c>
      <c r="N35" s="507" t="str">
        <f>IF(COUNTBLANK(V42:W46)=10,"",AA47)</f>
        <v/>
      </c>
      <c r="O35" s="319"/>
      <c r="P35" s="393" t="s">
        <v>5038</v>
      </c>
      <c r="Q35" s="393" t="s">
        <v>5038</v>
      </c>
      <c r="R35" s="393">
        <f t="shared" si="23"/>
        <v>8.64</v>
      </c>
      <c r="S35" s="393"/>
      <c r="T35" s="381"/>
      <c r="U35" s="167"/>
      <c r="V35" s="217"/>
      <c r="W35" s="218"/>
      <c r="X35" s="312"/>
      <c r="AM35" s="277">
        <v>32</v>
      </c>
      <c r="AN35" s="277" t="s">
        <v>5022</v>
      </c>
      <c r="AO35" s="277" t="s">
        <v>115</v>
      </c>
      <c r="AP35" s="277">
        <f t="shared" si="2"/>
        <v>0</v>
      </c>
      <c r="AQ35" s="277">
        <f t="shared" si="3"/>
        <v>0</v>
      </c>
      <c r="AR35" s="277">
        <f>COUNTIF($AT$4:$AT$10,AN35)</f>
        <v>0</v>
      </c>
    </row>
    <row r="36" spans="3:44" ht="19.350000000000001" customHeight="1">
      <c r="C36" s="400"/>
      <c r="D36" s="401"/>
      <c r="E36" s="176"/>
      <c r="F36" s="402" t="s">
        <v>5108</v>
      </c>
      <c r="G36" s="403"/>
      <c r="H36" s="404"/>
      <c r="I36" s="594" t="str">
        <f>IF($T$1=2022,"----------",IF(COUNTBLANK(V42:W46)=10,"",SUMPRODUCT(V42:V46,X42:X46)+SUMPRODUCT(W42:W46,X42:X46)))</f>
        <v/>
      </c>
      <c r="J36" s="405"/>
      <c r="K36" s="406" t="str">
        <f>IF($T$1=2022,"----------",I36)</f>
        <v/>
      </c>
      <c r="L36" s="508" t="s">
        <v>5036</v>
      </c>
      <c r="M36" s="587" t="str">
        <f>IF($T$1=2022,"----------",IF(M33&lt;&gt;"",K36*R36,""))</f>
        <v/>
      </c>
      <c r="N36" s="408"/>
      <c r="O36" s="319"/>
      <c r="P36" s="393"/>
      <c r="Q36" s="393" t="s">
        <v>5107</v>
      </c>
      <c r="R36" s="393">
        <f t="shared" si="23"/>
        <v>8.64</v>
      </c>
      <c r="S36" s="393"/>
      <c r="T36" s="381"/>
      <c r="U36" s="312"/>
      <c r="V36" s="312"/>
      <c r="W36" s="312"/>
      <c r="X36" s="312"/>
      <c r="AM36" s="277">
        <v>33</v>
      </c>
      <c r="AN36" s="277" t="s">
        <v>4993</v>
      </c>
      <c r="AO36" s="277" t="s">
        <v>51</v>
      </c>
      <c r="AP36" s="277">
        <f t="shared" si="2"/>
        <v>0</v>
      </c>
      <c r="AQ36" s="277">
        <f t="shared" si="3"/>
        <v>0</v>
      </c>
      <c r="AR36" s="277">
        <f>COUNTIF($AT$4:$AT$10,AN36)</f>
        <v>0</v>
      </c>
    </row>
    <row r="37" spans="3:44" ht="19.350000000000001" customHeight="1">
      <c r="C37" s="400"/>
      <c r="D37" s="386" t="s">
        <v>5110</v>
      </c>
      <c r="E37" s="285"/>
      <c r="F37" s="387"/>
      <c r="G37" s="387"/>
      <c r="H37" s="388"/>
      <c r="I37" s="592" t="str">
        <f>IF(COUNTBLANK(W51:W53)+COUNTBLANK(W57:W58)=5,"",W59)</f>
        <v/>
      </c>
      <c r="J37" s="389"/>
      <c r="K37" s="390" t="str">
        <f>I37</f>
        <v/>
      </c>
      <c r="L37" s="509" t="s">
        <v>5036</v>
      </c>
      <c r="M37" s="585" t="str">
        <f>IF(K37="","",K37*R37)</f>
        <v/>
      </c>
      <c r="N37" s="392" t="str">
        <f>IF(I37="","",SUMPRODUCT(W51:W53,Y51:Y53)+SUMPRODUCT(W57:W58,Y57:Y58))</f>
        <v/>
      </c>
      <c r="O37" s="319"/>
      <c r="P37" s="410" t="s">
        <v>5109</v>
      </c>
      <c r="Q37" s="410" t="s">
        <v>5109</v>
      </c>
      <c r="R37" s="393">
        <f t="shared" si="23"/>
        <v>8.64</v>
      </c>
      <c r="S37" s="411"/>
      <c r="T37" s="381"/>
      <c r="U37" s="398" t="s">
        <v>5095</v>
      </c>
      <c r="V37" s="399" t="s">
        <v>78</v>
      </c>
      <c r="W37" s="412"/>
      <c r="X37" s="312"/>
      <c r="AM37" s="277">
        <v>34</v>
      </c>
      <c r="AN37" s="277" t="s">
        <v>4996</v>
      </c>
      <c r="AO37" s="277" t="s">
        <v>4182</v>
      </c>
      <c r="AP37" s="277">
        <f t="shared" si="2"/>
        <v>0</v>
      </c>
      <c r="AQ37" s="277">
        <f t="shared" si="3"/>
        <v>0</v>
      </c>
      <c r="AR37" s="277">
        <f t="shared" ref="AR37:AR60" si="24">COUNTIF($AT$4:$AT$10,AN37)</f>
        <v>0</v>
      </c>
    </row>
    <row r="38" spans="3:44" ht="19.350000000000001" customHeight="1">
      <c r="C38" s="400" t="s">
        <v>5112</v>
      </c>
      <c r="D38" s="401"/>
      <c r="E38" s="176"/>
      <c r="F38" s="413" t="s">
        <v>5108</v>
      </c>
      <c r="G38" s="414"/>
      <c r="H38" s="415"/>
      <c r="I38" s="594" t="str">
        <f>IF($T$1=2022,"----------",IF(COUNTBLANK(W51:W53)+COUNTBLANK(W57:W58)=5,"",SUMPRODUCT(W51:W58,X51:X58)))</f>
        <v/>
      </c>
      <c r="J38" s="405"/>
      <c r="K38" s="416" t="str">
        <f>IF($T$1=2022,"----------",I38)</f>
        <v/>
      </c>
      <c r="L38" s="510" t="s">
        <v>5036</v>
      </c>
      <c r="M38" s="587" t="str">
        <f>IF($T$1=2022,"----------",IF(COUNTBLANK(W51:W53)+COUNTBLANK(W57:W58)=5,"",SUM(AB59)*X59))</f>
        <v/>
      </c>
      <c r="N38" s="408"/>
      <c r="O38" s="319"/>
      <c r="P38" s="410"/>
      <c r="Q38" s="410" t="s">
        <v>5109</v>
      </c>
      <c r="R38" s="393">
        <f t="shared" si="23"/>
        <v>8.64</v>
      </c>
      <c r="S38" s="411"/>
      <c r="T38" s="381"/>
      <c r="U38" s="167"/>
      <c r="V38" s="217"/>
      <c r="W38" s="412"/>
      <c r="X38" s="312"/>
      <c r="AM38" s="277">
        <v>35</v>
      </c>
      <c r="AN38" s="277" t="s">
        <v>4997</v>
      </c>
      <c r="AO38" s="277" t="s">
        <v>4182</v>
      </c>
      <c r="AP38" s="277">
        <f t="shared" si="2"/>
        <v>0</v>
      </c>
      <c r="AQ38" s="277">
        <f t="shared" si="3"/>
        <v>0</v>
      </c>
      <c r="AR38" s="277">
        <f t="shared" si="24"/>
        <v>0</v>
      </c>
    </row>
    <row r="39" spans="3:44" ht="19.350000000000001" customHeight="1">
      <c r="C39" s="400"/>
      <c r="D39" s="418" t="s">
        <v>5113</v>
      </c>
      <c r="E39" s="419"/>
      <c r="F39" s="420"/>
      <c r="G39" s="420"/>
      <c r="H39" s="421"/>
      <c r="I39" s="595"/>
      <c r="J39" s="422" t="str">
        <f>IF(V63="","",SUM(V63))</f>
        <v/>
      </c>
      <c r="K39" s="422" t="str">
        <f>IF(J39="","",-SUM(J39))</f>
        <v/>
      </c>
      <c r="L39" s="511" t="s">
        <v>5036</v>
      </c>
      <c r="M39" s="601" t="str">
        <f>IF(K39="","",$K39*W63)</f>
        <v/>
      </c>
      <c r="N39" s="424" t="str">
        <f>IF(J39="","",-SUM(Y63))</f>
        <v/>
      </c>
      <c r="O39" s="319"/>
      <c r="P39" s="393"/>
      <c r="Q39" s="393"/>
      <c r="R39" s="393"/>
      <c r="S39" s="411"/>
      <c r="T39" s="381"/>
      <c r="U39" s="312"/>
      <c r="V39" s="312"/>
      <c r="W39" s="412"/>
      <c r="X39" s="312"/>
      <c r="AM39" s="277">
        <v>36</v>
      </c>
      <c r="AN39" s="277" t="s">
        <v>4998</v>
      </c>
      <c r="AO39" s="277" t="s">
        <v>4181</v>
      </c>
      <c r="AP39" s="277">
        <f t="shared" si="2"/>
        <v>0</v>
      </c>
      <c r="AQ39" s="277">
        <f t="shared" si="3"/>
        <v>0</v>
      </c>
      <c r="AR39" s="277">
        <f t="shared" si="24"/>
        <v>0</v>
      </c>
    </row>
    <row r="40" spans="3:44" ht="19.350000000000001" customHeight="1" thickBot="1">
      <c r="C40" s="425"/>
      <c r="D40" s="426" t="s">
        <v>5114</v>
      </c>
      <c r="E40" s="427"/>
      <c r="F40" s="427"/>
      <c r="G40" s="427"/>
      <c r="H40" s="428"/>
      <c r="I40" s="596" t="str">
        <f>IF($T$1=2022,"----------",IF(COUNTBLANK(V67:V70)=4,"",V71))</f>
        <v/>
      </c>
      <c r="J40" s="429"/>
      <c r="K40" s="430" t="str">
        <f>IF($T$1=2022,"----------",IF(I40="","",SUM(I40)))</f>
        <v/>
      </c>
      <c r="L40" s="512" t="s">
        <v>5036</v>
      </c>
      <c r="M40" s="589" t="str">
        <f>IF($T$1=2022,"----------",IF(COUNTBLANK(V67:V70)=4,"",K40*3.6))</f>
        <v/>
      </c>
      <c r="N40" s="513"/>
      <c r="O40" s="319"/>
      <c r="P40" s="433"/>
      <c r="Q40" s="433"/>
      <c r="R40" s="433"/>
      <c r="S40" s="433"/>
      <c r="T40" s="381"/>
      <c r="U40" s="684" t="s">
        <v>5099</v>
      </c>
      <c r="V40" s="659" t="s">
        <v>5100</v>
      </c>
      <c r="W40" s="659" t="s">
        <v>5101</v>
      </c>
      <c r="X40" s="659" t="s">
        <v>5134</v>
      </c>
      <c r="Y40" s="913" t="s">
        <v>5102</v>
      </c>
      <c r="Z40" s="913" t="s">
        <v>5103</v>
      </c>
      <c r="AA40" s="913" t="s">
        <v>5104</v>
      </c>
      <c r="AM40" s="277">
        <v>37</v>
      </c>
      <c r="AN40" s="277" t="s">
        <v>5509</v>
      </c>
      <c r="AO40" s="277" t="s">
        <v>4181</v>
      </c>
      <c r="AP40" s="277">
        <f t="shared" si="2"/>
        <v>0</v>
      </c>
      <c r="AQ40" s="277">
        <f t="shared" si="3"/>
        <v>0</v>
      </c>
      <c r="AR40" s="277">
        <f t="shared" ref="AR40" si="25">COUNTIF($AT$4:$AT$10,AN40)</f>
        <v>0</v>
      </c>
    </row>
    <row r="41" spans="3:44" ht="19.350000000000001" customHeight="1" thickTop="1">
      <c r="C41" s="434"/>
      <c r="D41" s="435"/>
      <c r="E41" s="436"/>
      <c r="F41" s="437" t="s">
        <v>5115</v>
      </c>
      <c r="G41" s="438"/>
      <c r="H41" s="439"/>
      <c r="I41" s="597">
        <f>IF($T$1=2022,"----------",SUM(I36,I38,I40))</f>
        <v>0</v>
      </c>
      <c r="J41" s="440"/>
      <c r="K41" s="441">
        <f>IF($T$1=2022,"----------",SUM(K36,K38,K40))</f>
        <v>0</v>
      </c>
      <c r="L41" s="442" t="s">
        <v>5143</v>
      </c>
      <c r="M41" s="602">
        <f>IF($T$1=2022,"----------",IF(K41="","",SUM(M36,M38,M40)))</f>
        <v>0</v>
      </c>
      <c r="N41" s="443"/>
      <c r="O41" s="514">
        <f>IF($T$1=2022,"----------",M41)</f>
        <v>0</v>
      </c>
      <c r="P41" s="444"/>
      <c r="Q41" s="444"/>
      <c r="R41" s="444"/>
      <c r="S41" s="444"/>
      <c r="T41" s="381"/>
      <c r="U41" s="685"/>
      <c r="V41" s="660"/>
      <c r="W41" s="660"/>
      <c r="X41" s="660"/>
      <c r="Y41" s="689"/>
      <c r="Z41" s="689"/>
      <c r="AA41" s="689"/>
      <c r="AM41" s="277">
        <v>38</v>
      </c>
      <c r="AN41" s="277" t="s">
        <v>5001</v>
      </c>
      <c r="AO41" s="277" t="s">
        <v>5002</v>
      </c>
      <c r="AP41" s="277">
        <f t="shared" si="2"/>
        <v>0</v>
      </c>
      <c r="AQ41" s="277">
        <f t="shared" si="3"/>
        <v>0</v>
      </c>
      <c r="AR41" s="277">
        <f t="shared" si="24"/>
        <v>0</v>
      </c>
    </row>
    <row r="42" spans="3:44" ht="19.350000000000001" customHeight="1" thickBot="1">
      <c r="C42" s="771" t="s">
        <v>67</v>
      </c>
      <c r="D42" s="772"/>
      <c r="E42" s="772"/>
      <c r="F42" s="772"/>
      <c r="G42" s="772"/>
      <c r="H42" s="773"/>
      <c r="I42" s="598">
        <f>SUM(I33,I37,I39,I40)</f>
        <v>0</v>
      </c>
      <c r="J42" s="445">
        <f>SUM(J39)</f>
        <v>0</v>
      </c>
      <c r="K42" s="446">
        <f>SUM(K33,K37,K39,K40)</f>
        <v>0</v>
      </c>
      <c r="L42" s="447" t="s">
        <v>5143</v>
      </c>
      <c r="M42" s="603">
        <f>SUM(M33,M37,M39,M40)</f>
        <v>0</v>
      </c>
      <c r="N42" s="448">
        <f>SUM(N33,N37,N39)</f>
        <v>0</v>
      </c>
      <c r="O42" s="319"/>
      <c r="P42"/>
      <c r="Q42"/>
      <c r="R42"/>
      <c r="S42"/>
      <c r="T42" s="381"/>
      <c r="U42" s="219"/>
      <c r="V42" s="449" t="str">
        <f>'計算シート（第１～第３年度）'!Q13</f>
        <v/>
      </c>
      <c r="W42" s="449" t="str">
        <f>'計算シート（第１～第３年度）'!Q14</f>
        <v/>
      </c>
      <c r="X42" s="220"/>
      <c r="Y42" s="174"/>
      <c r="Z42" s="450" t="str">
        <f>IF(OR(U42="",V42=""),"",V42*Y42)</f>
        <v/>
      </c>
      <c r="AA42" s="450" t="str">
        <f>IF(OR(U42="",W42=""),"",W42*Y42)</f>
        <v/>
      </c>
      <c r="AM42" s="277">
        <v>39</v>
      </c>
      <c r="AN42" s="277" t="s">
        <v>5004</v>
      </c>
      <c r="AO42" s="277" t="s">
        <v>4182</v>
      </c>
      <c r="AP42" s="277">
        <f t="shared" si="2"/>
        <v>0</v>
      </c>
      <c r="AQ42" s="277">
        <f t="shared" si="3"/>
        <v>0</v>
      </c>
      <c r="AR42" s="277">
        <f t="shared" si="24"/>
        <v>0</v>
      </c>
    </row>
    <row r="43" spans="3:44" ht="19.350000000000001" customHeight="1">
      <c r="C43" s="451"/>
      <c r="D43" s="451"/>
      <c r="E43" s="451"/>
      <c r="F43" s="451"/>
      <c r="G43" s="451"/>
      <c r="H43" s="451"/>
      <c r="I43" s="451"/>
      <c r="J43" s="451"/>
      <c r="K43" s="451"/>
      <c r="L43" s="451"/>
      <c r="M43" s="451"/>
      <c r="N43" s="451"/>
      <c r="O43" s="319"/>
      <c r="P43"/>
      <c r="Q43"/>
      <c r="R43"/>
      <c r="S43"/>
      <c r="T43" s="381"/>
      <c r="U43" s="172"/>
      <c r="V43" s="450" t="str">
        <f>'計算シート（第１～第３年度）'!Q15</f>
        <v/>
      </c>
      <c r="W43" s="450" t="str">
        <f>'計算シート（第１～第３年度）'!Q16</f>
        <v/>
      </c>
      <c r="X43" s="173"/>
      <c r="Y43" s="174"/>
      <c r="Z43" s="450" t="str">
        <f t="shared" ref="Z43:Z46" si="26">IF(OR(U43="",V43=""),"",V43*Y43)</f>
        <v/>
      </c>
      <c r="AA43" s="450" t="str">
        <f t="shared" ref="AA43:AA46" si="27">IF(OR(U43="",W43=""),"",W43*Y43)</f>
        <v/>
      </c>
      <c r="AM43" s="277">
        <v>40</v>
      </c>
      <c r="AN43" s="277" t="s">
        <v>5005</v>
      </c>
      <c r="AO43" s="277" t="s">
        <v>4182</v>
      </c>
      <c r="AP43" s="277">
        <f t="shared" si="2"/>
        <v>0</v>
      </c>
      <c r="AQ43" s="277">
        <f t="shared" si="3"/>
        <v>0</v>
      </c>
      <c r="AR43" s="277">
        <f t="shared" si="24"/>
        <v>0</v>
      </c>
    </row>
    <row r="44" spans="3:44" ht="19.350000000000001" customHeight="1" thickBot="1">
      <c r="C44" s="339" t="s">
        <v>5087</v>
      </c>
      <c r="H44" s="292"/>
      <c r="I44" s="1"/>
      <c r="J44" s="1"/>
      <c r="K44" s="1"/>
      <c r="L44" s="1"/>
      <c r="M44" s="1"/>
      <c r="N44" s="1"/>
      <c r="O44" s="319"/>
      <c r="P44"/>
      <c r="Q44"/>
      <c r="R44"/>
      <c r="S44"/>
      <c r="T44" s="381"/>
      <c r="U44" s="175"/>
      <c r="V44" s="450" t="str">
        <f>'計算シート（第１～第３年度）'!Q17</f>
        <v/>
      </c>
      <c r="W44" s="450" t="str">
        <f>'計算シート（第１～第３年度）'!Q18</f>
        <v/>
      </c>
      <c r="X44" s="173"/>
      <c r="Y44" s="174"/>
      <c r="Z44" s="450" t="str">
        <f t="shared" si="26"/>
        <v/>
      </c>
      <c r="AA44" s="450" t="str">
        <f t="shared" si="27"/>
        <v/>
      </c>
      <c r="AM44" s="277">
        <v>41</v>
      </c>
      <c r="AN44" s="277" t="s">
        <v>5006</v>
      </c>
      <c r="AO44" s="277" t="s">
        <v>4182</v>
      </c>
      <c r="AP44" s="277">
        <f t="shared" si="2"/>
        <v>0</v>
      </c>
      <c r="AQ44" s="277">
        <f t="shared" si="3"/>
        <v>0</v>
      </c>
      <c r="AR44" s="277">
        <f t="shared" si="24"/>
        <v>0</v>
      </c>
    </row>
    <row r="45" spans="3:44" ht="19.350000000000001" customHeight="1">
      <c r="C45" s="748" t="s">
        <v>5121</v>
      </c>
      <c r="D45" s="749"/>
      <c r="E45" s="749"/>
      <c r="F45" s="758"/>
      <c r="G45" s="754" t="s">
        <v>5084</v>
      </c>
      <c r="H45" s="755"/>
      <c r="I45" s="1"/>
      <c r="J45" s="1"/>
      <c r="K45" s="1"/>
      <c r="L45" s="1"/>
      <c r="M45" s="1"/>
      <c r="N45" s="1"/>
      <c r="O45" s="319"/>
      <c r="P45"/>
      <c r="Q45"/>
      <c r="R45"/>
      <c r="S45"/>
      <c r="T45" s="381"/>
      <c r="U45" s="175"/>
      <c r="V45" s="450" t="str">
        <f>'計算シート（第１～第３年度）'!Q19</f>
        <v/>
      </c>
      <c r="W45" s="450" t="str">
        <f>'計算シート（第１～第３年度）'!Q20</f>
        <v/>
      </c>
      <c r="X45" s="173"/>
      <c r="Y45" s="174"/>
      <c r="Z45" s="450" t="str">
        <f t="shared" si="26"/>
        <v/>
      </c>
      <c r="AA45" s="450" t="str">
        <f t="shared" si="27"/>
        <v/>
      </c>
      <c r="AM45" s="277">
        <v>42</v>
      </c>
      <c r="AN45" s="277" t="s">
        <v>5007</v>
      </c>
      <c r="AO45" s="277" t="s">
        <v>4182</v>
      </c>
      <c r="AP45" s="277">
        <f t="shared" si="2"/>
        <v>0</v>
      </c>
      <c r="AQ45" s="277">
        <f t="shared" si="3"/>
        <v>0</v>
      </c>
      <c r="AR45" s="277">
        <f t="shared" si="24"/>
        <v>0</v>
      </c>
    </row>
    <row r="46" spans="3:44" ht="19.350000000000001" customHeight="1" thickBot="1">
      <c r="C46" s="776"/>
      <c r="D46" s="777"/>
      <c r="E46" s="777"/>
      <c r="F46" s="778"/>
      <c r="G46" s="774"/>
      <c r="H46" s="775"/>
      <c r="N46" s="1"/>
      <c r="O46" s="319"/>
      <c r="P46"/>
      <c r="Q46"/>
      <c r="R46"/>
      <c r="S46"/>
      <c r="T46" s="1"/>
      <c r="U46" s="177"/>
      <c r="V46" s="450" t="str">
        <f>'計算シート（第１～第３年度）'!Q21</f>
        <v/>
      </c>
      <c r="W46" s="450" t="str">
        <f>'計算シート（第１～第３年度）'!Q22</f>
        <v/>
      </c>
      <c r="X46" s="173"/>
      <c r="Y46" s="174"/>
      <c r="Z46" s="450" t="str">
        <f t="shared" si="26"/>
        <v/>
      </c>
      <c r="AA46" s="450" t="str">
        <f t="shared" si="27"/>
        <v/>
      </c>
      <c r="AM46" s="277">
        <v>43</v>
      </c>
      <c r="AN46" s="277" t="s">
        <v>5008</v>
      </c>
      <c r="AO46" s="277" t="s">
        <v>4182</v>
      </c>
      <c r="AP46" s="277">
        <f t="shared" si="2"/>
        <v>0</v>
      </c>
      <c r="AQ46" s="277">
        <f t="shared" si="3"/>
        <v>0</v>
      </c>
      <c r="AR46" s="277">
        <f t="shared" si="24"/>
        <v>0</v>
      </c>
    </row>
    <row r="47" spans="3:44" ht="19.350000000000001" customHeight="1" thickTop="1">
      <c r="C47" s="454" t="s">
        <v>5122</v>
      </c>
      <c r="D47" s="454"/>
      <c r="E47" s="302"/>
      <c r="F47" s="302"/>
      <c r="G47" s="767"/>
      <c r="H47" s="768"/>
      <c r="N47" s="1"/>
      <c r="O47" s="319"/>
      <c r="P47"/>
      <c r="Q47"/>
      <c r="R47"/>
      <c r="S47"/>
      <c r="T47" s="1"/>
      <c r="U47" s="515" t="s">
        <v>106</v>
      </c>
      <c r="V47" s="516" t="str">
        <f>IF(COUNTBLANK(V42:V46)=5,"",SUM(V42:V46))</f>
        <v/>
      </c>
      <c r="W47" s="516" t="str">
        <f>IF(COUNTBLANK(W42:W46)=5,"",SUM(W42:W46))</f>
        <v/>
      </c>
      <c r="X47" s="517">
        <f>IF(SUM(V47,W47)=0,0,SUM(SUMPRODUCT(V42:V46,X42:X46),SUMPRODUCT(W42:W46,X42:X46))/SUM(V47,W47))</f>
        <v>0</v>
      </c>
      <c r="Y47" s="518"/>
      <c r="Z47" s="460">
        <f>SUM(Z42:Z46)</f>
        <v>0</v>
      </c>
      <c r="AA47" s="460">
        <f>SUM(AA42:AA46)</f>
        <v>0</v>
      </c>
      <c r="AM47" s="277">
        <v>44</v>
      </c>
      <c r="AN47" s="277" t="s">
        <v>5011</v>
      </c>
      <c r="AO47" s="277" t="s">
        <v>4182</v>
      </c>
      <c r="AP47" s="277">
        <f t="shared" si="2"/>
        <v>0</v>
      </c>
      <c r="AQ47" s="277">
        <f t="shared" si="3"/>
        <v>0</v>
      </c>
      <c r="AR47" s="277">
        <f t="shared" si="24"/>
        <v>0</v>
      </c>
    </row>
    <row r="48" spans="3:44" ht="19.350000000000001" customHeight="1">
      <c r="C48" s="454" t="s">
        <v>5123</v>
      </c>
      <c r="D48" s="454"/>
      <c r="E48" s="302"/>
      <c r="F48" s="302"/>
      <c r="G48" s="710"/>
      <c r="H48" s="711"/>
      <c r="O48" s="319"/>
      <c r="P48"/>
      <c r="Q48"/>
      <c r="R48"/>
      <c r="S48"/>
      <c r="T48" s="1"/>
      <c r="U48" s="519"/>
      <c r="V48" s="520"/>
      <c r="W48" s="520"/>
      <c r="X48" s="521"/>
      <c r="Y48" s="520"/>
      <c r="Z48" s="522"/>
      <c r="AA48" s="522"/>
      <c r="AM48" s="277">
        <v>45</v>
      </c>
      <c r="AN48" s="277" t="s">
        <v>5013</v>
      </c>
      <c r="AO48" s="277" t="s">
        <v>4181</v>
      </c>
      <c r="AP48" s="277">
        <f t="shared" si="2"/>
        <v>0</v>
      </c>
      <c r="AQ48" s="277">
        <f t="shared" si="3"/>
        <v>0</v>
      </c>
      <c r="AR48" s="277">
        <f t="shared" si="24"/>
        <v>0</v>
      </c>
    </row>
    <row r="49" spans="3:44" ht="19.350000000000001" customHeight="1">
      <c r="C49" s="454" t="s">
        <v>5124</v>
      </c>
      <c r="D49" s="454"/>
      <c r="E49" s="302"/>
      <c r="F49" s="302"/>
      <c r="G49" s="710"/>
      <c r="H49" s="711"/>
      <c r="N49" s="1"/>
      <c r="O49" s="319"/>
      <c r="P49"/>
      <c r="Q49"/>
      <c r="R49"/>
      <c r="S49"/>
      <c r="T49" s="1"/>
      <c r="U49" s="678" t="s">
        <v>5116</v>
      </c>
      <c r="V49" s="679"/>
      <c r="W49" s="659" t="s">
        <v>3096</v>
      </c>
      <c r="X49" s="659" t="s">
        <v>5134</v>
      </c>
      <c r="Y49" s="659" t="s">
        <v>5155</v>
      </c>
      <c r="Z49" s="659" t="s">
        <v>5158</v>
      </c>
      <c r="AA49" s="659" t="s">
        <v>3094</v>
      </c>
      <c r="AB49" s="690" t="s">
        <v>5117</v>
      </c>
      <c r="AM49" s="277">
        <v>46</v>
      </c>
      <c r="AN49" s="277" t="s">
        <v>5014</v>
      </c>
      <c r="AO49" s="277" t="s">
        <v>5002</v>
      </c>
      <c r="AP49" s="277">
        <f t="shared" si="2"/>
        <v>0</v>
      </c>
      <c r="AQ49" s="277">
        <f t="shared" si="3"/>
        <v>0</v>
      </c>
      <c r="AR49" s="277">
        <f t="shared" si="24"/>
        <v>0</v>
      </c>
    </row>
    <row r="50" spans="3:44" ht="19.350000000000001" customHeight="1">
      <c r="C50" s="454" t="s">
        <v>123</v>
      </c>
      <c r="D50" s="454"/>
      <c r="E50" s="302"/>
      <c r="F50" s="302"/>
      <c r="G50" s="710"/>
      <c r="H50" s="711"/>
      <c r="N50" s="1"/>
      <c r="O50" s="319"/>
      <c r="P50"/>
      <c r="Q50"/>
      <c r="R50"/>
      <c r="S50"/>
      <c r="T50" s="1"/>
      <c r="U50" s="680"/>
      <c r="V50" s="681"/>
      <c r="W50" s="660"/>
      <c r="X50" s="660"/>
      <c r="Y50" s="660"/>
      <c r="Z50" s="660"/>
      <c r="AA50" s="660"/>
      <c r="AB50" s="691"/>
      <c r="AM50" s="277">
        <v>47</v>
      </c>
      <c r="AN50" s="277" t="s">
        <v>5015</v>
      </c>
      <c r="AO50" s="277" t="s">
        <v>4182</v>
      </c>
      <c r="AP50" s="277">
        <f t="shared" si="2"/>
        <v>0</v>
      </c>
      <c r="AQ50" s="277">
        <f t="shared" si="3"/>
        <v>0</v>
      </c>
      <c r="AR50" s="277">
        <f t="shared" si="24"/>
        <v>0</v>
      </c>
    </row>
    <row r="51" spans="3:44" ht="19.350000000000001" customHeight="1">
      <c r="C51" s="454" t="s">
        <v>124</v>
      </c>
      <c r="D51" s="454"/>
      <c r="E51" s="302"/>
      <c r="F51" s="302"/>
      <c r="G51" s="710"/>
      <c r="H51" s="711"/>
      <c r="N51" s="1"/>
      <c r="O51" s="319"/>
      <c r="P51"/>
      <c r="Q51"/>
      <c r="R51"/>
      <c r="S51"/>
      <c r="T51" s="1"/>
      <c r="U51" s="465" t="s">
        <v>5118</v>
      </c>
      <c r="V51" s="466"/>
      <c r="W51" s="224"/>
      <c r="X51" s="467">
        <v>1</v>
      </c>
      <c r="Y51" s="468"/>
      <c r="Z51" s="453" t="str">
        <f>IF(W51="","",W51*Y51)</f>
        <v/>
      </c>
      <c r="AA51" s="469">
        <v>3.6</v>
      </c>
      <c r="AB51" s="449" t="str">
        <f>IF(W51="","",W51*AA51)</f>
        <v/>
      </c>
      <c r="AM51" s="277">
        <v>48</v>
      </c>
      <c r="AN51" s="277" t="s">
        <v>5016</v>
      </c>
      <c r="AO51" s="277" t="s">
        <v>4182</v>
      </c>
      <c r="AP51" s="277">
        <f t="shared" si="2"/>
        <v>0</v>
      </c>
      <c r="AQ51" s="277">
        <f t="shared" si="3"/>
        <v>0</v>
      </c>
      <c r="AR51" s="277">
        <f t="shared" si="24"/>
        <v>0</v>
      </c>
    </row>
    <row r="52" spans="3:44" ht="19.350000000000001" customHeight="1">
      <c r="C52" s="454" t="s">
        <v>5125</v>
      </c>
      <c r="D52" s="454"/>
      <c r="E52" s="302"/>
      <c r="F52" s="302"/>
      <c r="G52" s="710"/>
      <c r="H52" s="711"/>
      <c r="N52" s="1"/>
      <c r="O52" s="319"/>
      <c r="P52"/>
      <c r="Q52"/>
      <c r="R52"/>
      <c r="S52"/>
      <c r="T52" s="1"/>
      <c r="U52" s="692" t="s">
        <v>5119</v>
      </c>
      <c r="V52" s="693"/>
      <c r="W52" s="224"/>
      <c r="X52" s="467">
        <v>1</v>
      </c>
      <c r="Y52" s="468"/>
      <c r="Z52" s="453" t="str">
        <f>IF(W52="","",W52*Y52)</f>
        <v/>
      </c>
      <c r="AA52" s="469">
        <v>3.6</v>
      </c>
      <c r="AB52" s="449" t="str">
        <f t="shared" ref="AB52:AB53" si="28">IF(W52="","",W52*AA52)</f>
        <v/>
      </c>
      <c r="AM52" s="277">
        <v>49</v>
      </c>
      <c r="AN52" s="277" t="s">
        <v>5017</v>
      </c>
      <c r="AO52" s="277" t="s">
        <v>4182</v>
      </c>
      <c r="AP52" s="277">
        <f t="shared" si="2"/>
        <v>0</v>
      </c>
      <c r="AQ52" s="277">
        <f t="shared" si="3"/>
        <v>0</v>
      </c>
      <c r="AR52" s="277">
        <f t="shared" si="24"/>
        <v>0</v>
      </c>
    </row>
    <row r="53" spans="3:44" ht="19.350000000000001" customHeight="1" thickBot="1">
      <c r="C53" s="470" t="s">
        <v>5126</v>
      </c>
      <c r="D53" s="470"/>
      <c r="E53" s="471"/>
      <c r="F53" s="471"/>
      <c r="G53" s="717"/>
      <c r="H53" s="718"/>
      <c r="N53" s="1"/>
      <c r="O53" s="319"/>
      <c r="P53"/>
      <c r="Q53"/>
      <c r="R53"/>
      <c r="S53"/>
      <c r="T53" s="1"/>
      <c r="U53" s="472" t="s">
        <v>5120</v>
      </c>
      <c r="V53" s="466"/>
      <c r="W53" s="225"/>
      <c r="X53" s="220"/>
      <c r="Y53" s="217"/>
      <c r="Z53" s="453" t="str">
        <f>IF(W53="","",W53*Y53)</f>
        <v/>
      </c>
      <c r="AA53" s="469">
        <v>8.64</v>
      </c>
      <c r="AB53" s="449" t="str">
        <f t="shared" si="28"/>
        <v/>
      </c>
      <c r="AM53" s="277">
        <v>50</v>
      </c>
      <c r="AN53" s="277" t="s">
        <v>5130</v>
      </c>
      <c r="AO53" s="277" t="s">
        <v>115</v>
      </c>
      <c r="AP53" s="277">
        <f t="shared" si="2"/>
        <v>0</v>
      </c>
      <c r="AQ53" s="277">
        <f t="shared" si="3"/>
        <v>0</v>
      </c>
      <c r="AR53" s="277">
        <f t="shared" si="24"/>
        <v>0</v>
      </c>
    </row>
    <row r="54" spans="3:44" ht="19.350000000000001" customHeight="1" thickTop="1" thickBot="1">
      <c r="C54" s="714" t="s">
        <v>126</v>
      </c>
      <c r="D54" s="715"/>
      <c r="E54" s="715"/>
      <c r="F54" s="716"/>
      <c r="G54" s="769" t="str">
        <f t="shared" ref="G54" si="29">IF(COUNTBLANK(G47:G53)=7,"",SUM(G47:G53))</f>
        <v/>
      </c>
      <c r="H54" s="770"/>
      <c r="I54" s="1"/>
      <c r="J54" s="1"/>
      <c r="K54" s="1"/>
      <c r="L54" s="1"/>
      <c r="M54" s="1"/>
      <c r="N54" s="1"/>
      <c r="O54" s="319"/>
      <c r="P54"/>
      <c r="Q54"/>
      <c r="R54"/>
      <c r="S54"/>
      <c r="T54" s="381"/>
      <c r="U54" s="473"/>
      <c r="V54" s="474"/>
      <c r="W54" s="475"/>
      <c r="X54" s="476"/>
      <c r="Y54" s="477"/>
      <c r="Z54" s="475"/>
      <c r="AA54" s="475"/>
      <c r="AB54" s="478"/>
      <c r="AC54" s="381"/>
      <c r="AM54" s="277">
        <v>51</v>
      </c>
      <c r="AN54" s="277" t="s">
        <v>5024</v>
      </c>
      <c r="AO54" s="277" t="s">
        <v>115</v>
      </c>
      <c r="AP54" s="277">
        <f t="shared" si="2"/>
        <v>0</v>
      </c>
      <c r="AQ54" s="277">
        <f t="shared" si="3"/>
        <v>0</v>
      </c>
      <c r="AR54" s="277">
        <f t="shared" si="24"/>
        <v>0</v>
      </c>
    </row>
    <row r="55" spans="3:44" ht="19.350000000000001" customHeight="1">
      <c r="I55" s="1"/>
      <c r="J55" s="1"/>
      <c r="K55" s="1"/>
      <c r="L55" s="1"/>
      <c r="M55" s="1"/>
      <c r="N55" s="1"/>
      <c r="O55" s="319"/>
      <c r="P55"/>
      <c r="Q55"/>
      <c r="R55"/>
      <c r="S55"/>
      <c r="T55" s="381"/>
      <c r="U55" s="479"/>
      <c r="V55" s="694" t="s">
        <v>73</v>
      </c>
      <c r="W55" s="659" t="s">
        <v>3096</v>
      </c>
      <c r="X55" s="659" t="s">
        <v>5134</v>
      </c>
      <c r="Y55" s="659" t="s">
        <v>5155</v>
      </c>
      <c r="Z55" s="659" t="s">
        <v>5158</v>
      </c>
      <c r="AA55" s="659" t="s">
        <v>3094</v>
      </c>
      <c r="AB55" s="690" t="s">
        <v>5117</v>
      </c>
      <c r="AM55" s="277">
        <v>52</v>
      </c>
      <c r="AN55" s="277" t="s">
        <v>5025</v>
      </c>
      <c r="AO55" s="277" t="s">
        <v>115</v>
      </c>
      <c r="AP55" s="277">
        <f t="shared" si="2"/>
        <v>0</v>
      </c>
      <c r="AQ55" s="277">
        <f t="shared" si="3"/>
        <v>0</v>
      </c>
      <c r="AR55" s="277">
        <f t="shared" si="24"/>
        <v>0</v>
      </c>
    </row>
    <row r="56" spans="3:44" ht="19.350000000000001" customHeight="1" thickBot="1">
      <c r="C56" s="339" t="s">
        <v>127</v>
      </c>
      <c r="D56" s="339"/>
      <c r="E56" s="381"/>
      <c r="F56" s="381"/>
      <c r="G56" s="381"/>
      <c r="H56" s="381"/>
      <c r="I56" s="381"/>
      <c r="J56" s="381"/>
      <c r="K56" s="381"/>
      <c r="L56" s="381"/>
      <c r="M56" s="381"/>
      <c r="N56" s="381"/>
      <c r="O56" s="319"/>
      <c r="P56"/>
      <c r="Q56"/>
      <c r="R56"/>
      <c r="S56"/>
      <c r="T56" s="381"/>
      <c r="U56" s="479" t="s">
        <v>111</v>
      </c>
      <c r="V56" s="695"/>
      <c r="W56" s="660"/>
      <c r="X56" s="660"/>
      <c r="Y56" s="660"/>
      <c r="Z56" s="660"/>
      <c r="AA56" s="660"/>
      <c r="AB56" s="691"/>
      <c r="AM56" s="277">
        <v>53</v>
      </c>
      <c r="AN56" s="277" t="s">
        <v>5026</v>
      </c>
      <c r="AO56" s="277" t="s">
        <v>116</v>
      </c>
      <c r="AP56" s="277">
        <f t="shared" si="2"/>
        <v>0</v>
      </c>
      <c r="AQ56" s="277">
        <f t="shared" si="3"/>
        <v>0</v>
      </c>
      <c r="AR56" s="277">
        <f t="shared" si="24"/>
        <v>0</v>
      </c>
    </row>
    <row r="57" spans="3:44" ht="19.350000000000001" customHeight="1">
      <c r="C57" s="748" t="s">
        <v>5131</v>
      </c>
      <c r="D57" s="749"/>
      <c r="E57" s="749"/>
      <c r="F57" s="758"/>
      <c r="G57" s="754" t="s">
        <v>5084</v>
      </c>
      <c r="H57" s="755"/>
      <c r="I57" s="381"/>
      <c r="J57" s="381"/>
      <c r="K57" s="381"/>
      <c r="L57" s="381"/>
      <c r="M57" s="381"/>
      <c r="N57" s="381"/>
      <c r="O57" s="319"/>
      <c r="P57"/>
      <c r="Q57"/>
      <c r="R57"/>
      <c r="S57"/>
      <c r="T57" s="381"/>
      <c r="U57" s="480"/>
      <c r="V57" s="225"/>
      <c r="W57" s="225"/>
      <c r="X57" s="220"/>
      <c r="Y57" s="221"/>
      <c r="Z57" s="449" t="str">
        <f t="shared" ref="Z57:Z58" si="30">IF(W57="","",W57*Y57)</f>
        <v/>
      </c>
      <c r="AA57" s="469">
        <v>8.64</v>
      </c>
      <c r="AB57" s="481">
        <f>W57*AA57</f>
        <v>0</v>
      </c>
      <c r="AC57" s="1"/>
      <c r="AM57" s="277">
        <v>54</v>
      </c>
      <c r="AN57" s="277" t="s">
        <v>5029</v>
      </c>
      <c r="AO57" s="277" t="s">
        <v>116</v>
      </c>
      <c r="AP57" s="277">
        <f t="shared" si="2"/>
        <v>0</v>
      </c>
      <c r="AQ57" s="277">
        <f t="shared" si="3"/>
        <v>0</v>
      </c>
      <c r="AR57" s="277">
        <f t="shared" si="24"/>
        <v>0</v>
      </c>
    </row>
    <row r="58" spans="3:44" ht="19.350000000000001" customHeight="1" thickBot="1">
      <c r="C58" s="759"/>
      <c r="D58" s="760"/>
      <c r="E58" s="760"/>
      <c r="F58" s="761"/>
      <c r="G58" s="756"/>
      <c r="H58" s="757"/>
      <c r="I58" s="381"/>
      <c r="J58" s="381"/>
      <c r="K58" s="381"/>
      <c r="L58" s="381"/>
      <c r="M58" s="381"/>
      <c r="N58" s="381"/>
      <c r="O58" s="319"/>
      <c r="P58"/>
      <c r="Q58"/>
      <c r="R58"/>
      <c r="S58"/>
      <c r="T58" s="381"/>
      <c r="U58" s="482"/>
      <c r="V58" s="225"/>
      <c r="W58" s="225"/>
      <c r="X58" s="220"/>
      <c r="Y58" s="221"/>
      <c r="Z58" s="449" t="str">
        <f t="shared" si="30"/>
        <v/>
      </c>
      <c r="AA58" s="469">
        <v>8.64</v>
      </c>
      <c r="AB58" s="483">
        <f t="shared" ref="AB58" si="31">W58*AA58</f>
        <v>0</v>
      </c>
      <c r="AM58" s="277">
        <v>55</v>
      </c>
      <c r="AN58" s="277" t="s">
        <v>5030</v>
      </c>
      <c r="AO58" s="277" t="s">
        <v>116</v>
      </c>
      <c r="AP58" s="277">
        <f t="shared" si="2"/>
        <v>0</v>
      </c>
      <c r="AQ58" s="277">
        <f t="shared" si="3"/>
        <v>0</v>
      </c>
      <c r="AR58" s="277">
        <f t="shared" si="24"/>
        <v>0</v>
      </c>
    </row>
    <row r="59" spans="3:44" ht="19.350000000000001" customHeight="1" thickTop="1">
      <c r="C59" s="764"/>
      <c r="D59" s="765"/>
      <c r="E59" s="765"/>
      <c r="F59" s="766"/>
      <c r="G59" s="762"/>
      <c r="H59" s="763"/>
      <c r="I59" s="381"/>
      <c r="J59" s="381"/>
      <c r="K59" s="381"/>
      <c r="L59" s="381"/>
      <c r="M59" s="381"/>
      <c r="N59" s="381"/>
      <c r="O59" s="319"/>
      <c r="P59"/>
      <c r="Q59"/>
      <c r="R59"/>
      <c r="S59"/>
      <c r="T59" s="1"/>
      <c r="U59" s="455" t="s">
        <v>106</v>
      </c>
      <c r="V59" s="458"/>
      <c r="W59" s="456">
        <f>SUM(W51:W53,W57:W58)</f>
        <v>0</v>
      </c>
      <c r="X59" s="457">
        <f>IF(W59=0,0,(SUMPRODUCT(W57:W58,X57:X58)+SUMPRODUCT(X51:X53,W51:W53))/W59)</f>
        <v>0</v>
      </c>
      <c r="Y59" s="458"/>
      <c r="Z59" s="456">
        <f>SUM(Z51:Z53,Z57:Z58)</f>
        <v>0</v>
      </c>
      <c r="AA59" s="458"/>
      <c r="AB59" s="456">
        <f>SUM(AB51:AB53,AB57:AB58)</f>
        <v>0</v>
      </c>
      <c r="AM59" s="277">
        <v>56</v>
      </c>
      <c r="AN59" s="277" t="s">
        <v>5031</v>
      </c>
      <c r="AO59" s="277" t="s">
        <v>116</v>
      </c>
      <c r="AP59" s="277">
        <f t="shared" si="2"/>
        <v>0</v>
      </c>
      <c r="AQ59" s="277">
        <f t="shared" si="3"/>
        <v>0</v>
      </c>
      <c r="AR59" s="277">
        <f t="shared" si="24"/>
        <v>0</v>
      </c>
    </row>
    <row r="60" spans="3:44" ht="19.350000000000001" customHeight="1">
      <c r="C60" s="707"/>
      <c r="D60" s="708"/>
      <c r="E60" s="708"/>
      <c r="F60" s="709"/>
      <c r="G60" s="710"/>
      <c r="H60" s="711"/>
      <c r="I60" s="381"/>
      <c r="J60" s="381"/>
      <c r="K60" s="381"/>
      <c r="L60" s="381"/>
      <c r="M60" s="381"/>
      <c r="N60" s="381"/>
      <c r="O60" s="319"/>
      <c r="P60"/>
      <c r="Q60"/>
      <c r="R60"/>
      <c r="S60"/>
      <c r="T60" s="1"/>
      <c r="U60" s="377"/>
      <c r="V60" s="377"/>
      <c r="W60" s="377"/>
      <c r="X60" s="377"/>
      <c r="Y60" s="484"/>
      <c r="Z60" s="312"/>
      <c r="AA60" s="312"/>
      <c r="AB60" s="312"/>
      <c r="AM60" s="277">
        <v>57</v>
      </c>
      <c r="AN60" s="277" t="s">
        <v>5032</v>
      </c>
      <c r="AO60" s="277" t="s">
        <v>116</v>
      </c>
      <c r="AP60" s="277">
        <f t="shared" si="2"/>
        <v>0</v>
      </c>
      <c r="AQ60" s="277">
        <f t="shared" si="3"/>
        <v>0</v>
      </c>
      <c r="AR60" s="277">
        <f t="shared" si="24"/>
        <v>0</v>
      </c>
    </row>
    <row r="61" spans="3:44" ht="19.350000000000001" customHeight="1">
      <c r="C61" s="707"/>
      <c r="D61" s="708"/>
      <c r="E61" s="708"/>
      <c r="F61" s="709"/>
      <c r="G61" s="710"/>
      <c r="H61" s="711"/>
      <c r="I61" s="381"/>
      <c r="J61" s="381"/>
      <c r="K61" s="381"/>
      <c r="L61" s="381"/>
      <c r="M61" s="381"/>
      <c r="N61" s="381"/>
      <c r="O61" s="319"/>
      <c r="P61"/>
      <c r="Q61"/>
      <c r="R61"/>
      <c r="S61"/>
      <c r="T61" s="1"/>
      <c r="U61" s="686"/>
      <c r="V61" s="659" t="s">
        <v>3095</v>
      </c>
      <c r="W61" s="659" t="s">
        <v>3094</v>
      </c>
      <c r="X61" s="659" t="s">
        <v>5155</v>
      </c>
      <c r="Y61" s="659" t="s">
        <v>5159</v>
      </c>
      <c r="Z61" s="312"/>
      <c r="AA61" s="312"/>
      <c r="AB61" s="312"/>
      <c r="AD61" s="381"/>
    </row>
    <row r="62" spans="3:44" ht="19.350000000000001" customHeight="1">
      <c r="C62" s="707"/>
      <c r="D62" s="708"/>
      <c r="E62" s="708"/>
      <c r="F62" s="709"/>
      <c r="G62" s="710"/>
      <c r="H62" s="711"/>
      <c r="I62" s="381"/>
      <c r="J62" s="381"/>
      <c r="K62" s="381"/>
      <c r="L62" s="381"/>
      <c r="M62" s="381"/>
      <c r="N62" s="381"/>
      <c r="O62" s="319"/>
      <c r="P62"/>
      <c r="Q62"/>
      <c r="R62"/>
      <c r="S62"/>
      <c r="T62" s="1"/>
      <c r="U62" s="687"/>
      <c r="V62" s="660"/>
      <c r="W62" s="660"/>
      <c r="X62" s="660"/>
      <c r="Y62" s="660"/>
      <c r="Z62" s="312"/>
      <c r="AA62" s="312"/>
      <c r="AB62" s="312"/>
      <c r="AD62" s="381"/>
    </row>
    <row r="63" spans="3:44" ht="19.350000000000001" customHeight="1">
      <c r="C63" s="707"/>
      <c r="D63" s="708"/>
      <c r="E63" s="708"/>
      <c r="F63" s="709"/>
      <c r="G63" s="710"/>
      <c r="H63" s="711"/>
      <c r="I63" s="381"/>
      <c r="J63" s="381"/>
      <c r="K63" s="381"/>
      <c r="L63" s="381"/>
      <c r="M63" s="381"/>
      <c r="N63" s="381"/>
      <c r="O63" s="381"/>
      <c r="P63"/>
      <c r="Q63"/>
      <c r="R63"/>
      <c r="S63"/>
      <c r="T63" s="1"/>
      <c r="U63" s="485" t="s">
        <v>5127</v>
      </c>
      <c r="V63" s="224"/>
      <c r="W63" s="217"/>
      <c r="X63" s="218"/>
      <c r="Y63" s="449" t="str">
        <f>IF(V63="","",V63*X63)</f>
        <v/>
      </c>
      <c r="Z63" s="312"/>
      <c r="AA63" s="312"/>
      <c r="AB63" s="312"/>
      <c r="AD63" s="381"/>
    </row>
    <row r="64" spans="3:44" ht="19.350000000000001" customHeight="1">
      <c r="C64" s="707"/>
      <c r="D64" s="708"/>
      <c r="E64" s="708"/>
      <c r="F64" s="709"/>
      <c r="G64" s="710"/>
      <c r="H64" s="711"/>
      <c r="I64" s="381"/>
      <c r="J64" s="381"/>
      <c r="K64" s="381"/>
      <c r="L64" s="381"/>
      <c r="M64" s="381"/>
      <c r="N64" s="381"/>
      <c r="O64" s="381"/>
      <c r="P64"/>
      <c r="Q64"/>
      <c r="R64"/>
      <c r="S64"/>
      <c r="T64" s="1"/>
      <c r="U64" s="377"/>
      <c r="V64" s="377"/>
      <c r="W64" s="377"/>
      <c r="X64" s="377"/>
      <c r="Y64" s="484"/>
      <c r="Z64" s="312"/>
      <c r="AA64" s="312"/>
      <c r="AB64" s="484"/>
      <c r="AD64" s="381"/>
    </row>
    <row r="65" spans="3:43" ht="19.350000000000001" customHeight="1" thickBot="1">
      <c r="C65" s="719"/>
      <c r="D65" s="720"/>
      <c r="E65" s="720"/>
      <c r="F65" s="721"/>
      <c r="G65" s="717"/>
      <c r="H65" s="718"/>
      <c r="I65" s="381"/>
      <c r="J65" s="381"/>
      <c r="K65" s="381"/>
      <c r="L65" s="381"/>
      <c r="M65" s="381"/>
      <c r="N65" s="381"/>
      <c r="O65" s="381"/>
      <c r="P65"/>
      <c r="Q65"/>
      <c r="R65"/>
      <c r="S65"/>
      <c r="T65" s="1"/>
      <c r="U65" s="686" t="s">
        <v>5128</v>
      </c>
      <c r="V65" s="918" t="s">
        <v>5129</v>
      </c>
      <c r="W65" s="659" t="s">
        <v>3094</v>
      </c>
      <c r="X65" s="312"/>
      <c r="Y65" s="484"/>
      <c r="Z65" s="312"/>
      <c r="AA65" s="312"/>
      <c r="AB65" s="312"/>
      <c r="AD65" s="381"/>
    </row>
    <row r="66" spans="3:43" ht="19.350000000000001" customHeight="1" thickTop="1" thickBot="1">
      <c r="C66" s="714" t="s">
        <v>126</v>
      </c>
      <c r="D66" s="715"/>
      <c r="E66" s="715"/>
      <c r="F66" s="716"/>
      <c r="G66" s="712" t="str">
        <f t="shared" ref="G66" si="32">IF(COUNTBLANK(G59:G65)=7,"",SUM(G59:G65))</f>
        <v/>
      </c>
      <c r="H66" s="713"/>
      <c r="I66" s="381"/>
      <c r="J66" s="381"/>
      <c r="K66" s="381"/>
      <c r="L66" s="381"/>
      <c r="M66" s="381"/>
      <c r="N66" s="381"/>
      <c r="O66" s="381"/>
      <c r="P66"/>
      <c r="Q66"/>
      <c r="R66"/>
      <c r="S66"/>
      <c r="T66" s="1"/>
      <c r="U66" s="687"/>
      <c r="V66" s="660"/>
      <c r="W66" s="660"/>
      <c r="X66" s="312"/>
      <c r="Y66" s="312"/>
      <c r="Z66" s="312"/>
      <c r="AA66" s="312"/>
      <c r="AB66" s="312"/>
      <c r="AD66" s="381"/>
    </row>
    <row r="67" spans="3:43" ht="19.350000000000001" customHeight="1">
      <c r="C67" s="381"/>
      <c r="D67" s="381"/>
      <c r="E67" s="381"/>
      <c r="F67" s="381"/>
      <c r="G67" s="381"/>
      <c r="H67" s="381"/>
      <c r="I67" s="381"/>
      <c r="J67" s="381"/>
      <c r="K67" s="381"/>
      <c r="L67" s="381"/>
      <c r="M67" s="381"/>
      <c r="N67" s="381"/>
      <c r="O67" s="381"/>
      <c r="P67"/>
      <c r="Q67"/>
      <c r="R67"/>
      <c r="S67"/>
      <c r="T67" s="1"/>
      <c r="U67" s="486" t="s">
        <v>5064</v>
      </c>
      <c r="V67" s="224"/>
      <c r="W67" s="487">
        <v>3.6</v>
      </c>
      <c r="X67" s="312"/>
      <c r="Y67" s="312"/>
      <c r="Z67" s="312"/>
      <c r="AA67" s="312"/>
      <c r="AB67" s="312"/>
      <c r="AD67" s="381"/>
    </row>
    <row r="68" spans="3:43" ht="19.350000000000001" customHeight="1" thickBot="1">
      <c r="C68" s="339" t="s">
        <v>129</v>
      </c>
      <c r="D68" s="339"/>
      <c r="E68" s="381"/>
      <c r="F68" s="381"/>
      <c r="G68" s="381"/>
      <c r="H68" s="381"/>
      <c r="I68" s="381"/>
      <c r="J68" s="381"/>
      <c r="K68" s="381"/>
      <c r="L68" s="381"/>
      <c r="M68" s="381"/>
      <c r="N68" s="381"/>
      <c r="O68" s="381"/>
      <c r="P68"/>
      <c r="Q68"/>
      <c r="R68"/>
      <c r="S68"/>
      <c r="T68" s="1"/>
      <c r="U68" s="486" t="s">
        <v>5069</v>
      </c>
      <c r="V68" s="224"/>
      <c r="W68" s="487">
        <v>3.6</v>
      </c>
      <c r="X68" s="312"/>
      <c r="Y68" s="312"/>
      <c r="Z68" s="312"/>
      <c r="AA68" s="312"/>
      <c r="AB68" s="312"/>
      <c r="AD68" s="381"/>
    </row>
    <row r="69" spans="3:43" ht="19.350000000000001" customHeight="1">
      <c r="C69" s="748" t="s">
        <v>128</v>
      </c>
      <c r="D69" s="749"/>
      <c r="E69" s="749"/>
      <c r="F69" s="749"/>
      <c r="G69" s="749"/>
      <c r="H69" s="750"/>
      <c r="I69" s="381"/>
      <c r="J69" s="381"/>
      <c r="K69" s="381"/>
      <c r="L69" s="381"/>
      <c r="M69" s="381"/>
      <c r="N69" s="381"/>
      <c r="O69" s="381"/>
      <c r="P69"/>
      <c r="Q69"/>
      <c r="R69"/>
      <c r="S69"/>
      <c r="T69" s="1"/>
      <c r="U69" s="486" t="s">
        <v>5066</v>
      </c>
      <c r="V69" s="224"/>
      <c r="W69" s="487">
        <v>3.6</v>
      </c>
      <c r="X69" s="312"/>
      <c r="Y69" s="484"/>
      <c r="Z69" s="312"/>
      <c r="AA69" s="312"/>
      <c r="AB69" s="312"/>
    </row>
    <row r="70" spans="3:43" ht="19.350000000000001" customHeight="1" thickBot="1">
      <c r="C70" s="751"/>
      <c r="D70" s="752"/>
      <c r="E70" s="752"/>
      <c r="F70" s="752"/>
      <c r="G70" s="752"/>
      <c r="H70" s="753"/>
      <c r="I70" s="381"/>
      <c r="J70" s="381"/>
      <c r="K70" s="381"/>
      <c r="L70" s="381"/>
      <c r="M70" s="381"/>
      <c r="N70" s="381"/>
      <c r="O70" s="381"/>
      <c r="P70"/>
      <c r="Q70"/>
      <c r="R70"/>
      <c r="S70"/>
      <c r="T70" s="1"/>
      <c r="U70" s="486" t="s">
        <v>5132</v>
      </c>
      <c r="V70" s="224"/>
      <c r="W70" s="487">
        <v>3.6</v>
      </c>
      <c r="X70" s="312"/>
      <c r="Y70" s="484"/>
      <c r="Z70" s="312"/>
      <c r="AA70" s="312"/>
      <c r="AB70" s="312"/>
    </row>
    <row r="71" spans="3:43" ht="19.350000000000001" customHeight="1" thickTop="1">
      <c r="C71" s="745" t="s">
        <v>71</v>
      </c>
      <c r="D71" s="746"/>
      <c r="E71" s="746"/>
      <c r="F71" s="747"/>
      <c r="G71" s="914" t="str">
        <f>'事業所排出量内訳 (基準年度)'!G71&amp;""</f>
        <v/>
      </c>
      <c r="H71" s="915"/>
      <c r="I71" s="381"/>
      <c r="J71" s="381"/>
      <c r="K71" s="381"/>
      <c r="L71" s="381"/>
      <c r="M71" s="381"/>
      <c r="N71" s="381"/>
      <c r="O71" s="381"/>
      <c r="P71"/>
      <c r="Q71"/>
      <c r="R71"/>
      <c r="S71"/>
      <c r="T71" s="1"/>
      <c r="U71" s="515" t="s">
        <v>106</v>
      </c>
      <c r="V71" s="516">
        <f>SUM(V67:V70)</f>
        <v>0</v>
      </c>
      <c r="W71" s="518"/>
      <c r="Y71" s="381"/>
    </row>
    <row r="72" spans="3:43" ht="19.350000000000001" customHeight="1">
      <c r="C72" s="727" t="s">
        <v>147</v>
      </c>
      <c r="D72" s="728"/>
      <c r="E72" s="728"/>
      <c r="F72" s="729"/>
      <c r="G72" s="916" t="str">
        <f>'事業所排出量内訳 (基準年度)'!G72&amp;""</f>
        <v/>
      </c>
      <c r="H72" s="917"/>
      <c r="I72" s="381"/>
      <c r="J72" s="381"/>
      <c r="K72" s="381"/>
      <c r="L72" s="381"/>
      <c r="M72" s="381"/>
      <c r="N72" s="1"/>
      <c r="O72" s="381"/>
      <c r="P72"/>
      <c r="Q72"/>
      <c r="R72"/>
      <c r="S72"/>
      <c r="T72" s="1"/>
    </row>
    <row r="73" spans="3:43" ht="19.350000000000001" customHeight="1" thickBot="1">
      <c r="C73" s="724" t="s">
        <v>146</v>
      </c>
      <c r="D73" s="725"/>
      <c r="E73" s="725"/>
      <c r="F73" s="726"/>
      <c r="G73" s="703"/>
      <c r="H73" s="704"/>
      <c r="I73" s="381"/>
      <c r="J73" s="381"/>
      <c r="K73" s="381"/>
      <c r="L73" s="1"/>
      <c r="M73" s="1"/>
      <c r="N73" s="1"/>
      <c r="O73" s="381"/>
      <c r="P73"/>
      <c r="Q73"/>
      <c r="R73"/>
      <c r="S73"/>
      <c r="T73" s="1"/>
    </row>
    <row r="74" spans="3:43" ht="19.350000000000001" customHeight="1">
      <c r="I74" s="1"/>
      <c r="J74" s="1"/>
      <c r="K74" s="1"/>
      <c r="L74" s="1"/>
      <c r="M74" s="1"/>
      <c r="N74" s="1"/>
      <c r="O74" s="381"/>
      <c r="P74"/>
      <c r="Q74"/>
      <c r="R74"/>
      <c r="S74"/>
      <c r="T74" s="1"/>
      <c r="AH74" s="12"/>
      <c r="AI74" s="12"/>
      <c r="AJ74" s="12"/>
    </row>
    <row r="75" spans="3:43" ht="19.350000000000001" customHeight="1">
      <c r="I75" s="1"/>
      <c r="J75" s="1"/>
      <c r="K75" s="1"/>
      <c r="L75" s="1"/>
      <c r="M75" s="1"/>
      <c r="N75" s="1"/>
      <c r="O75" s="1"/>
      <c r="T75" s="1"/>
      <c r="AG75" s="12"/>
      <c r="AH75" s="12"/>
      <c r="AI75" s="12"/>
      <c r="AJ75" s="12"/>
    </row>
    <row r="76" spans="3:43" ht="19.350000000000001" customHeight="1">
      <c r="I76" s="1"/>
      <c r="J76" s="1"/>
      <c r="K76" s="1"/>
      <c r="L76" s="1"/>
      <c r="M76" s="1"/>
      <c r="N76" s="1"/>
      <c r="O76" s="1"/>
      <c r="T76" s="1"/>
      <c r="AG76" s="12"/>
    </row>
    <row r="77" spans="3:43" ht="19.350000000000001" customHeight="1">
      <c r="I77" s="1"/>
      <c r="J77" s="1"/>
      <c r="K77" s="1"/>
      <c r="L77" s="1"/>
      <c r="M77" s="1"/>
      <c r="N77" s="1"/>
      <c r="O77" s="1"/>
      <c r="T77" s="1"/>
      <c r="AK77" s="12"/>
    </row>
    <row r="78" spans="3:43" ht="19.350000000000001" customHeight="1">
      <c r="I78" s="1"/>
      <c r="J78" s="1"/>
      <c r="K78" s="1"/>
      <c r="L78" s="1"/>
      <c r="M78" s="1"/>
      <c r="N78" s="1"/>
      <c r="O78" s="1"/>
      <c r="T78" s="1"/>
      <c r="AK78" s="12"/>
      <c r="AL78" s="12"/>
    </row>
    <row r="79" spans="3:43" ht="19.350000000000001" customHeight="1">
      <c r="I79" s="1"/>
      <c r="J79" s="1"/>
      <c r="K79" s="1"/>
      <c r="L79" s="1"/>
      <c r="M79" s="1"/>
      <c r="N79" s="1"/>
      <c r="O79" s="1"/>
      <c r="T79" s="1"/>
      <c r="AL79" s="12"/>
      <c r="AQ79" s="12"/>
    </row>
    <row r="80" spans="3:43" ht="23.25" customHeight="1">
      <c r="I80" s="1"/>
      <c r="J80" s="1"/>
      <c r="K80" s="1"/>
      <c r="L80" s="1"/>
      <c r="M80" s="1"/>
      <c r="N80" s="1"/>
      <c r="O80" s="1"/>
      <c r="T80" s="1"/>
      <c r="AQ80" s="12"/>
    </row>
    <row r="81" spans="1:50" ht="23.25" customHeight="1">
      <c r="I81" s="1"/>
      <c r="J81" s="1"/>
      <c r="K81" s="1"/>
      <c r="L81" s="1"/>
      <c r="M81" s="1"/>
      <c r="N81" s="1"/>
      <c r="O81" s="1"/>
      <c r="T81" s="1"/>
      <c r="AR81" s="12"/>
    </row>
    <row r="82" spans="1:50" ht="23.25" customHeight="1">
      <c r="I82" s="1"/>
      <c r="J82" s="1"/>
      <c r="K82" s="1"/>
      <c r="L82" s="1"/>
      <c r="M82" s="1"/>
      <c r="N82" s="1"/>
      <c r="O82" s="1"/>
      <c r="T82" s="1"/>
      <c r="AH82" s="12"/>
      <c r="AI82" s="12"/>
      <c r="AJ82" s="12"/>
      <c r="AR82" s="12"/>
    </row>
    <row r="83" spans="1:50" ht="23.25" customHeight="1">
      <c r="I83" s="1"/>
      <c r="J83" s="1"/>
      <c r="K83" s="1"/>
      <c r="L83" s="1"/>
      <c r="M83" s="1"/>
      <c r="N83" s="1"/>
      <c r="O83" s="1"/>
      <c r="T83" s="1"/>
      <c r="AG83" s="12"/>
      <c r="AM83" s="12"/>
      <c r="AN83" s="12"/>
      <c r="AO83" s="12"/>
      <c r="AP83" s="12"/>
    </row>
    <row r="84" spans="1:50" ht="23.25" customHeight="1">
      <c r="I84" s="1"/>
      <c r="J84" s="1"/>
      <c r="K84" s="1"/>
      <c r="L84" s="1"/>
      <c r="M84" s="1"/>
      <c r="N84" s="1"/>
      <c r="O84" s="1"/>
      <c r="T84" s="1"/>
      <c r="AM84" s="12"/>
      <c r="AN84" s="12"/>
      <c r="AO84" s="12"/>
      <c r="AP84" s="12"/>
    </row>
    <row r="85" spans="1:50" ht="19.5" customHeight="1">
      <c r="I85" s="1"/>
      <c r="J85" s="1"/>
      <c r="K85" s="1"/>
      <c r="L85" s="1"/>
      <c r="M85" s="1"/>
      <c r="N85" s="1"/>
      <c r="O85" s="1"/>
      <c r="T85" s="1"/>
      <c r="U85" s="1"/>
      <c r="V85" s="1"/>
      <c r="AF85" s="12"/>
      <c r="AK85" s="12"/>
    </row>
    <row r="86" spans="1:50" s="12" customFormat="1" ht="27.6" customHeight="1">
      <c r="A86" s="277"/>
      <c r="B86" s="277"/>
      <c r="C86" s="277"/>
      <c r="D86" s="277"/>
      <c r="E86" s="277"/>
      <c r="F86" s="277"/>
      <c r="G86" s="277"/>
      <c r="H86" s="277"/>
      <c r="I86" s="1"/>
      <c r="J86" s="1"/>
      <c r="K86" s="1"/>
      <c r="L86" s="1"/>
      <c r="M86" s="1"/>
      <c r="N86" s="1"/>
      <c r="O86" s="1"/>
      <c r="P86" s="277"/>
      <c r="Q86" s="277"/>
      <c r="R86" s="277"/>
      <c r="S86" s="277"/>
      <c r="T86" s="1"/>
      <c r="U86" s="1"/>
      <c r="V86" s="1"/>
      <c r="W86" s="277"/>
      <c r="X86" s="277"/>
      <c r="Y86" s="277"/>
      <c r="Z86" s="277"/>
      <c r="AA86" s="277"/>
      <c r="AB86" s="277"/>
      <c r="AC86" s="277"/>
      <c r="AD86" s="277"/>
      <c r="AE86" s="277"/>
      <c r="AG86" s="277"/>
      <c r="AH86" s="277"/>
      <c r="AI86" s="277"/>
      <c r="AJ86" s="277"/>
      <c r="AK86" s="277"/>
      <c r="AM86" s="277"/>
      <c r="AN86" s="277"/>
      <c r="AO86" s="277"/>
      <c r="AP86" s="277"/>
      <c r="AQ86" s="277"/>
      <c r="AR86" s="277"/>
      <c r="AS86" s="277"/>
      <c r="AT86" s="277"/>
      <c r="AU86" s="277"/>
      <c r="AV86" s="277"/>
      <c r="AW86" s="277"/>
      <c r="AX86" s="277"/>
    </row>
    <row r="87" spans="1:50" s="12" customFormat="1" ht="27" customHeight="1">
      <c r="A87" s="277"/>
      <c r="B87" s="277"/>
      <c r="C87" s="277"/>
      <c r="D87" s="277"/>
      <c r="E87" s="277"/>
      <c r="F87" s="277"/>
      <c r="G87" s="277"/>
      <c r="H87" s="277"/>
      <c r="I87" s="1"/>
      <c r="J87" s="1"/>
      <c r="K87" s="1"/>
      <c r="L87" s="1"/>
      <c r="M87" s="1"/>
      <c r="N87" s="1"/>
      <c r="O87" s="1"/>
      <c r="P87" s="277"/>
      <c r="Q87" s="277"/>
      <c r="R87" s="277"/>
      <c r="S87" s="277"/>
      <c r="T87" s="1"/>
      <c r="U87" s="1"/>
      <c r="V87" s="1"/>
      <c r="W87" s="277"/>
      <c r="X87" s="277"/>
      <c r="Y87" s="277"/>
      <c r="Z87" s="277"/>
      <c r="AA87" s="277"/>
      <c r="AB87" s="277"/>
      <c r="AD87" s="277"/>
      <c r="AE87" s="277"/>
      <c r="AG87" s="277"/>
      <c r="AH87" s="277"/>
      <c r="AI87" s="277"/>
      <c r="AJ87" s="277"/>
      <c r="AK87" s="277"/>
      <c r="AL87" s="277"/>
      <c r="AM87" s="277"/>
      <c r="AN87" s="277"/>
      <c r="AO87" s="277"/>
      <c r="AP87" s="277"/>
      <c r="AR87" s="277"/>
      <c r="AS87" s="277"/>
    </row>
    <row r="88" spans="1:50" ht="22.5" customHeight="1">
      <c r="I88" s="1"/>
      <c r="J88" s="1"/>
      <c r="K88" s="1"/>
      <c r="L88" s="1"/>
      <c r="M88" s="1"/>
      <c r="N88" s="1"/>
      <c r="O88" s="1"/>
      <c r="T88" s="1"/>
      <c r="U88" s="1"/>
      <c r="V88" s="1"/>
      <c r="AC88" s="12"/>
      <c r="AF88" s="12"/>
      <c r="AT88" s="12"/>
      <c r="AU88" s="12"/>
      <c r="AV88" s="12"/>
      <c r="AW88" s="12"/>
      <c r="AX88" s="12"/>
    </row>
    <row r="89" spans="1:50" ht="22.5" customHeight="1">
      <c r="I89" s="1"/>
      <c r="J89" s="1"/>
      <c r="K89" s="1"/>
      <c r="L89" s="1"/>
      <c r="M89" s="1"/>
      <c r="N89" s="1"/>
      <c r="O89" s="1"/>
      <c r="T89" s="1"/>
      <c r="U89" s="489"/>
      <c r="V89" s="1"/>
      <c r="AD89" s="12"/>
      <c r="AE89" s="12"/>
      <c r="AR89" s="12"/>
      <c r="AS89" s="12"/>
    </row>
    <row r="90" spans="1:50" ht="22.5" customHeight="1">
      <c r="I90" s="1"/>
      <c r="J90" s="1"/>
      <c r="K90" s="1"/>
      <c r="N90" s="1"/>
      <c r="O90" s="1"/>
      <c r="T90" s="1"/>
      <c r="U90" s="1"/>
      <c r="AD90" s="12"/>
      <c r="AE90" s="12"/>
      <c r="AS90" s="12"/>
    </row>
    <row r="91" spans="1:50" ht="22.5" customHeight="1">
      <c r="N91" s="1"/>
      <c r="O91" s="1"/>
      <c r="T91" s="1"/>
      <c r="U91" s="1"/>
      <c r="V91" s="1"/>
      <c r="AM91" s="12"/>
      <c r="AN91" s="12"/>
      <c r="AO91" s="12"/>
      <c r="AP91" s="12"/>
    </row>
    <row r="92" spans="1:50" ht="22.5" customHeight="1">
      <c r="N92" s="1"/>
      <c r="O92" s="1"/>
      <c r="T92" s="1"/>
      <c r="U92" s="1"/>
      <c r="V92" s="1"/>
    </row>
    <row r="93" spans="1:50" ht="22.5" customHeight="1">
      <c r="A93" s="12"/>
      <c r="B93" s="12"/>
      <c r="N93" s="1"/>
      <c r="O93" s="1"/>
      <c r="T93" s="1"/>
      <c r="U93" s="1"/>
      <c r="V93" s="1"/>
    </row>
    <row r="94" spans="1:50" s="12" customFormat="1" ht="22.5" customHeight="1">
      <c r="C94" s="277"/>
      <c r="D94" s="277"/>
      <c r="E94" s="277"/>
      <c r="F94" s="277"/>
      <c r="G94" s="277"/>
      <c r="H94" s="277"/>
      <c r="I94" s="277"/>
      <c r="J94" s="277"/>
      <c r="K94" s="277"/>
      <c r="L94" s="277"/>
      <c r="M94" s="277"/>
      <c r="N94" s="1"/>
      <c r="O94" s="1"/>
      <c r="P94" s="277"/>
      <c r="Q94" s="277"/>
      <c r="R94" s="277"/>
      <c r="S94" s="277"/>
      <c r="T94" s="1"/>
      <c r="U94" s="1"/>
      <c r="V94" s="1"/>
      <c r="W94" s="277"/>
      <c r="X94" s="277"/>
      <c r="Y94" s="277"/>
      <c r="Z94" s="277"/>
      <c r="AA94" s="277"/>
      <c r="AB94" s="277"/>
      <c r="AC94" s="277"/>
      <c r="AD94" s="277"/>
      <c r="AE94" s="277"/>
      <c r="AF94" s="277"/>
      <c r="AG94" s="277"/>
      <c r="AH94" s="277"/>
      <c r="AI94" s="277"/>
      <c r="AJ94" s="277"/>
      <c r="AK94" s="277"/>
      <c r="AL94" s="277"/>
      <c r="AM94" s="277"/>
      <c r="AN94" s="277"/>
      <c r="AO94" s="277"/>
      <c r="AP94" s="277"/>
      <c r="AQ94" s="277"/>
      <c r="AR94" s="277"/>
      <c r="AS94" s="277"/>
      <c r="AT94" s="277"/>
      <c r="AU94" s="277"/>
      <c r="AV94" s="277"/>
      <c r="AW94" s="277"/>
      <c r="AX94" s="277"/>
    </row>
    <row r="95" spans="1:50" ht="22.5" customHeight="1">
      <c r="N95" s="1"/>
      <c r="O95" s="1"/>
      <c r="T95" s="1"/>
      <c r="U95" s="1"/>
      <c r="V95" s="1"/>
      <c r="AB95" s="12"/>
      <c r="AF95" s="12"/>
      <c r="AT95" s="12"/>
      <c r="AU95" s="12"/>
      <c r="AV95" s="12"/>
      <c r="AW95" s="12"/>
      <c r="AX95" s="12"/>
    </row>
    <row r="96" spans="1:50" ht="21" customHeight="1">
      <c r="N96" s="1"/>
      <c r="O96" s="1"/>
      <c r="T96" s="1"/>
      <c r="U96" s="1"/>
      <c r="V96" s="1"/>
      <c r="AC96" s="12"/>
    </row>
    <row r="97" spans="1:45" ht="21" customHeight="1">
      <c r="N97" s="1"/>
      <c r="O97" s="1"/>
      <c r="T97" s="1"/>
      <c r="U97" s="1"/>
      <c r="V97" s="1"/>
      <c r="AD97" s="12"/>
      <c r="AE97" s="12"/>
      <c r="AS97" s="12"/>
    </row>
    <row r="98" spans="1:45" ht="22.5" customHeight="1">
      <c r="N98" s="1"/>
      <c r="O98" s="1"/>
      <c r="T98" s="1"/>
      <c r="U98" s="1"/>
      <c r="V98" s="1"/>
    </row>
    <row r="99" spans="1:45" ht="22.5" customHeight="1">
      <c r="N99" s="1"/>
      <c r="O99" s="1"/>
      <c r="T99" s="1"/>
      <c r="U99" s="1"/>
      <c r="V99" s="1"/>
      <c r="Z99" s="12"/>
    </row>
    <row r="100" spans="1:45" ht="22.5" customHeight="1">
      <c r="N100" s="1"/>
      <c r="O100" s="1"/>
      <c r="T100" s="1"/>
      <c r="U100" s="1"/>
      <c r="V100" s="1"/>
      <c r="W100" s="12"/>
      <c r="X100" s="12"/>
      <c r="Y100" s="12"/>
      <c r="Z100" s="12"/>
    </row>
    <row r="101" spans="1:45" ht="22.5" customHeight="1">
      <c r="A101" s="12"/>
      <c r="B101" s="12"/>
      <c r="N101" s="1"/>
      <c r="O101" s="1"/>
      <c r="T101" s="1"/>
      <c r="U101" s="1"/>
      <c r="V101" s="1"/>
      <c r="W101" s="12"/>
      <c r="X101" s="12"/>
      <c r="Y101" s="12"/>
      <c r="AA101" s="12"/>
    </row>
    <row r="102" spans="1:45" ht="23.25" customHeight="1">
      <c r="N102" s="1"/>
      <c r="O102" s="1"/>
      <c r="T102" s="1"/>
      <c r="U102" s="1"/>
      <c r="V102" s="1"/>
      <c r="AA102" s="12"/>
    </row>
    <row r="103" spans="1:45" ht="27.75" customHeight="1">
      <c r="N103" s="1"/>
      <c r="O103" s="1"/>
      <c r="T103" s="1"/>
      <c r="U103" s="1"/>
      <c r="V103" s="1"/>
    </row>
    <row r="104" spans="1:45" ht="21" customHeight="1">
      <c r="N104" s="1"/>
      <c r="O104" s="1"/>
      <c r="T104" s="1"/>
      <c r="U104" s="1"/>
      <c r="V104" s="1"/>
    </row>
    <row r="105" spans="1:45" ht="21" customHeight="1">
      <c r="N105" s="1"/>
      <c r="O105" s="1"/>
      <c r="T105" s="1"/>
      <c r="U105" s="1"/>
      <c r="V105" s="1"/>
    </row>
    <row r="106" spans="1:45" ht="21" customHeight="1">
      <c r="N106" s="1"/>
      <c r="O106" s="1"/>
      <c r="T106" s="1"/>
      <c r="U106" s="1"/>
      <c r="V106" s="1"/>
    </row>
    <row r="107" spans="1:45" ht="21" customHeight="1">
      <c r="N107" s="1"/>
      <c r="O107" s="1"/>
      <c r="T107" s="1"/>
      <c r="U107" s="1"/>
      <c r="V107" s="1"/>
      <c r="Z107" s="12"/>
    </row>
    <row r="108" spans="1:45" ht="21" customHeight="1">
      <c r="N108" s="1"/>
      <c r="O108" s="1"/>
      <c r="T108" s="1"/>
      <c r="U108" s="1"/>
      <c r="V108" s="1"/>
      <c r="W108" s="12"/>
      <c r="X108" s="12"/>
      <c r="Y108" s="12"/>
    </row>
    <row r="109" spans="1:45" ht="21" customHeight="1">
      <c r="N109" s="1"/>
      <c r="O109" s="1"/>
      <c r="T109" s="1"/>
      <c r="U109" s="1"/>
      <c r="V109" s="1"/>
      <c r="AA109" s="12"/>
    </row>
    <row r="110" spans="1:45" ht="21" customHeight="1">
      <c r="O110" s="1"/>
      <c r="T110" s="1"/>
      <c r="U110" s="1"/>
      <c r="V110" s="1"/>
    </row>
    <row r="111" spans="1:45" ht="22.5" customHeight="1">
      <c r="O111" s="1"/>
      <c r="T111" s="1"/>
      <c r="U111" s="1"/>
      <c r="V111" s="1"/>
    </row>
    <row r="112" spans="1:45" ht="22.5" customHeight="1">
      <c r="O112" s="1"/>
      <c r="T112" s="1"/>
      <c r="U112" s="1"/>
      <c r="V112" s="1"/>
    </row>
    <row r="113" spans="15:22" ht="22.5" customHeight="1">
      <c r="O113" s="1"/>
      <c r="T113" s="1"/>
      <c r="U113" s="1"/>
      <c r="V113" s="1"/>
    </row>
    <row r="114" spans="15:22" ht="27.75" customHeight="1">
      <c r="O114" s="1"/>
      <c r="T114" s="1"/>
      <c r="U114" s="1"/>
      <c r="V114" s="1"/>
    </row>
    <row r="115" spans="15:22" ht="21" customHeight="1">
      <c r="O115" s="1"/>
      <c r="T115" s="1"/>
      <c r="U115" s="1"/>
      <c r="V115" s="1"/>
    </row>
    <row r="116" spans="15:22" ht="21" customHeight="1">
      <c r="O116" s="1"/>
      <c r="T116" s="1"/>
      <c r="U116" s="1"/>
      <c r="V116" s="1"/>
    </row>
    <row r="117" spans="15:22" ht="21" customHeight="1">
      <c r="O117" s="1"/>
      <c r="T117" s="1"/>
      <c r="U117" s="1"/>
      <c r="V117" s="1"/>
    </row>
    <row r="118" spans="15:22" ht="21" customHeight="1">
      <c r="O118" s="1"/>
      <c r="T118" s="1"/>
      <c r="U118" s="1"/>
      <c r="V118" s="1"/>
    </row>
    <row r="119" spans="15:22" ht="21" customHeight="1">
      <c r="O119" s="1"/>
      <c r="T119" s="1"/>
      <c r="U119" s="1"/>
      <c r="V119" s="1"/>
    </row>
    <row r="120" spans="15:22" ht="21" customHeight="1">
      <c r="O120" s="1"/>
      <c r="T120" s="1"/>
      <c r="U120" s="1"/>
      <c r="V120" s="1"/>
    </row>
    <row r="121" spans="15:22" ht="21" customHeight="1">
      <c r="O121" s="1"/>
      <c r="T121" s="1"/>
      <c r="U121" s="1"/>
      <c r="V121" s="1"/>
    </row>
    <row r="122" spans="15:22" ht="23.25" customHeight="1">
      <c r="O122" s="1"/>
      <c r="T122" s="1"/>
      <c r="U122" s="1"/>
      <c r="V122" s="1"/>
    </row>
    <row r="123" spans="15:22" ht="22.5" customHeight="1">
      <c r="O123" s="1"/>
      <c r="T123" s="1"/>
      <c r="U123" s="1"/>
      <c r="V123" s="1"/>
    </row>
    <row r="124" spans="15:22" ht="22.5" customHeight="1">
      <c r="O124" s="1"/>
      <c r="T124" s="1"/>
      <c r="U124" s="1"/>
      <c r="V124" s="1"/>
    </row>
    <row r="125" spans="15:22" ht="27" customHeight="1">
      <c r="T125" s="1"/>
      <c r="U125" s="702"/>
      <c r="V125" s="702"/>
    </row>
    <row r="126" spans="15:22" ht="21" customHeight="1">
      <c r="T126" s="1"/>
      <c r="U126" s="702"/>
      <c r="V126" s="702"/>
    </row>
    <row r="127" spans="15:22" ht="21" customHeight="1">
      <c r="U127" s="1"/>
      <c r="V127" s="1"/>
    </row>
    <row r="128" spans="15:22" ht="21" customHeight="1">
      <c r="U128" s="1"/>
      <c r="V128" s="1"/>
    </row>
    <row r="129" spans="21:22" ht="22.5" customHeight="1">
      <c r="U129" s="1"/>
      <c r="V129" s="1"/>
    </row>
    <row r="130" spans="21:22" ht="17.399999999999999">
      <c r="U130" s="1"/>
      <c r="V130" s="1"/>
    </row>
    <row r="131" spans="21:22" ht="17.399999999999999">
      <c r="U131" s="1"/>
      <c r="V131" s="1"/>
    </row>
    <row r="132" spans="21:22" ht="17.399999999999999">
      <c r="U132" s="1"/>
      <c r="V132" s="1"/>
    </row>
    <row r="133" spans="21:22" ht="17.399999999999999">
      <c r="U133" s="1"/>
      <c r="V133" s="1"/>
    </row>
    <row r="134" spans="21:22" ht="17.399999999999999">
      <c r="U134" s="1"/>
      <c r="V134" s="1"/>
    </row>
    <row r="135" spans="21:22" ht="17.399999999999999">
      <c r="U135" s="1"/>
      <c r="V135" s="1"/>
    </row>
    <row r="136" spans="21:22" ht="17.399999999999999">
      <c r="U136" s="1"/>
      <c r="V136" s="1"/>
    </row>
    <row r="137" spans="21:22" ht="17.399999999999999">
      <c r="U137" s="1"/>
      <c r="V137" s="1"/>
    </row>
  </sheetData>
  <sheetProtection algorithmName="SHA-512" hashValue="VIRDlyh6gWg1oaKEsP4iHkdILdJ53zLEFrTA4XnunWEoGSS1HS5QcvuLJQbjyOiSlVvyB0Ns2dWDiftk0gM/eA==" saltValue="hmPdsuyZzLHY01X9B+QT7w==" spinCount="100000" sheet="1" objects="1" scenarios="1" selectLockedCells="1"/>
  <mergeCells count="110">
    <mergeCell ref="U125:V126"/>
    <mergeCell ref="C69:H70"/>
    <mergeCell ref="C71:F71"/>
    <mergeCell ref="G71:H71"/>
    <mergeCell ref="C72:F72"/>
    <mergeCell ref="G72:H72"/>
    <mergeCell ref="C73:F73"/>
    <mergeCell ref="G73:H73"/>
    <mergeCell ref="C65:F65"/>
    <mergeCell ref="G65:H65"/>
    <mergeCell ref="U65:U66"/>
    <mergeCell ref="V65:V66"/>
    <mergeCell ref="W65:W66"/>
    <mergeCell ref="C66:F66"/>
    <mergeCell ref="G66:H66"/>
    <mergeCell ref="Y61:Y62"/>
    <mergeCell ref="C62:F62"/>
    <mergeCell ref="G62:H62"/>
    <mergeCell ref="C63:F63"/>
    <mergeCell ref="G63:H63"/>
    <mergeCell ref="C64:F64"/>
    <mergeCell ref="G64:H64"/>
    <mergeCell ref="C61:F61"/>
    <mergeCell ref="G61:H61"/>
    <mergeCell ref="U61:U62"/>
    <mergeCell ref="V61:V62"/>
    <mergeCell ref="X61:X62"/>
    <mergeCell ref="W61:W62"/>
    <mergeCell ref="C57:F58"/>
    <mergeCell ref="G57:H58"/>
    <mergeCell ref="C59:F59"/>
    <mergeCell ref="G59:H59"/>
    <mergeCell ref="C60:F60"/>
    <mergeCell ref="G60:H60"/>
    <mergeCell ref="W55:W56"/>
    <mergeCell ref="X55:X56"/>
    <mergeCell ref="Y55:Y56"/>
    <mergeCell ref="Z55:Z56"/>
    <mergeCell ref="AA55:AA56"/>
    <mergeCell ref="AB55:AB56"/>
    <mergeCell ref="G52:H52"/>
    <mergeCell ref="U52:V52"/>
    <mergeCell ref="G53:H53"/>
    <mergeCell ref="C54:F54"/>
    <mergeCell ref="G54:H54"/>
    <mergeCell ref="V55:V56"/>
    <mergeCell ref="Y49:Y50"/>
    <mergeCell ref="Z49:Z50"/>
    <mergeCell ref="AA49:AA50"/>
    <mergeCell ref="AB49:AB50"/>
    <mergeCell ref="G50:H50"/>
    <mergeCell ref="G51:H51"/>
    <mergeCell ref="G47:H47"/>
    <mergeCell ref="G48:H48"/>
    <mergeCell ref="G49:H49"/>
    <mergeCell ref="U49:V50"/>
    <mergeCell ref="W49:W50"/>
    <mergeCell ref="X49:X50"/>
    <mergeCell ref="Y40:Y41"/>
    <mergeCell ref="Z40:Z41"/>
    <mergeCell ref="AA40:AA41"/>
    <mergeCell ref="C42:H42"/>
    <mergeCell ref="C45:F46"/>
    <mergeCell ref="G45:H46"/>
    <mergeCell ref="F34:H34"/>
    <mergeCell ref="F35:H35"/>
    <mergeCell ref="U40:U41"/>
    <mergeCell ref="V40:V41"/>
    <mergeCell ref="W40:W41"/>
    <mergeCell ref="X40:X41"/>
    <mergeCell ref="W27:X27"/>
    <mergeCell ref="D28:H28"/>
    <mergeCell ref="C30:H30"/>
    <mergeCell ref="I31:I32"/>
    <mergeCell ref="J31:J32"/>
    <mergeCell ref="K31:K32"/>
    <mergeCell ref="L31:L32"/>
    <mergeCell ref="M31:M32"/>
    <mergeCell ref="N31:N32"/>
    <mergeCell ref="C31:H32"/>
    <mergeCell ref="E18:H18"/>
    <mergeCell ref="E19:H19"/>
    <mergeCell ref="E20:H20"/>
    <mergeCell ref="C22:H22"/>
    <mergeCell ref="C23:C29"/>
    <mergeCell ref="D23:H23"/>
    <mergeCell ref="D24:H24"/>
    <mergeCell ref="D25:H25"/>
    <mergeCell ref="D26:H26"/>
    <mergeCell ref="D27:H27"/>
    <mergeCell ref="X15:Y15"/>
    <mergeCell ref="E16:H16"/>
    <mergeCell ref="N4:N5"/>
    <mergeCell ref="U8:U9"/>
    <mergeCell ref="V8:W9"/>
    <mergeCell ref="X9:Y9"/>
    <mergeCell ref="X10:Y10"/>
    <mergeCell ref="E13:H13"/>
    <mergeCell ref="E17:H17"/>
    <mergeCell ref="J1:K1"/>
    <mergeCell ref="I4:I5"/>
    <mergeCell ref="J4:J5"/>
    <mergeCell ref="K4:K5"/>
    <mergeCell ref="L4:L5"/>
    <mergeCell ref="M4:M5"/>
    <mergeCell ref="E14:H14"/>
    <mergeCell ref="U14:U15"/>
    <mergeCell ref="V14:W15"/>
    <mergeCell ref="E15:H15"/>
    <mergeCell ref="C4:H5"/>
  </mergeCells>
  <phoneticPr fontId="1"/>
  <conditionalFormatting sqref="AA51:AA53">
    <cfRule type="expression" dxfId="12" priority="4">
      <formula>$AX$1=2022</formula>
    </cfRule>
  </conditionalFormatting>
  <dataValidations count="4">
    <dataValidation type="list" allowBlank="1" showInputMessage="1" showErrorMessage="1" sqref="D23:D28" xr:uid="{2218A653-E469-4A1B-AF92-56DB2EC60DBC}">
      <formula1>INDIRECT($AX$1)</formula1>
    </dataValidation>
    <dataValidation type="list" allowBlank="1" showInputMessage="1" showErrorMessage="1" sqref="E13:E17" xr:uid="{4F9D19FC-E0D2-4567-8FE5-1B65229F52BB}">
      <formula1>INDIRECT($AW$1)</formula1>
    </dataValidation>
    <dataValidation imeMode="halfAlpha" allowBlank="1" showInputMessage="1" showErrorMessage="1" sqref="G73 Y51:Y53 V35:W35 W57:X58 V63:X63 G47:G53 V38 V30:W32 I13:I21 J6:J21 V67:W70 G59:G65 L21:M21 V42:X46 W51:X54" xr:uid="{F14FE006-CCAD-47AF-9A13-D63BFB229E8E}"/>
    <dataValidation imeMode="hiragana" allowBlank="1" showInputMessage="1" showErrorMessage="1" sqref="U67:U70 V57:V58 U35 U38 V55 G71:G72 U42:U46 C59:C65 U30:U32" xr:uid="{8E441CA8-C8F2-45C0-AB0E-CC5BA02690B7}"/>
  </dataValidations>
  <pageMargins left="0.70866141732283472" right="0.51181102362204722" top="0.55118110236220474" bottom="0.55118110236220474" header="0.31496062992125984" footer="0.31496062992125984"/>
  <pageSetup paperSize="8" scale="49" orientation="portrait" r:id="rId1"/>
  <headerFooter>
    <oddHeader>&amp;L様式第２号</oddHeader>
    <oddFooter>&amp;C
&amp;R&amp;8（一般事業所等用）</oddFooter>
  </headerFooter>
  <rowBreaks count="1" manualBreakCount="1">
    <brk id="92" min="2" max="33" man="1"/>
  </row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 id="{14DF8BC0-11EF-4190-8457-50BEF2337C8A}">
            <xm:f>はじめに!$S$3=TRUE</xm:f>
            <x14:dxf>
              <fill>
                <patternFill>
                  <bgColor theme="9" tint="0.59996337778862885"/>
                </patternFill>
              </fill>
            </x14:dxf>
          </x14:cfRule>
          <xm:sqref>N18:N20</xm:sqref>
        </x14:conditionalFormatting>
      </x14:conditionalFormatting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38564-2C52-4C22-B8FD-23172CB67A66}">
  <sheetPr codeName="Sheet5">
    <tabColor theme="6" tint="0.59999389629810485"/>
    <pageSetUpPr fitToPage="1"/>
  </sheetPr>
  <dimension ref="A1:BB137"/>
  <sheetViews>
    <sheetView showGridLines="0" view="pageBreakPreview" topLeftCell="C1" zoomScale="70" zoomScaleNormal="70" zoomScaleSheetLayoutView="70" workbookViewId="0">
      <selection activeCell="J6" sqref="J6"/>
    </sheetView>
  </sheetViews>
  <sheetFormatPr defaultColWidth="9" defaultRowHeight="16.2"/>
  <cols>
    <col min="1" max="2" width="4.88671875" style="277" customWidth="1"/>
    <col min="3" max="3" width="6" style="277" customWidth="1"/>
    <col min="4" max="4" width="6.109375" style="277" customWidth="1"/>
    <col min="5" max="5" width="6.88671875" style="277" customWidth="1"/>
    <col min="6" max="6" width="14.88671875" style="277" customWidth="1"/>
    <col min="7" max="7" width="9.109375" style="277" customWidth="1"/>
    <col min="8" max="8" width="10.6640625" style="277" customWidth="1"/>
    <col min="9" max="9" width="11.88671875" style="277" customWidth="1"/>
    <col min="10" max="10" width="13.44140625" style="277" customWidth="1"/>
    <col min="11" max="11" width="11.109375" style="277" customWidth="1"/>
    <col min="12" max="14" width="11" style="277" customWidth="1"/>
    <col min="15" max="15" width="7.88671875" style="277" hidden="1" customWidth="1"/>
    <col min="16" max="19" width="11" style="277" hidden="1" customWidth="1"/>
    <col min="20" max="20" width="13.88671875" style="277" customWidth="1"/>
    <col min="21" max="21" width="28.109375" style="277" customWidth="1"/>
    <col min="22" max="22" width="14.88671875" style="277" customWidth="1"/>
    <col min="23" max="23" width="15.33203125" style="277" customWidth="1"/>
    <col min="24" max="24" width="15.109375" style="277" customWidth="1"/>
    <col min="25" max="25" width="14.88671875" style="277" customWidth="1"/>
    <col min="26" max="26" width="16.109375" style="277" customWidth="1"/>
    <col min="27" max="27" width="16.44140625" style="277" customWidth="1"/>
    <col min="28" max="28" width="17.88671875" style="277" customWidth="1"/>
    <col min="29" max="32" width="9" style="277" customWidth="1"/>
    <col min="33" max="33" width="27.6640625" style="277" hidden="1" customWidth="1"/>
    <col min="34" max="34" width="31.44140625" style="277" hidden="1" customWidth="1"/>
    <col min="35" max="38" width="9" style="277" hidden="1" customWidth="1"/>
    <col min="39" max="39" width="19.6640625" style="277" hidden="1" customWidth="1"/>
    <col min="40" max="40" width="31.44140625" style="277" hidden="1" customWidth="1"/>
    <col min="41" max="45" width="9" style="277" hidden="1" customWidth="1"/>
    <col min="46" max="56" width="0" style="277" hidden="1" customWidth="1"/>
    <col min="57" max="16384" width="9" style="277"/>
  </cols>
  <sheetData>
    <row r="1" spans="3:54" s="280" customFormat="1" ht="27.75" customHeight="1">
      <c r="C1" s="273" t="s">
        <v>125</v>
      </c>
      <c r="D1" s="274"/>
      <c r="E1" s="274"/>
      <c r="F1" s="275"/>
      <c r="G1" s="275"/>
      <c r="H1" s="275"/>
      <c r="I1" s="276" t="s">
        <v>4101</v>
      </c>
      <c r="J1" s="652" t="str">
        <f>"（"&amp;はじめに!E4+2&amp;"年度）"</f>
        <v>（2年度）</v>
      </c>
      <c r="K1" s="652"/>
      <c r="L1" s="277"/>
      <c r="M1" s="277"/>
      <c r="N1" s="278"/>
      <c r="O1" s="278"/>
      <c r="P1"/>
      <c r="Q1"/>
      <c r="R1"/>
      <c r="S1"/>
      <c r="T1" s="279">
        <f>はじめに!E4+2</f>
        <v>2</v>
      </c>
      <c r="AW1" s="277" t="str">
        <f>IF(T1=2022,AZ1,AZ2)</f>
        <v>一般その他化石2023</v>
      </c>
      <c r="AX1" s="277" t="str">
        <f>IF(T1=2022,BB1,BB2)</f>
        <v>一般その他非化石2023</v>
      </c>
      <c r="AZ1" s="280" t="s">
        <v>5075</v>
      </c>
      <c r="BB1" s="280" t="s">
        <v>5076</v>
      </c>
    </row>
    <row r="2" spans="3:54" ht="12" customHeight="1">
      <c r="N2" s="278">
        <f>はじめに!E4</f>
        <v>0</v>
      </c>
      <c r="O2" s="278"/>
      <c r="P2"/>
      <c r="Q2"/>
      <c r="R2"/>
      <c r="S2"/>
      <c r="T2" s="281"/>
      <c r="AH2" s="282">
        <v>2022</v>
      </c>
      <c r="AN2" s="282">
        <v>2023</v>
      </c>
      <c r="AZ2" s="280" t="s">
        <v>5077</v>
      </c>
      <c r="BB2" s="280" t="s">
        <v>5078</v>
      </c>
    </row>
    <row r="3" spans="3:54" ht="32.4" customHeight="1" thickBot="1">
      <c r="C3" s="283" t="s">
        <v>5079</v>
      </c>
      <c r="D3" s="283"/>
      <c r="E3" s="283"/>
      <c r="F3" s="283"/>
      <c r="G3" s="283"/>
      <c r="H3" s="284"/>
      <c r="I3" s="284"/>
      <c r="J3" s="284"/>
      <c r="K3" s="284"/>
      <c r="L3" s="284"/>
      <c r="M3" s="284"/>
      <c r="N3" s="284"/>
      <c r="O3" s="278"/>
      <c r="P3"/>
      <c r="Q3"/>
      <c r="R3"/>
      <c r="S3"/>
      <c r="T3" s="285"/>
      <c r="U3" s="283" t="s">
        <v>5079</v>
      </c>
      <c r="AI3" s="277" t="s">
        <v>42</v>
      </c>
      <c r="AO3" s="277" t="s">
        <v>42</v>
      </c>
    </row>
    <row r="4" spans="3:54" ht="19.350000000000001" customHeight="1" thickBot="1">
      <c r="C4" s="646" t="s">
        <v>5082</v>
      </c>
      <c r="D4" s="647"/>
      <c r="E4" s="647"/>
      <c r="F4" s="647"/>
      <c r="G4" s="647"/>
      <c r="H4" s="648"/>
      <c r="I4" s="653" t="s">
        <v>112</v>
      </c>
      <c r="J4" s="655" t="s">
        <v>40</v>
      </c>
      <c r="K4" s="657" t="s">
        <v>41</v>
      </c>
      <c r="L4" s="661" t="s">
        <v>42</v>
      </c>
      <c r="M4" s="667" t="s">
        <v>5083</v>
      </c>
      <c r="N4" s="665" t="s">
        <v>5084</v>
      </c>
      <c r="O4" s="278"/>
      <c r="P4"/>
      <c r="Q4"/>
      <c r="R4" s="277">
        <f>IF(V4=0,0,1)</f>
        <v>0</v>
      </c>
      <c r="S4"/>
      <c r="T4" s="285"/>
      <c r="U4" s="289" t="s">
        <v>113</v>
      </c>
      <c r="V4" s="290">
        <f>SUM(M22,M30,M42)</f>
        <v>0</v>
      </c>
      <c r="W4" s="291" t="s">
        <v>116</v>
      </c>
      <c r="AE4" s="292"/>
      <c r="AG4" s="277">
        <v>1</v>
      </c>
      <c r="AH4" s="277" t="s">
        <v>4258</v>
      </c>
      <c r="AI4" s="277" t="s">
        <v>4181</v>
      </c>
      <c r="AJ4" s="277">
        <f t="shared" ref="AJ4:AJ20" si="0">SUMIFS($I$13:$I$19,$E$13:$E$19,$AN4)</f>
        <v>0</v>
      </c>
      <c r="AK4" s="277">
        <f t="shared" ref="AK4:AK20" si="1">SUMIFS($J$13:$J$19,$E$13:$E$19,$AN4)</f>
        <v>0</v>
      </c>
      <c r="AM4" s="277">
        <v>1</v>
      </c>
      <c r="AN4" s="277" t="s">
        <v>4258</v>
      </c>
      <c r="AO4" s="277" t="s">
        <v>4181</v>
      </c>
      <c r="AP4" s="277">
        <f t="shared" ref="AP4:AP60" si="2">SUMIFS($I$13:$I$19,$E$13:$E$19,$AN4)</f>
        <v>0</v>
      </c>
      <c r="AQ4" s="277">
        <f t="shared" ref="AQ4:AQ60" si="3">SUMIFS($J$13:$J$19,$E$13:$E$19,$AN4)</f>
        <v>0</v>
      </c>
      <c r="AR4" s="277">
        <f t="shared" ref="AR4:AR34" si="4">COUNTIF($AT$4:$AT$10,AN4)</f>
        <v>1</v>
      </c>
      <c r="AT4" s="277" t="s">
        <v>4966</v>
      </c>
    </row>
    <row r="5" spans="3:54" ht="19.350000000000001" customHeight="1">
      <c r="C5" s="649"/>
      <c r="D5" s="650"/>
      <c r="E5" s="650"/>
      <c r="F5" s="650"/>
      <c r="G5" s="650"/>
      <c r="H5" s="651"/>
      <c r="I5" s="654"/>
      <c r="J5" s="656"/>
      <c r="K5" s="658"/>
      <c r="L5" s="662"/>
      <c r="M5" s="664"/>
      <c r="N5" s="666"/>
      <c r="O5" s="278"/>
      <c r="P5" s="296" t="s">
        <v>5080</v>
      </c>
      <c r="Q5" s="296" t="s">
        <v>5081</v>
      </c>
      <c r="R5" s="296" t="s">
        <v>4961</v>
      </c>
      <c r="S5" s="296" t="s">
        <v>4962</v>
      </c>
      <c r="T5" s="285"/>
      <c r="U5" s="297" t="s">
        <v>114</v>
      </c>
      <c r="V5" s="298">
        <f>V4*0.0258</f>
        <v>0</v>
      </c>
      <c r="W5" s="299" t="s">
        <v>117</v>
      </c>
      <c r="AE5" s="292"/>
      <c r="AG5" s="277">
        <v>2</v>
      </c>
      <c r="AH5" s="292" t="s">
        <v>46</v>
      </c>
      <c r="AI5" s="277" t="s">
        <v>4182</v>
      </c>
      <c r="AJ5" s="277">
        <f t="shared" si="0"/>
        <v>0</v>
      </c>
      <c r="AK5" s="277">
        <f t="shared" si="1"/>
        <v>0</v>
      </c>
      <c r="AM5" s="277">
        <v>2</v>
      </c>
      <c r="AN5" s="292" t="s">
        <v>46</v>
      </c>
      <c r="AO5" s="277" t="s">
        <v>4182</v>
      </c>
      <c r="AP5" s="277">
        <f t="shared" si="2"/>
        <v>0</v>
      </c>
      <c r="AQ5" s="277">
        <f t="shared" si="3"/>
        <v>0</v>
      </c>
      <c r="AR5" s="277">
        <f t="shared" si="4"/>
        <v>1</v>
      </c>
      <c r="AT5" s="277" t="s">
        <v>46</v>
      </c>
    </row>
    <row r="6" spans="3:54" ht="19.350000000000001" customHeight="1" thickBot="1">
      <c r="C6" s="300"/>
      <c r="D6" s="301" t="s">
        <v>44</v>
      </c>
      <c r="E6" s="302"/>
      <c r="F6" s="302"/>
      <c r="G6" s="302"/>
      <c r="H6" s="302"/>
      <c r="I6" s="303" t="str">
        <f>'計算シート（第１～第３年度）'!Q26</f>
        <v/>
      </c>
      <c r="J6" s="163"/>
      <c r="K6" s="304" t="str">
        <f>IF(AND(I6="",J6=""),"",SUM(I6)-SUM(J6))</f>
        <v/>
      </c>
      <c r="L6" s="305" t="s">
        <v>39</v>
      </c>
      <c r="M6" s="577" t="str">
        <f t="shared" ref="M6:M12" si="5">IFERROR(IF(K6="","",$K6*R6),"-------------")</f>
        <v/>
      </c>
      <c r="N6" s="306" t="str">
        <f t="shared" ref="N6:N17" si="6">IFERROR(IF(K6="","",$M6*S6*44/12),"----------")</f>
        <v/>
      </c>
      <c r="O6" s="278"/>
      <c r="P6" s="307" t="s">
        <v>4258</v>
      </c>
      <c r="Q6" s="307" t="s">
        <v>4258</v>
      </c>
      <c r="R6" s="307">
        <f t="shared" ref="R6:R12" si="7">IF($T$1=2022,VLOOKUP(P6,係数2022,7,0),VLOOKUP(Q6,係数2023,7,0))</f>
        <v>33.4</v>
      </c>
      <c r="S6" s="308">
        <f t="shared" ref="S6:S12" si="8">IF($T$1=2022,VLOOKUP(P6,係数2022,9,0),VLOOKUP(Q6,係数2023,9,0))</f>
        <v>1.8700000000000001E-2</v>
      </c>
      <c r="T6" s="292"/>
      <c r="U6" s="309" t="s">
        <v>118</v>
      </c>
      <c r="V6" s="310">
        <f>ROUNDDOWN(SUM(N22,N30,N42),1)</f>
        <v>0</v>
      </c>
      <c r="W6" s="490" t="s">
        <v>5085</v>
      </c>
      <c r="AG6" s="277">
        <v>3</v>
      </c>
      <c r="AH6" s="277" t="s">
        <v>47</v>
      </c>
      <c r="AI6" s="277" t="s">
        <v>5086</v>
      </c>
      <c r="AJ6" s="277">
        <f t="shared" si="0"/>
        <v>0</v>
      </c>
      <c r="AK6" s="277">
        <f t="shared" si="1"/>
        <v>0</v>
      </c>
      <c r="AM6" s="277">
        <v>3</v>
      </c>
      <c r="AN6" s="277" t="s">
        <v>47</v>
      </c>
      <c r="AO6" s="277" t="s">
        <v>5086</v>
      </c>
      <c r="AP6" s="277">
        <f t="shared" si="2"/>
        <v>0</v>
      </c>
      <c r="AQ6" s="277">
        <f t="shared" si="3"/>
        <v>0</v>
      </c>
      <c r="AR6" s="277">
        <f t="shared" si="4"/>
        <v>1</v>
      </c>
      <c r="AT6" s="277" t="s">
        <v>47</v>
      </c>
    </row>
    <row r="7" spans="3:54" ht="19.350000000000001" customHeight="1">
      <c r="C7" s="313"/>
      <c r="D7" s="314" t="s">
        <v>46</v>
      </c>
      <c r="E7" s="302"/>
      <c r="F7" s="302"/>
      <c r="G7" s="302"/>
      <c r="H7" s="302"/>
      <c r="I7" s="303" t="str">
        <f>'計算シート（第１～第３年度）'!Q27</f>
        <v/>
      </c>
      <c r="J7" s="163"/>
      <c r="K7" s="304" t="str">
        <f t="shared" ref="K7:K12" si="9">IF(AND(I7="",J7=""),"",SUM(I7)-SUM(J7))</f>
        <v/>
      </c>
      <c r="L7" s="305" t="s">
        <v>39</v>
      </c>
      <c r="M7" s="577" t="str">
        <f t="shared" si="5"/>
        <v/>
      </c>
      <c r="N7" s="306" t="str">
        <f t="shared" si="6"/>
        <v/>
      </c>
      <c r="O7" s="278"/>
      <c r="P7" s="307" t="s">
        <v>46</v>
      </c>
      <c r="Q7" s="307" t="s">
        <v>46</v>
      </c>
      <c r="R7" s="307">
        <f t="shared" si="7"/>
        <v>36.5</v>
      </c>
      <c r="S7" s="315">
        <f t="shared" si="8"/>
        <v>1.8700000000000001E-2</v>
      </c>
      <c r="T7" s="292"/>
      <c r="X7" s="312"/>
      <c r="Y7" s="312"/>
      <c r="Z7" s="312"/>
      <c r="AG7" s="277">
        <v>4</v>
      </c>
      <c r="AH7" s="292" t="s">
        <v>48</v>
      </c>
      <c r="AI7" s="277" t="s">
        <v>4181</v>
      </c>
      <c r="AJ7" s="277">
        <f t="shared" si="0"/>
        <v>0</v>
      </c>
      <c r="AK7" s="277">
        <f t="shared" si="1"/>
        <v>0</v>
      </c>
      <c r="AM7" s="277">
        <v>4</v>
      </c>
      <c r="AN7" s="292" t="s">
        <v>48</v>
      </c>
      <c r="AO7" s="277" t="s">
        <v>4181</v>
      </c>
      <c r="AP7" s="277">
        <f t="shared" si="2"/>
        <v>0</v>
      </c>
      <c r="AQ7" s="277">
        <f t="shared" si="3"/>
        <v>0</v>
      </c>
      <c r="AR7" s="277">
        <f t="shared" si="4"/>
        <v>1</v>
      </c>
      <c r="AT7" s="277" t="s">
        <v>48</v>
      </c>
    </row>
    <row r="8" spans="3:54" ht="19.350000000000001" customHeight="1">
      <c r="C8" s="313"/>
      <c r="D8" s="314" t="s">
        <v>47</v>
      </c>
      <c r="E8" s="302"/>
      <c r="F8" s="302"/>
      <c r="G8" s="302"/>
      <c r="H8" s="302"/>
      <c r="I8" s="303" t="str">
        <f>'計算シート（第１～第３年度）'!Q28</f>
        <v/>
      </c>
      <c r="J8" s="163"/>
      <c r="K8" s="304" t="str">
        <f t="shared" si="9"/>
        <v/>
      </c>
      <c r="L8" s="305" t="s">
        <v>39</v>
      </c>
      <c r="M8" s="577" t="str">
        <f t="shared" si="5"/>
        <v/>
      </c>
      <c r="N8" s="306" t="str">
        <f t="shared" si="6"/>
        <v/>
      </c>
      <c r="O8" s="278"/>
      <c r="P8" s="307" t="s">
        <v>47</v>
      </c>
      <c r="Q8" s="307" t="s">
        <v>47</v>
      </c>
      <c r="R8" s="307">
        <f>IF($T$1=2022,VLOOKUP(P8,係数2022,7,0),VLOOKUP(Q8,係数2023,7,0))</f>
        <v>38</v>
      </c>
      <c r="S8" s="315">
        <f t="shared" si="8"/>
        <v>1.8800000000000001E-2</v>
      </c>
      <c r="T8" s="292"/>
      <c r="U8" s="668" t="s">
        <v>5144</v>
      </c>
      <c r="V8" s="919" t="s">
        <v>5145</v>
      </c>
      <c r="W8" s="920"/>
      <c r="X8" s="316"/>
      <c r="Y8" s="317"/>
      <c r="Z8" s="318"/>
      <c r="AG8" s="277">
        <v>5</v>
      </c>
      <c r="AH8" s="292" t="s">
        <v>49</v>
      </c>
      <c r="AI8" s="277" t="s">
        <v>4181</v>
      </c>
      <c r="AJ8" s="277">
        <f t="shared" si="0"/>
        <v>0</v>
      </c>
      <c r="AK8" s="277">
        <f t="shared" si="1"/>
        <v>0</v>
      </c>
      <c r="AM8" s="277">
        <v>5</v>
      </c>
      <c r="AN8" s="292" t="s">
        <v>49</v>
      </c>
      <c r="AO8" s="277" t="s">
        <v>4181</v>
      </c>
      <c r="AP8" s="277">
        <f t="shared" si="2"/>
        <v>0</v>
      </c>
      <c r="AQ8" s="277">
        <f t="shared" si="3"/>
        <v>0</v>
      </c>
      <c r="AR8" s="277">
        <f t="shared" si="4"/>
        <v>1</v>
      </c>
      <c r="AT8" s="277" t="s">
        <v>49</v>
      </c>
    </row>
    <row r="9" spans="3:54" ht="19.350000000000001" customHeight="1">
      <c r="C9" s="313"/>
      <c r="D9" s="314" t="s">
        <v>48</v>
      </c>
      <c r="E9" s="302"/>
      <c r="F9" s="302"/>
      <c r="G9" s="302"/>
      <c r="H9" s="302"/>
      <c r="I9" s="303" t="str">
        <f>'計算シート（第１～第３年度）'!Q29</f>
        <v/>
      </c>
      <c r="J9" s="163"/>
      <c r="K9" s="304" t="str">
        <f t="shared" si="9"/>
        <v/>
      </c>
      <c r="L9" s="305" t="s">
        <v>39</v>
      </c>
      <c r="M9" s="577" t="str">
        <f t="shared" si="5"/>
        <v/>
      </c>
      <c r="N9" s="306" t="str">
        <f t="shared" si="6"/>
        <v/>
      </c>
      <c r="O9" s="319"/>
      <c r="P9" s="307" t="s">
        <v>48</v>
      </c>
      <c r="Q9" s="307" t="s">
        <v>48</v>
      </c>
      <c r="R9" s="307">
        <f t="shared" si="7"/>
        <v>38.9</v>
      </c>
      <c r="S9" s="315">
        <f t="shared" si="8"/>
        <v>1.9300000000000001E-2</v>
      </c>
      <c r="T9" s="292"/>
      <c r="U9" s="669"/>
      <c r="V9" s="921"/>
      <c r="W9" s="922"/>
      <c r="X9" s="674" t="s">
        <v>5146</v>
      </c>
      <c r="Y9" s="675"/>
      <c r="Z9" s="320" t="s">
        <v>5147</v>
      </c>
      <c r="AG9" s="277">
        <v>6</v>
      </c>
      <c r="AH9" s="277" t="s">
        <v>4179</v>
      </c>
      <c r="AI9" s="277" t="s">
        <v>4182</v>
      </c>
      <c r="AJ9" s="277">
        <f t="shared" si="0"/>
        <v>0</v>
      </c>
      <c r="AK9" s="277">
        <f t="shared" si="1"/>
        <v>0</v>
      </c>
      <c r="AM9" s="277">
        <v>6</v>
      </c>
      <c r="AN9" s="277" t="s">
        <v>4179</v>
      </c>
      <c r="AO9" s="277" t="s">
        <v>4182</v>
      </c>
      <c r="AP9" s="277">
        <f t="shared" si="2"/>
        <v>0</v>
      </c>
      <c r="AQ9" s="277">
        <f t="shared" si="3"/>
        <v>0</v>
      </c>
      <c r="AR9" s="277">
        <f t="shared" si="4"/>
        <v>1</v>
      </c>
      <c r="AT9" s="277" t="s">
        <v>4179</v>
      </c>
    </row>
    <row r="10" spans="3:54" ht="19.350000000000001" customHeight="1">
      <c r="C10" s="313" t="s">
        <v>5088</v>
      </c>
      <c r="D10" s="314" t="s">
        <v>49</v>
      </c>
      <c r="E10" s="302"/>
      <c r="F10" s="302"/>
      <c r="G10" s="302"/>
      <c r="H10" s="302"/>
      <c r="I10" s="303" t="str">
        <f>'計算シート（第１～第３年度）'!Q30</f>
        <v/>
      </c>
      <c r="J10" s="163"/>
      <c r="K10" s="304" t="str">
        <f t="shared" si="9"/>
        <v/>
      </c>
      <c r="L10" s="305" t="s">
        <v>39</v>
      </c>
      <c r="M10" s="577" t="str">
        <f t="shared" si="5"/>
        <v/>
      </c>
      <c r="N10" s="306" t="str">
        <f t="shared" si="6"/>
        <v/>
      </c>
      <c r="O10" s="319"/>
      <c r="P10" s="307" t="s">
        <v>49</v>
      </c>
      <c r="Q10" s="307" t="s">
        <v>49</v>
      </c>
      <c r="R10" s="307">
        <f t="shared" si="7"/>
        <v>41.8</v>
      </c>
      <c r="S10" s="315">
        <f t="shared" si="8"/>
        <v>2.0199999999999999E-2</v>
      </c>
      <c r="T10" s="292"/>
      <c r="U10" s="321" t="s">
        <v>5154</v>
      </c>
      <c r="V10" s="491">
        <f>M22</f>
        <v>0</v>
      </c>
      <c r="W10" s="492" t="s">
        <v>116</v>
      </c>
      <c r="X10" s="676"/>
      <c r="Y10" s="677"/>
      <c r="Z10" s="324"/>
      <c r="AG10" s="277">
        <v>7</v>
      </c>
      <c r="AH10" s="277" t="s">
        <v>4272</v>
      </c>
      <c r="AI10" s="277" t="s">
        <v>5086</v>
      </c>
      <c r="AJ10" s="277">
        <f t="shared" si="0"/>
        <v>0</v>
      </c>
      <c r="AK10" s="277">
        <f t="shared" si="1"/>
        <v>0</v>
      </c>
      <c r="AM10" s="277">
        <v>7</v>
      </c>
      <c r="AN10" s="277" t="s">
        <v>4272</v>
      </c>
      <c r="AO10" s="277" t="s">
        <v>5086</v>
      </c>
      <c r="AP10" s="277">
        <f t="shared" si="2"/>
        <v>0</v>
      </c>
      <c r="AQ10" s="277">
        <f t="shared" si="3"/>
        <v>0</v>
      </c>
      <c r="AR10" s="277">
        <f t="shared" si="4"/>
        <v>1</v>
      </c>
      <c r="AT10" s="277" t="s">
        <v>4272</v>
      </c>
    </row>
    <row r="11" spans="3:54" ht="19.350000000000001" customHeight="1" thickBot="1">
      <c r="C11" s="313" t="s">
        <v>5089</v>
      </c>
      <c r="D11" s="314" t="s">
        <v>4179</v>
      </c>
      <c r="E11" s="302"/>
      <c r="F11" s="302"/>
      <c r="G11" s="302"/>
      <c r="H11" s="302"/>
      <c r="I11" s="303" t="str">
        <f>'計算シート（第１～第３年度）'!Q31</f>
        <v/>
      </c>
      <c r="J11" s="163"/>
      <c r="K11" s="304" t="str">
        <f t="shared" si="9"/>
        <v/>
      </c>
      <c r="L11" s="305" t="s">
        <v>51</v>
      </c>
      <c r="M11" s="577" t="str">
        <f t="shared" si="5"/>
        <v/>
      </c>
      <c r="N11" s="306" t="str">
        <f t="shared" si="6"/>
        <v/>
      </c>
      <c r="O11" s="319"/>
      <c r="P11" s="307" t="s">
        <v>4179</v>
      </c>
      <c r="Q11" s="307" t="s">
        <v>4179</v>
      </c>
      <c r="R11" s="307">
        <f t="shared" si="7"/>
        <v>50.1</v>
      </c>
      <c r="S11" s="315">
        <f t="shared" si="8"/>
        <v>1.6299999999999999E-2</v>
      </c>
      <c r="T11" s="292"/>
      <c r="U11" s="321" t="s">
        <v>5153</v>
      </c>
      <c r="V11" s="491">
        <f>IF(T1=2022,"-------------------",SUM(M30))</f>
        <v>0</v>
      </c>
      <c r="W11" s="492" t="s">
        <v>116</v>
      </c>
      <c r="X11" s="322">
        <f>V11</f>
        <v>0</v>
      </c>
      <c r="Y11" s="323" t="s">
        <v>116</v>
      </c>
      <c r="Z11" s="325" t="str">
        <f>IF(T1=2022,"---------------",IF(V11&lt;&gt;0,X11/V11,"---------------"))</f>
        <v>---------------</v>
      </c>
      <c r="AG11" s="277">
        <v>8</v>
      </c>
      <c r="AH11" s="292" t="s">
        <v>107</v>
      </c>
      <c r="AI11" s="277" t="s">
        <v>4181</v>
      </c>
      <c r="AJ11" s="277">
        <f t="shared" si="0"/>
        <v>0</v>
      </c>
      <c r="AK11" s="277">
        <f t="shared" si="1"/>
        <v>0</v>
      </c>
      <c r="AM11" s="277">
        <v>8</v>
      </c>
      <c r="AN11" s="292" t="s">
        <v>107</v>
      </c>
      <c r="AO11" s="277" t="s">
        <v>4181</v>
      </c>
      <c r="AP11" s="277">
        <f t="shared" si="2"/>
        <v>0</v>
      </c>
      <c r="AQ11" s="277">
        <f t="shared" si="3"/>
        <v>0</v>
      </c>
      <c r="AR11" s="277">
        <f t="shared" si="4"/>
        <v>0</v>
      </c>
    </row>
    <row r="12" spans="3:54" ht="19.350000000000001" customHeight="1" thickTop="1">
      <c r="C12" s="313" t="s">
        <v>5090</v>
      </c>
      <c r="D12" s="314" t="s">
        <v>63</v>
      </c>
      <c r="E12" s="302"/>
      <c r="F12" s="302"/>
      <c r="G12" s="302"/>
      <c r="H12" s="302"/>
      <c r="I12" s="303" t="str">
        <f>'計算シート（第１～第３年度）'!Q32</f>
        <v/>
      </c>
      <c r="J12" s="163"/>
      <c r="K12" s="304" t="str">
        <f t="shared" si="9"/>
        <v/>
      </c>
      <c r="L12" s="326" t="s">
        <v>4988</v>
      </c>
      <c r="M12" s="577" t="str">
        <f t="shared" si="5"/>
        <v/>
      </c>
      <c r="N12" s="306" t="str">
        <f t="shared" si="6"/>
        <v/>
      </c>
      <c r="O12" s="319"/>
      <c r="P12" s="327" t="s">
        <v>4272</v>
      </c>
      <c r="Q12" s="327" t="s">
        <v>4272</v>
      </c>
      <c r="R12" s="307">
        <f t="shared" si="7"/>
        <v>45</v>
      </c>
      <c r="S12" s="315">
        <f t="shared" si="8"/>
        <v>1.4E-2</v>
      </c>
      <c r="T12" s="292"/>
      <c r="U12" s="321" t="s">
        <v>5148</v>
      </c>
      <c r="V12" s="493">
        <f>SUM(V10:V11)</f>
        <v>0</v>
      </c>
      <c r="W12" s="494" t="s">
        <v>116</v>
      </c>
      <c r="X12" s="328">
        <f>IF($T$1=2022,"-------------------",SUM(X11,X10))</f>
        <v>0</v>
      </c>
      <c r="Y12" s="329" t="s">
        <v>116</v>
      </c>
      <c r="Z12" s="330">
        <f>IF($T$1=2022,"---------------",IF(X12=0,0,X12/V12))</f>
        <v>0</v>
      </c>
      <c r="AG12" s="277">
        <v>9</v>
      </c>
      <c r="AH12" s="292" t="s">
        <v>108</v>
      </c>
      <c r="AI12" s="277" t="s">
        <v>4181</v>
      </c>
      <c r="AJ12" s="277">
        <f t="shared" si="0"/>
        <v>0</v>
      </c>
      <c r="AK12" s="277">
        <f t="shared" si="1"/>
        <v>0</v>
      </c>
      <c r="AM12" s="277">
        <v>9</v>
      </c>
      <c r="AN12" s="292" t="s">
        <v>108</v>
      </c>
      <c r="AO12" s="277" t="s">
        <v>4181</v>
      </c>
      <c r="AP12" s="277">
        <f t="shared" si="2"/>
        <v>0</v>
      </c>
      <c r="AQ12" s="277">
        <f t="shared" si="3"/>
        <v>0</v>
      </c>
      <c r="AR12" s="277">
        <f t="shared" si="4"/>
        <v>0</v>
      </c>
    </row>
    <row r="13" spans="3:54" ht="19.350000000000001" customHeight="1">
      <c r="C13" s="313" t="s">
        <v>5091</v>
      </c>
      <c r="D13" s="331"/>
      <c r="E13" s="696"/>
      <c r="F13" s="697"/>
      <c r="G13" s="697"/>
      <c r="H13" s="698"/>
      <c r="I13" s="164"/>
      <c r="J13" s="163"/>
      <c r="K13" s="304" t="str">
        <f>IF(AND(I13="",J13=""),"",SUM(I13)-SUM(J13))</f>
        <v/>
      </c>
      <c r="L13" s="305" t="str">
        <f>IF(E13="","",IF($T$1=2022,VLOOKUP(E13,係数2022,6,0),VLOOKUP(E13,係数2023,6,0)))</f>
        <v/>
      </c>
      <c r="M13" s="577" t="str">
        <f>IFERROR(IF(K13="","",$K13*R13),"----------")</f>
        <v/>
      </c>
      <c r="N13" s="306" t="str">
        <f t="shared" si="6"/>
        <v/>
      </c>
      <c r="O13" s="319"/>
      <c r="P13" s="332"/>
      <c r="Q13" s="332"/>
      <c r="R13" s="332" t="e">
        <f t="shared" ref="R13:R17" si="10">IF($T$1=2022,VLOOKUP(E13,係数2022,7,0),VLOOKUP(E13,係数2023,7,0))</f>
        <v>#N/A</v>
      </c>
      <c r="S13" s="333" t="e">
        <f t="shared" ref="S13:S17" si="11">IF($T$1=2022,VLOOKUP(E13,係数2022,9,0),VLOOKUP(E13,係数2023,9,0))</f>
        <v>#N/A</v>
      </c>
      <c r="X13" s="312"/>
      <c r="Y13" s="312"/>
      <c r="Z13" s="312"/>
      <c r="AG13" s="277">
        <v>10</v>
      </c>
      <c r="AH13" s="292" t="s">
        <v>45</v>
      </c>
      <c r="AI13" s="277" t="s">
        <v>4181</v>
      </c>
      <c r="AJ13" s="277">
        <f t="shared" si="0"/>
        <v>0</v>
      </c>
      <c r="AK13" s="277">
        <f t="shared" si="1"/>
        <v>0</v>
      </c>
      <c r="AM13" s="277">
        <v>10</v>
      </c>
      <c r="AN13" s="292" t="s">
        <v>45</v>
      </c>
      <c r="AO13" s="277" t="s">
        <v>4181</v>
      </c>
      <c r="AP13" s="277">
        <f t="shared" si="2"/>
        <v>0</v>
      </c>
      <c r="AQ13" s="277">
        <f t="shared" si="3"/>
        <v>0</v>
      </c>
      <c r="AR13" s="277">
        <f t="shared" si="4"/>
        <v>0</v>
      </c>
    </row>
    <row r="14" spans="3:54" ht="19.350000000000001" customHeight="1">
      <c r="C14" s="313" t="s">
        <v>5133</v>
      </c>
      <c r="D14" s="334"/>
      <c r="E14" s="696"/>
      <c r="F14" s="697"/>
      <c r="G14" s="697"/>
      <c r="H14" s="698"/>
      <c r="I14" s="164"/>
      <c r="J14" s="163"/>
      <c r="K14" s="304" t="str">
        <f t="shared" ref="K14:K20" si="12">IF(AND(I14="",J14=""),"",SUM(I14)-SUM(J14))</f>
        <v/>
      </c>
      <c r="L14" s="305" t="str">
        <f>IF(E14="","",IF($T$1=2022,VLOOKUP(E14,係数2022,6,0),VLOOKUP(E14,係数2023,6,0)))</f>
        <v/>
      </c>
      <c r="M14" s="577" t="str">
        <f>IFERROR(IF(K14="","",$K14*R14),"----------")</f>
        <v/>
      </c>
      <c r="N14" s="306" t="str">
        <f t="shared" si="6"/>
        <v/>
      </c>
      <c r="O14" s="319"/>
      <c r="P14" s="332"/>
      <c r="Q14" s="332"/>
      <c r="R14" s="332" t="e">
        <f t="shared" si="10"/>
        <v>#N/A</v>
      </c>
      <c r="S14" s="333" t="e">
        <f t="shared" si="11"/>
        <v>#N/A</v>
      </c>
      <c r="T14" s="292"/>
      <c r="U14" s="668" t="s">
        <v>5144</v>
      </c>
      <c r="V14" s="919" t="s">
        <v>5149</v>
      </c>
      <c r="W14" s="920"/>
      <c r="X14" s="316"/>
      <c r="Y14" s="317"/>
      <c r="Z14" s="318"/>
      <c r="AG14" s="277">
        <v>11</v>
      </c>
      <c r="AH14" s="277" t="s">
        <v>4968</v>
      </c>
      <c r="AI14" s="277" t="s">
        <v>4181</v>
      </c>
      <c r="AJ14" s="277">
        <f t="shared" si="0"/>
        <v>0</v>
      </c>
      <c r="AK14" s="277">
        <f t="shared" si="1"/>
        <v>0</v>
      </c>
      <c r="AM14" s="277">
        <v>11</v>
      </c>
      <c r="AN14" s="277" t="s">
        <v>4968</v>
      </c>
      <c r="AO14" s="277" t="s">
        <v>4181</v>
      </c>
      <c r="AP14" s="277">
        <f t="shared" si="2"/>
        <v>0</v>
      </c>
      <c r="AQ14" s="277">
        <f t="shared" si="3"/>
        <v>0</v>
      </c>
      <c r="AR14" s="277">
        <f t="shared" si="4"/>
        <v>0</v>
      </c>
    </row>
    <row r="15" spans="3:54" ht="19.350000000000001" customHeight="1">
      <c r="C15" s="313" t="s">
        <v>5018</v>
      </c>
      <c r="D15" s="334"/>
      <c r="E15" s="696"/>
      <c r="F15" s="697"/>
      <c r="G15" s="697"/>
      <c r="H15" s="698"/>
      <c r="I15" s="164"/>
      <c r="J15" s="163"/>
      <c r="K15" s="304" t="str">
        <f t="shared" si="12"/>
        <v/>
      </c>
      <c r="L15" s="305" t="str">
        <f>IF(E15="","",IF($T$1=2022,VLOOKUP(E15,係数2022,6,0),VLOOKUP(E15,係数2023,6,0)))</f>
        <v/>
      </c>
      <c r="M15" s="577" t="str">
        <f>IFERROR(IF(K15="","",$K15*R15),"----------")</f>
        <v/>
      </c>
      <c r="N15" s="306" t="str">
        <f t="shared" si="6"/>
        <v/>
      </c>
      <c r="O15" s="319"/>
      <c r="P15" s="332"/>
      <c r="Q15" s="332"/>
      <c r="R15" s="332" t="e">
        <f t="shared" si="10"/>
        <v>#N/A</v>
      </c>
      <c r="S15" s="333" t="e">
        <f t="shared" si="11"/>
        <v>#N/A</v>
      </c>
      <c r="T15" s="292"/>
      <c r="U15" s="669"/>
      <c r="V15" s="921"/>
      <c r="W15" s="922"/>
      <c r="X15" s="674" t="s">
        <v>5150</v>
      </c>
      <c r="Y15" s="675"/>
      <c r="Z15" s="320" t="s">
        <v>5147</v>
      </c>
      <c r="AG15" s="277">
        <v>12</v>
      </c>
      <c r="AH15" s="292" t="s">
        <v>50</v>
      </c>
      <c r="AI15" s="277" t="s">
        <v>4181</v>
      </c>
      <c r="AJ15" s="277">
        <f t="shared" si="0"/>
        <v>0</v>
      </c>
      <c r="AK15" s="277">
        <f t="shared" si="1"/>
        <v>0</v>
      </c>
      <c r="AM15" s="277">
        <v>12</v>
      </c>
      <c r="AN15" s="292" t="s">
        <v>50</v>
      </c>
      <c r="AO15" s="277" t="s">
        <v>4181</v>
      </c>
      <c r="AP15" s="277">
        <f t="shared" si="2"/>
        <v>0</v>
      </c>
      <c r="AQ15" s="277">
        <f t="shared" si="3"/>
        <v>0</v>
      </c>
      <c r="AR15" s="277">
        <f t="shared" si="4"/>
        <v>0</v>
      </c>
    </row>
    <row r="16" spans="3:54" ht="19.350000000000001" customHeight="1">
      <c r="C16" s="300"/>
      <c r="D16" s="334" t="s">
        <v>5092</v>
      </c>
      <c r="E16" s="696"/>
      <c r="F16" s="697"/>
      <c r="G16" s="697"/>
      <c r="H16" s="698"/>
      <c r="I16" s="164"/>
      <c r="J16" s="163"/>
      <c r="K16" s="304" t="str">
        <f t="shared" si="12"/>
        <v/>
      </c>
      <c r="L16" s="305" t="str">
        <f>IF(E16="","",IF($T$1=2022,VLOOKUP(E16,係数2022,6,0),VLOOKUP(E16,係数2023,6,0)))</f>
        <v/>
      </c>
      <c r="M16" s="577" t="str">
        <f t="shared" ref="M16:M18" si="13">IFERROR(IF(K16="","",$K16*R16),"----------")</f>
        <v/>
      </c>
      <c r="N16" s="306" t="str">
        <f t="shared" si="6"/>
        <v/>
      </c>
      <c r="O16" s="319"/>
      <c r="P16" s="332"/>
      <c r="Q16" s="332"/>
      <c r="R16" s="332" t="e">
        <f t="shared" si="10"/>
        <v>#N/A</v>
      </c>
      <c r="S16" s="333" t="e">
        <f t="shared" si="11"/>
        <v>#N/A</v>
      </c>
      <c r="T16" s="292"/>
      <c r="U16" s="321" t="s">
        <v>5035</v>
      </c>
      <c r="V16" s="495">
        <f>K42</f>
        <v>0</v>
      </c>
      <c r="W16" s="496" t="s">
        <v>5151</v>
      </c>
      <c r="X16" s="336">
        <f>K41</f>
        <v>0</v>
      </c>
      <c r="Y16" s="323" t="s">
        <v>5152</v>
      </c>
      <c r="Z16" s="325">
        <f>IF($T$1=2022,"----------",IF(V16=0,0,X16/V16))</f>
        <v>0</v>
      </c>
      <c r="AG16" s="277">
        <v>13</v>
      </c>
      <c r="AH16" s="292" t="s">
        <v>53</v>
      </c>
      <c r="AI16" s="277" t="s">
        <v>4181</v>
      </c>
      <c r="AJ16" s="277">
        <f t="shared" si="0"/>
        <v>0</v>
      </c>
      <c r="AK16" s="277">
        <f t="shared" si="1"/>
        <v>0</v>
      </c>
      <c r="AM16" s="277">
        <v>13</v>
      </c>
      <c r="AN16" s="292" t="s">
        <v>53</v>
      </c>
      <c r="AO16" s="277" t="s">
        <v>4181</v>
      </c>
      <c r="AP16" s="277">
        <f t="shared" si="2"/>
        <v>0</v>
      </c>
      <c r="AQ16" s="277">
        <f t="shared" si="3"/>
        <v>0</v>
      </c>
      <c r="AR16" s="277">
        <f t="shared" si="4"/>
        <v>0</v>
      </c>
    </row>
    <row r="17" spans="3:44" ht="19.350000000000001" customHeight="1">
      <c r="C17" s="300"/>
      <c r="D17" s="334" t="s">
        <v>5093</v>
      </c>
      <c r="E17" s="696"/>
      <c r="F17" s="697"/>
      <c r="G17" s="697"/>
      <c r="H17" s="698"/>
      <c r="I17" s="164"/>
      <c r="J17" s="163"/>
      <c r="K17" s="304" t="str">
        <f t="shared" si="12"/>
        <v/>
      </c>
      <c r="L17" s="305" t="str">
        <f>IF(E17="","",IF($T$1=2022,VLOOKUP(E17,係数2022,6,0),VLOOKUP(E17,係数2023,6,0)))</f>
        <v/>
      </c>
      <c r="M17" s="577" t="str">
        <f t="shared" si="13"/>
        <v/>
      </c>
      <c r="N17" s="306" t="str">
        <f t="shared" si="6"/>
        <v/>
      </c>
      <c r="O17" s="319"/>
      <c r="P17" s="332"/>
      <c r="Q17" s="332"/>
      <c r="R17" s="332" t="e">
        <f t="shared" si="10"/>
        <v>#N/A</v>
      </c>
      <c r="S17" s="333" t="e">
        <f t="shared" si="11"/>
        <v>#N/A</v>
      </c>
      <c r="T17" s="292"/>
      <c r="X17" s="312"/>
      <c r="Y17" s="312"/>
      <c r="Z17" s="312"/>
      <c r="AG17" s="277">
        <v>14</v>
      </c>
      <c r="AH17" s="277" t="s">
        <v>4267</v>
      </c>
      <c r="AI17" s="277" t="s">
        <v>4182</v>
      </c>
      <c r="AJ17" s="277">
        <f t="shared" si="0"/>
        <v>0</v>
      </c>
      <c r="AK17" s="277">
        <f t="shared" si="1"/>
        <v>0</v>
      </c>
      <c r="AM17" s="277">
        <v>14</v>
      </c>
      <c r="AN17" s="277" t="s">
        <v>4267</v>
      </c>
      <c r="AO17" s="277" t="s">
        <v>4182</v>
      </c>
      <c r="AP17" s="277">
        <f t="shared" si="2"/>
        <v>0</v>
      </c>
      <c r="AQ17" s="277">
        <f t="shared" si="3"/>
        <v>0</v>
      </c>
      <c r="AR17" s="277">
        <f t="shared" si="4"/>
        <v>0</v>
      </c>
    </row>
    <row r="18" spans="3:44" ht="19.350000000000001" customHeight="1" thickBot="1">
      <c r="C18" s="337"/>
      <c r="D18" s="334" t="s">
        <v>5094</v>
      </c>
      <c r="E18" s="699" t="s">
        <v>119</v>
      </c>
      <c r="F18" s="700"/>
      <c r="G18" s="700"/>
      <c r="H18" s="701"/>
      <c r="I18" s="164"/>
      <c r="J18" s="163"/>
      <c r="K18" s="304" t="str">
        <f t="shared" si="12"/>
        <v/>
      </c>
      <c r="L18" s="305" t="s">
        <v>116</v>
      </c>
      <c r="M18" s="577" t="str">
        <f t="shared" si="13"/>
        <v/>
      </c>
      <c r="N18" s="338" t="str">
        <f>IF(K18="","",
      IF($T$1=2022,K18*S18,
                  IF(OR(W30="",K18=""),"",K18*W30)))</f>
        <v/>
      </c>
      <c r="O18" s="319"/>
      <c r="P18" s="332" t="s">
        <v>5141</v>
      </c>
      <c r="Q18" s="332" t="s">
        <v>5020</v>
      </c>
      <c r="R18" s="332">
        <f>IF($T$1=2022,VLOOKUP(P18,係数2022,7,0),VLOOKUP(Q18,係数2023,7,0))</f>
        <v>1.19</v>
      </c>
      <c r="S18" s="333" t="str">
        <f t="shared" ref="S18:S20" si="14">IF($T$1=2022,VLOOKUP(P18,係数2022,9,0),VLOOKUP(Q18,係数2023,9,0))</f>
        <v>ー</v>
      </c>
      <c r="T18" s="292"/>
      <c r="U18" s="339" t="s">
        <v>5087</v>
      </c>
      <c r="X18" s="312"/>
      <c r="Y18" s="312"/>
      <c r="Z18" s="312"/>
      <c r="AG18" s="277">
        <v>15</v>
      </c>
      <c r="AH18" s="292" t="s">
        <v>4180</v>
      </c>
      <c r="AI18" s="277" t="s">
        <v>5086</v>
      </c>
      <c r="AJ18" s="277">
        <f t="shared" si="0"/>
        <v>0</v>
      </c>
      <c r="AK18" s="277">
        <f t="shared" si="1"/>
        <v>0</v>
      </c>
      <c r="AM18" s="277">
        <v>15</v>
      </c>
      <c r="AN18" s="292" t="s">
        <v>4180</v>
      </c>
      <c r="AO18" s="277" t="s">
        <v>5086</v>
      </c>
      <c r="AP18" s="277">
        <f t="shared" si="2"/>
        <v>0</v>
      </c>
      <c r="AQ18" s="277">
        <f t="shared" si="3"/>
        <v>0</v>
      </c>
      <c r="AR18" s="277">
        <f t="shared" si="4"/>
        <v>0</v>
      </c>
    </row>
    <row r="19" spans="3:44" ht="19.350000000000001" customHeight="1" thickBot="1">
      <c r="C19" s="337"/>
      <c r="D19" s="334"/>
      <c r="E19" s="699" t="s">
        <v>65</v>
      </c>
      <c r="F19" s="700"/>
      <c r="G19" s="700"/>
      <c r="H19" s="701"/>
      <c r="I19" s="164"/>
      <c r="J19" s="163"/>
      <c r="K19" s="304" t="str">
        <f t="shared" si="12"/>
        <v/>
      </c>
      <c r="L19" s="305" t="s">
        <v>116</v>
      </c>
      <c r="M19" s="577" t="str">
        <f>IFERROR(IF(K19="","",$K19*R19),"----------")</f>
        <v/>
      </c>
      <c r="N19" s="338" t="str">
        <f>IF(K19="","",
      IF($T$1=2022,K19*S19,
                  IF(OR(W31="",K19=""),"",K19*W31)))</f>
        <v/>
      </c>
      <c r="O19" s="319"/>
      <c r="P19" s="332" t="s">
        <v>65</v>
      </c>
      <c r="Q19" s="332" t="s">
        <v>5021</v>
      </c>
      <c r="R19" s="332">
        <f t="shared" ref="R19:R20" si="15">IF($T$1=2022,VLOOKUP(P19,係数2022,7,0),VLOOKUP(Q19,係数2023,7,0))</f>
        <v>1.19</v>
      </c>
      <c r="S19" s="333" t="str">
        <f t="shared" si="14"/>
        <v>ー</v>
      </c>
      <c r="T19" s="292"/>
      <c r="U19" s="340" t="s">
        <v>118</v>
      </c>
      <c r="V19" s="341">
        <f>SUM(G54)</f>
        <v>0</v>
      </c>
      <c r="W19" s="497" t="s">
        <v>5085</v>
      </c>
      <c r="X19" s="312"/>
      <c r="Y19" s="312"/>
      <c r="Z19" s="312"/>
      <c r="AG19" s="277">
        <v>16</v>
      </c>
      <c r="AH19" s="292" t="s">
        <v>54</v>
      </c>
      <c r="AI19" s="277" t="s">
        <v>4182</v>
      </c>
      <c r="AJ19" s="277">
        <f t="shared" si="0"/>
        <v>0</v>
      </c>
      <c r="AK19" s="277">
        <f t="shared" si="1"/>
        <v>0</v>
      </c>
      <c r="AM19" s="277">
        <v>16</v>
      </c>
      <c r="AN19" s="292" t="s">
        <v>54</v>
      </c>
      <c r="AO19" s="277" t="s">
        <v>4182</v>
      </c>
      <c r="AP19" s="277">
        <f t="shared" si="2"/>
        <v>0</v>
      </c>
      <c r="AQ19" s="277">
        <f t="shared" si="3"/>
        <v>0</v>
      </c>
      <c r="AR19" s="277">
        <f t="shared" si="4"/>
        <v>0</v>
      </c>
    </row>
    <row r="20" spans="3:44" ht="19.350000000000001" customHeight="1">
      <c r="C20" s="343"/>
      <c r="D20" s="344"/>
      <c r="E20" s="699" t="s">
        <v>66</v>
      </c>
      <c r="F20" s="700"/>
      <c r="G20" s="700"/>
      <c r="H20" s="701"/>
      <c r="I20" s="164"/>
      <c r="J20" s="163"/>
      <c r="K20" s="304" t="str">
        <f t="shared" si="12"/>
        <v/>
      </c>
      <c r="L20" s="305" t="s">
        <v>116</v>
      </c>
      <c r="M20" s="578" t="str">
        <f>IFERROR(IF(K20="","",$K20*R20),"----------")</f>
        <v/>
      </c>
      <c r="N20" s="338" t="str">
        <f>IF(K20="","",
      IF($T$1=2022,K20*S20,
                  IF(OR(W32="",K20=""),"",K20*W32)))</f>
        <v/>
      </c>
      <c r="O20" s="319"/>
      <c r="P20" s="332" t="s">
        <v>66</v>
      </c>
      <c r="Q20" s="332" t="s">
        <v>5022</v>
      </c>
      <c r="R20" s="332">
        <f t="shared" si="15"/>
        <v>1.19</v>
      </c>
      <c r="S20" s="333" t="str">
        <f t="shared" si="14"/>
        <v>ー</v>
      </c>
      <c r="T20" s="292"/>
      <c r="AG20" s="277">
        <v>17</v>
      </c>
      <c r="AH20" s="292" t="s">
        <v>56</v>
      </c>
      <c r="AI20" s="277" t="s">
        <v>4182</v>
      </c>
      <c r="AJ20" s="277">
        <f t="shared" si="0"/>
        <v>0</v>
      </c>
      <c r="AK20" s="277">
        <f t="shared" si="1"/>
        <v>0</v>
      </c>
      <c r="AM20" s="277">
        <v>17</v>
      </c>
      <c r="AN20" s="277" t="s">
        <v>4976</v>
      </c>
      <c r="AO20" s="277" t="s">
        <v>4182</v>
      </c>
      <c r="AP20" s="277">
        <f t="shared" si="2"/>
        <v>0</v>
      </c>
      <c r="AQ20" s="277">
        <f t="shared" si="3"/>
        <v>0</v>
      </c>
      <c r="AR20" s="277">
        <f t="shared" si="4"/>
        <v>0</v>
      </c>
    </row>
    <row r="21" spans="3:44" ht="19.350000000000001" customHeight="1" thickBot="1">
      <c r="C21" s="343"/>
      <c r="D21" s="345"/>
      <c r="E21" s="346" t="str">
        <f>"その他（"&amp;U35&amp;"）"</f>
        <v>その他（）</v>
      </c>
      <c r="F21" s="347"/>
      <c r="G21" s="347"/>
      <c r="H21" s="348"/>
      <c r="I21" s="165"/>
      <c r="J21" s="163"/>
      <c r="K21" s="349" t="str">
        <f>IF(AND(I21="",J21=""),"",SUM(I21)-SUM(J21))</f>
        <v/>
      </c>
      <c r="L21" s="166"/>
      <c r="M21" s="599"/>
      <c r="N21" s="236"/>
      <c r="O21" s="319"/>
      <c r="P21" s="327"/>
      <c r="Q21" s="327"/>
      <c r="R21" s="327"/>
      <c r="S21" s="350"/>
      <c r="T21" s="292"/>
      <c r="U21" s="339" t="s">
        <v>127</v>
      </c>
      <c r="AG21" s="277">
        <v>18</v>
      </c>
      <c r="AH21" s="292" t="s">
        <v>57</v>
      </c>
      <c r="AI21" s="277" t="s">
        <v>4182</v>
      </c>
      <c r="AJ21" s="277">
        <f>SUMIFS($I$13:$I$19,$E$13:$E$19,$AV25)</f>
        <v>0</v>
      </c>
      <c r="AK21" s="277">
        <f>SUMIFS($J$13:$J$19,$E$13:$E$19,$AV25)</f>
        <v>0</v>
      </c>
      <c r="AM21" s="277">
        <v>18</v>
      </c>
      <c r="AN21" s="277" t="s">
        <v>4977</v>
      </c>
      <c r="AO21" s="277" t="s">
        <v>4182</v>
      </c>
      <c r="AP21" s="277">
        <f t="shared" si="2"/>
        <v>0</v>
      </c>
      <c r="AQ21" s="277">
        <f t="shared" si="3"/>
        <v>0</v>
      </c>
      <c r="AR21" s="277">
        <f t="shared" si="4"/>
        <v>0</v>
      </c>
    </row>
    <row r="22" spans="3:44" ht="19.350000000000001" customHeight="1" thickTop="1" thickBot="1">
      <c r="C22" s="714" t="s">
        <v>67</v>
      </c>
      <c r="D22" s="715"/>
      <c r="E22" s="715"/>
      <c r="F22" s="715"/>
      <c r="G22" s="715"/>
      <c r="H22" s="716"/>
      <c r="I22" s="352" t="s">
        <v>68</v>
      </c>
      <c r="J22" s="353" t="s">
        <v>68</v>
      </c>
      <c r="K22" s="353" t="s">
        <v>68</v>
      </c>
      <c r="L22" s="354" t="s">
        <v>68</v>
      </c>
      <c r="M22" s="580">
        <f>SUM(M6:M21)</f>
        <v>0</v>
      </c>
      <c r="N22" s="355">
        <f>SUM(N6:N21)</f>
        <v>0</v>
      </c>
      <c r="O22" s="319"/>
      <c r="P22" s="351"/>
      <c r="Q22" s="351"/>
      <c r="R22" s="351"/>
      <c r="S22" s="351"/>
      <c r="T22" s="292"/>
      <c r="U22" s="340" t="s">
        <v>154</v>
      </c>
      <c r="V22" s="356">
        <f>SUM(G66)</f>
        <v>0</v>
      </c>
      <c r="W22" s="497" t="s">
        <v>5085</v>
      </c>
      <c r="AG22" s="277">
        <v>19</v>
      </c>
      <c r="AH22" s="292" t="s">
        <v>4985</v>
      </c>
      <c r="AI22" s="277" t="s">
        <v>4182</v>
      </c>
      <c r="AJ22" s="277">
        <f>SUMIFS($I$13:$I$19,$E$13:$E$19,$AV26)</f>
        <v>0</v>
      </c>
      <c r="AK22" s="277">
        <f>SUMIFS($J$13:$J$19,$E$13:$E$19,$AV26)</f>
        <v>0</v>
      </c>
      <c r="AM22" s="277">
        <v>19</v>
      </c>
      <c r="AN22" s="292" t="s">
        <v>4979</v>
      </c>
      <c r="AO22" s="277" t="s">
        <v>4182</v>
      </c>
      <c r="AP22" s="277">
        <f t="shared" si="2"/>
        <v>0</v>
      </c>
      <c r="AQ22" s="277">
        <f t="shared" si="3"/>
        <v>0</v>
      </c>
      <c r="AR22" s="277">
        <f t="shared" si="4"/>
        <v>0</v>
      </c>
    </row>
    <row r="23" spans="3:44" ht="19.350000000000001" customHeight="1" thickBot="1">
      <c r="C23" s="733" t="s">
        <v>5142</v>
      </c>
      <c r="D23" s="739"/>
      <c r="E23" s="740"/>
      <c r="F23" s="740"/>
      <c r="G23" s="740"/>
      <c r="H23" s="741"/>
      <c r="I23" s="168"/>
      <c r="J23" s="169"/>
      <c r="K23" s="357" t="str">
        <f t="shared" ref="K23:K29" si="16">IF(AND(I23="",J23=""),"",SUM(I23)-SUM(J23))</f>
        <v/>
      </c>
      <c r="L23" s="358" t="str">
        <f t="shared" ref="L23:L28" si="17">IF(D23="","",IF($T$1=2022,"----------",VLOOKUP(D23,係数2023,6,0)))</f>
        <v/>
      </c>
      <c r="M23" s="581" t="str">
        <f t="shared" ref="M23:M28" si="18">IFERROR(IF(K23="","",$K23*R23),"-------------")</f>
        <v/>
      </c>
      <c r="N23" s="359" t="str">
        <f t="shared" ref="N23:N28" si="19">IFERROR(IF(K23="","",$M23*S23*44/12),"----------")</f>
        <v/>
      </c>
      <c r="O23" s="319"/>
      <c r="P23" s="360"/>
      <c r="Q23" s="360"/>
      <c r="R23" s="361" t="e">
        <f t="shared" ref="R23:R28" si="20">IF($T$1=2022,VLOOKUP(D23,係数2022,7,0),VLOOKUP(D23,係数2023,7,0))</f>
        <v>#N/A</v>
      </c>
      <c r="S23" s="362" t="e">
        <f t="shared" ref="S23:S28" si="21">IF($T$1=2022,VLOOKUP(D23,係数2022,9,0),VLOOKUP(D23,係数2023,9,0))</f>
        <v>#N/A</v>
      </c>
      <c r="T23" s="12"/>
      <c r="AG23" s="277">
        <v>20</v>
      </c>
      <c r="AH23" s="277" t="s">
        <v>58</v>
      </c>
      <c r="AI23" s="277" t="s">
        <v>4182</v>
      </c>
      <c r="AJ23" s="277">
        <f>SUMIFS($I$13:$I$19,$E$13:$E$19,$AN26)</f>
        <v>0</v>
      </c>
      <c r="AK23" s="277">
        <f>SUMIFS($J$13:$J$19,$E$13:$E$19,$AN26)</f>
        <v>0</v>
      </c>
      <c r="AM23" s="277">
        <v>20</v>
      </c>
      <c r="AN23" s="277" t="s">
        <v>4982</v>
      </c>
      <c r="AO23" s="277" t="s">
        <v>4182</v>
      </c>
      <c r="AP23" s="277">
        <f t="shared" si="2"/>
        <v>0</v>
      </c>
      <c r="AQ23" s="277">
        <f t="shared" si="3"/>
        <v>0</v>
      </c>
      <c r="AR23" s="277">
        <f t="shared" si="4"/>
        <v>0</v>
      </c>
    </row>
    <row r="24" spans="3:44" ht="19.350000000000001" customHeight="1" thickBot="1">
      <c r="C24" s="734"/>
      <c r="D24" s="736"/>
      <c r="E24" s="737"/>
      <c r="F24" s="737"/>
      <c r="G24" s="737"/>
      <c r="H24" s="738"/>
      <c r="I24" s="170"/>
      <c r="J24" s="171"/>
      <c r="K24" s="363" t="str">
        <f t="shared" si="16"/>
        <v/>
      </c>
      <c r="L24" s="305" t="str">
        <f t="shared" si="17"/>
        <v/>
      </c>
      <c r="M24" s="582" t="str">
        <f t="shared" si="18"/>
        <v/>
      </c>
      <c r="N24" s="338" t="str">
        <f t="shared" si="19"/>
        <v/>
      </c>
      <c r="O24" s="319"/>
      <c r="P24" s="364"/>
      <c r="Q24" s="364"/>
      <c r="R24" s="365" t="e">
        <f t="shared" si="20"/>
        <v>#N/A</v>
      </c>
      <c r="S24" s="366" t="e">
        <f t="shared" si="21"/>
        <v>#N/A</v>
      </c>
      <c r="T24" s="12"/>
      <c r="U24" s="340" t="s">
        <v>155</v>
      </c>
      <c r="V24" s="498">
        <f>V6+V19-V22</f>
        <v>0</v>
      </c>
      <c r="W24" s="497" t="s">
        <v>5085</v>
      </c>
      <c r="AG24" s="277">
        <v>21</v>
      </c>
      <c r="AH24" s="277" t="s">
        <v>59</v>
      </c>
      <c r="AI24" s="277" t="s">
        <v>4182</v>
      </c>
      <c r="AJ24" s="277">
        <f>SUMIFS($I$13:$I$19,$E$13:$E$19,$AN27)</f>
        <v>0</v>
      </c>
      <c r="AK24" s="277">
        <f>SUMIFS($J$13:$J$19,$E$13:$E$19,$AN27)</f>
        <v>0</v>
      </c>
      <c r="AM24" s="277">
        <v>21</v>
      </c>
      <c r="AN24" s="277" t="s">
        <v>4984</v>
      </c>
      <c r="AO24" s="277" t="s">
        <v>4182</v>
      </c>
      <c r="AP24" s="277">
        <f t="shared" si="2"/>
        <v>0</v>
      </c>
      <c r="AQ24" s="277">
        <f t="shared" si="3"/>
        <v>0</v>
      </c>
      <c r="AR24" s="277">
        <f t="shared" si="4"/>
        <v>0</v>
      </c>
    </row>
    <row r="25" spans="3:44" ht="19.350000000000001" customHeight="1">
      <c r="C25" s="734"/>
      <c r="D25" s="736"/>
      <c r="E25" s="737"/>
      <c r="F25" s="737"/>
      <c r="G25" s="737"/>
      <c r="H25" s="738"/>
      <c r="I25" s="170"/>
      <c r="J25" s="171"/>
      <c r="K25" s="363" t="str">
        <f t="shared" si="16"/>
        <v/>
      </c>
      <c r="L25" s="305" t="str">
        <f t="shared" si="17"/>
        <v/>
      </c>
      <c r="M25" s="582" t="str">
        <f t="shared" si="18"/>
        <v/>
      </c>
      <c r="N25" s="338" t="str">
        <f t="shared" si="19"/>
        <v/>
      </c>
      <c r="O25" s="319"/>
      <c r="P25" s="364"/>
      <c r="Q25" s="364"/>
      <c r="R25" s="365" t="e">
        <f t="shared" si="20"/>
        <v>#N/A</v>
      </c>
      <c r="S25" s="366" t="e">
        <f t="shared" si="21"/>
        <v>#N/A</v>
      </c>
      <c r="T25" s="12"/>
      <c r="AG25" s="277">
        <v>22</v>
      </c>
      <c r="AH25" s="277" t="s">
        <v>60</v>
      </c>
      <c r="AI25" s="277" t="s">
        <v>4182</v>
      </c>
      <c r="AJ25" s="277">
        <f>SUMIFS($I$13:$I$19,$E$13:$E$19,$AN28)</f>
        <v>0</v>
      </c>
      <c r="AK25" s="277">
        <f>SUMIFS($J$13:$J$19,$E$13:$E$19,$AN28)</f>
        <v>0</v>
      </c>
      <c r="AM25" s="277">
        <v>22</v>
      </c>
      <c r="AN25" s="277" t="s">
        <v>4986</v>
      </c>
      <c r="AO25" s="277" t="s">
        <v>4182</v>
      </c>
      <c r="AP25" s="277">
        <f t="shared" si="2"/>
        <v>0</v>
      </c>
      <c r="AQ25" s="277">
        <f t="shared" si="3"/>
        <v>0</v>
      </c>
      <c r="AR25" s="277">
        <f t="shared" si="4"/>
        <v>0</v>
      </c>
    </row>
    <row r="26" spans="3:44" ht="19.350000000000001" customHeight="1" thickBot="1">
      <c r="C26" s="734"/>
      <c r="D26" s="736"/>
      <c r="E26" s="737"/>
      <c r="F26" s="737"/>
      <c r="G26" s="737"/>
      <c r="H26" s="738"/>
      <c r="I26" s="170"/>
      <c r="J26" s="171"/>
      <c r="K26" s="363" t="str">
        <f t="shared" si="16"/>
        <v/>
      </c>
      <c r="L26" s="305" t="str">
        <f t="shared" si="17"/>
        <v/>
      </c>
      <c r="M26" s="582" t="str">
        <f t="shared" si="18"/>
        <v/>
      </c>
      <c r="N26" s="338" t="str">
        <f>IFERROR(IF(K26="","",$M26*S26*44/12),"----------")</f>
        <v/>
      </c>
      <c r="O26" s="319"/>
      <c r="P26" s="364"/>
      <c r="Q26" s="364"/>
      <c r="R26" s="365" t="e">
        <f t="shared" si="20"/>
        <v>#N/A</v>
      </c>
      <c r="S26" s="366" t="e">
        <f t="shared" si="21"/>
        <v>#N/A</v>
      </c>
      <c r="T26" s="12"/>
      <c r="U26" s="339" t="s">
        <v>129</v>
      </c>
      <c r="AG26" s="277">
        <v>23</v>
      </c>
      <c r="AH26" s="277" t="s">
        <v>61</v>
      </c>
      <c r="AI26" s="277" t="s">
        <v>5086</v>
      </c>
      <c r="AJ26" s="277">
        <f>SUMIFS($I$13:$I$19,$E$13:$E$19,$AN29)</f>
        <v>0</v>
      </c>
      <c r="AK26" s="277">
        <f>SUMIFS($J$13:$J$19,$E$13:$E$19,$AN29)</f>
        <v>0</v>
      </c>
      <c r="AM26" s="277">
        <v>23</v>
      </c>
      <c r="AN26" s="277" t="s">
        <v>58</v>
      </c>
      <c r="AO26" s="277" t="s">
        <v>4182</v>
      </c>
      <c r="AP26" s="277">
        <f t="shared" si="2"/>
        <v>0</v>
      </c>
      <c r="AQ26" s="277">
        <f t="shared" si="3"/>
        <v>0</v>
      </c>
      <c r="AR26" s="277">
        <f t="shared" si="4"/>
        <v>0</v>
      </c>
    </row>
    <row r="27" spans="3:44" ht="19.350000000000001" customHeight="1" thickBot="1">
      <c r="C27" s="734"/>
      <c r="D27" s="736"/>
      <c r="E27" s="737"/>
      <c r="F27" s="737"/>
      <c r="G27" s="737"/>
      <c r="H27" s="738"/>
      <c r="I27" s="170"/>
      <c r="J27" s="171"/>
      <c r="K27" s="363" t="str">
        <f t="shared" si="16"/>
        <v/>
      </c>
      <c r="L27" s="305" t="str">
        <f t="shared" si="17"/>
        <v/>
      </c>
      <c r="M27" s="582" t="str">
        <f t="shared" si="18"/>
        <v/>
      </c>
      <c r="N27" s="338" t="str">
        <f t="shared" si="19"/>
        <v/>
      </c>
      <c r="O27" s="319"/>
      <c r="P27" s="364"/>
      <c r="Q27" s="364"/>
      <c r="R27" s="365" t="e">
        <f t="shared" si="20"/>
        <v>#N/A</v>
      </c>
      <c r="S27" s="366" t="e">
        <f t="shared" si="21"/>
        <v>#N/A</v>
      </c>
      <c r="U27" s="368" t="s">
        <v>3089</v>
      </c>
      <c r="V27" s="499">
        <f>IF(V24="","",IFERROR(ROUND(V24/G73,3-INT(LOG(V24/G73))),))</f>
        <v>0</v>
      </c>
      <c r="W27" s="682" t="str">
        <f>"t-CO2/"&amp;G72</f>
        <v>t-CO2/</v>
      </c>
      <c r="X27" s="683"/>
      <c r="AG27" s="277">
        <v>24</v>
      </c>
      <c r="AH27" s="277" t="s">
        <v>62</v>
      </c>
      <c r="AI27" s="277" t="s">
        <v>4991</v>
      </c>
      <c r="AJ27" s="277">
        <f>SUMIFS($I$13:$I$19,$E$13:$E$19,$AN31)</f>
        <v>0</v>
      </c>
      <c r="AK27" s="277">
        <f>SUMIFS($J$13:$J$19,$E$13:$E$19,$AN31)</f>
        <v>0</v>
      </c>
      <c r="AM27" s="277">
        <v>24</v>
      </c>
      <c r="AN27" s="277" t="s">
        <v>59</v>
      </c>
      <c r="AO27" s="277" t="s">
        <v>4182</v>
      </c>
      <c r="AP27" s="277">
        <f t="shared" si="2"/>
        <v>0</v>
      </c>
      <c r="AQ27" s="277">
        <f t="shared" si="3"/>
        <v>0</v>
      </c>
      <c r="AR27" s="277">
        <f t="shared" si="4"/>
        <v>0</v>
      </c>
    </row>
    <row r="28" spans="3:44" ht="19.350000000000001" customHeight="1">
      <c r="C28" s="734"/>
      <c r="D28" s="736"/>
      <c r="E28" s="737"/>
      <c r="F28" s="737"/>
      <c r="G28" s="737"/>
      <c r="H28" s="738"/>
      <c r="I28" s="170"/>
      <c r="J28" s="171"/>
      <c r="K28" s="363" t="str">
        <f t="shared" si="16"/>
        <v/>
      </c>
      <c r="L28" s="305" t="str">
        <f t="shared" si="17"/>
        <v/>
      </c>
      <c r="M28" s="582" t="str">
        <f t="shared" si="18"/>
        <v/>
      </c>
      <c r="N28" s="338" t="str">
        <f t="shared" si="19"/>
        <v/>
      </c>
      <c r="O28" s="319"/>
      <c r="P28" s="364"/>
      <c r="Q28" s="364"/>
      <c r="R28" s="365" t="e">
        <f t="shared" si="20"/>
        <v>#N/A</v>
      </c>
      <c r="S28" s="366" t="e">
        <f t="shared" si="21"/>
        <v>#N/A</v>
      </c>
      <c r="T28"/>
      <c r="U28" s="370"/>
      <c r="V28" s="370"/>
      <c r="W28" s="370"/>
      <c r="X28" s="370"/>
      <c r="AG28" s="277">
        <v>25</v>
      </c>
      <c r="AH28" s="277" t="s">
        <v>109</v>
      </c>
      <c r="AI28" s="277" t="s">
        <v>115</v>
      </c>
      <c r="AJ28" s="277">
        <f>SUMIFS($I$13:$I$19,$E$13:$E$19,$AN36)</f>
        <v>0</v>
      </c>
      <c r="AK28" s="277">
        <f>SUMIFS($J$13:$J$19,$E$13:$E$19,$AN36)</f>
        <v>0</v>
      </c>
      <c r="AM28" s="277">
        <v>25</v>
      </c>
      <c r="AN28" s="277" t="s">
        <v>60</v>
      </c>
      <c r="AO28" s="277" t="s">
        <v>4182</v>
      </c>
      <c r="AP28" s="277">
        <f t="shared" si="2"/>
        <v>0</v>
      </c>
      <c r="AQ28" s="277">
        <f t="shared" si="3"/>
        <v>0</v>
      </c>
      <c r="AR28" s="277">
        <f t="shared" si="4"/>
        <v>0</v>
      </c>
    </row>
    <row r="29" spans="3:44" ht="19.350000000000001" customHeight="1" thickBot="1">
      <c r="C29" s="735"/>
      <c r="D29" s="314" t="str">
        <f>"その他（"&amp;U38&amp;"）"</f>
        <v>その他（）</v>
      </c>
      <c r="E29" s="302"/>
      <c r="F29" s="302"/>
      <c r="G29" s="371"/>
      <c r="H29" s="372"/>
      <c r="I29" s="170"/>
      <c r="J29" s="171"/>
      <c r="K29" s="363" t="str">
        <f t="shared" si="16"/>
        <v/>
      </c>
      <c r="L29" s="523"/>
      <c r="M29" s="600"/>
      <c r="N29" s="373"/>
      <c r="O29" s="319"/>
      <c r="P29" s="374"/>
      <c r="Q29" s="374"/>
      <c r="R29" s="374"/>
      <c r="S29" s="375"/>
      <c r="T29" s="12"/>
      <c r="U29" s="320" t="s">
        <v>5139</v>
      </c>
      <c r="V29" s="376" t="s">
        <v>78</v>
      </c>
      <c r="W29" s="376" t="s">
        <v>5096</v>
      </c>
      <c r="X29" s="377"/>
      <c r="Y29" s="1"/>
      <c r="AG29" s="277">
        <v>26</v>
      </c>
      <c r="AH29" s="277" t="s">
        <v>119</v>
      </c>
      <c r="AI29" s="277" t="s">
        <v>115</v>
      </c>
      <c r="AJ29" s="277">
        <f>SUMIFS($I$13:$I$19,$E$13:$E$19,$AN37)</f>
        <v>0</v>
      </c>
      <c r="AK29" s="277">
        <f>SUMIFS($J$13:$J$19,$E$13:$E$19,$AN37)</f>
        <v>0</v>
      </c>
      <c r="AM29" s="277">
        <v>26</v>
      </c>
      <c r="AN29" s="277" t="s">
        <v>61</v>
      </c>
      <c r="AO29" s="277" t="s">
        <v>5086</v>
      </c>
      <c r="AP29" s="277">
        <f t="shared" si="2"/>
        <v>0</v>
      </c>
      <c r="AQ29" s="277">
        <f t="shared" si="3"/>
        <v>0</v>
      </c>
      <c r="AR29" s="277">
        <f t="shared" si="4"/>
        <v>0</v>
      </c>
    </row>
    <row r="30" spans="3:44" ht="19.350000000000001" customHeight="1" thickTop="1" thickBot="1">
      <c r="C30" s="714" t="s">
        <v>67</v>
      </c>
      <c r="D30" s="715"/>
      <c r="E30" s="715"/>
      <c r="F30" s="715"/>
      <c r="G30" s="715"/>
      <c r="H30" s="716"/>
      <c r="I30" s="378" t="s">
        <v>68</v>
      </c>
      <c r="J30" s="379" t="s">
        <v>68</v>
      </c>
      <c r="K30" s="379" t="s">
        <v>68</v>
      </c>
      <c r="L30" s="380" t="s">
        <v>68</v>
      </c>
      <c r="M30" s="584">
        <f>SUM(M23:M29)</f>
        <v>0</v>
      </c>
      <c r="N30" s="355">
        <f>SUM(N23:N29)</f>
        <v>0</v>
      </c>
      <c r="O30" s="319"/>
      <c r="P30"/>
      <c r="Q30"/>
      <c r="R30"/>
      <c r="S30"/>
      <c r="T30" s="381"/>
      <c r="U30" s="382" t="s">
        <v>4291</v>
      </c>
      <c r="V30" s="383"/>
      <c r="W30" s="216"/>
      <c r="X30" s="377"/>
      <c r="Y30" s="1"/>
      <c r="AG30" s="277">
        <v>27</v>
      </c>
      <c r="AH30" s="277" t="s">
        <v>65</v>
      </c>
      <c r="AI30" s="277" t="s">
        <v>115</v>
      </c>
      <c r="AJ30" s="277">
        <f>SUMIFS($I$13:$I$19,$E$13:$E$19,$AN38)</f>
        <v>0</v>
      </c>
      <c r="AK30" s="277">
        <f>SUMIFS($J$13:$J$19,$E$13:$E$19,$AN38)</f>
        <v>0</v>
      </c>
      <c r="AM30" s="277">
        <v>27</v>
      </c>
      <c r="AN30" s="277" t="s">
        <v>4987</v>
      </c>
      <c r="AO30" s="277" t="s">
        <v>5097</v>
      </c>
      <c r="AP30" s="277">
        <f t="shared" si="2"/>
        <v>0</v>
      </c>
      <c r="AQ30" s="277">
        <f t="shared" si="3"/>
        <v>0</v>
      </c>
      <c r="AR30" s="277">
        <f t="shared" si="4"/>
        <v>0</v>
      </c>
    </row>
    <row r="31" spans="3:44" ht="19.350000000000001" customHeight="1" thickBot="1">
      <c r="C31" s="646" t="s">
        <v>5098</v>
      </c>
      <c r="D31" s="647"/>
      <c r="E31" s="647"/>
      <c r="F31" s="647"/>
      <c r="G31" s="647"/>
      <c r="H31" s="648"/>
      <c r="I31" s="653" t="s">
        <v>112</v>
      </c>
      <c r="J31" s="655" t="s">
        <v>40</v>
      </c>
      <c r="K31" s="657" t="s">
        <v>41</v>
      </c>
      <c r="L31" s="661" t="s">
        <v>42</v>
      </c>
      <c r="M31" s="663" t="s">
        <v>5083</v>
      </c>
      <c r="N31" s="665" t="s">
        <v>5084</v>
      </c>
      <c r="O31" s="319"/>
      <c r="P31"/>
      <c r="Q31"/>
      <c r="R31"/>
      <c r="S31"/>
      <c r="T31" s="381"/>
      <c r="U31" s="382" t="s">
        <v>4293</v>
      </c>
      <c r="V31" s="500"/>
      <c r="W31" s="215"/>
      <c r="X31" s="1"/>
      <c r="Y31" s="1"/>
      <c r="AG31" s="277">
        <v>28</v>
      </c>
      <c r="AH31" s="277" t="s">
        <v>66</v>
      </c>
      <c r="AI31" s="277" t="s">
        <v>115</v>
      </c>
      <c r="AJ31" s="277">
        <f>SUMIFS($I$13:$I$19,$E$13:$E$19,$AN39)</f>
        <v>0</v>
      </c>
      <c r="AK31" s="277">
        <f>SUMIFS($J$13:$J$19,$E$13:$E$19,$AN39)</f>
        <v>0</v>
      </c>
      <c r="AM31" s="277">
        <v>28</v>
      </c>
      <c r="AN31" s="277" t="s">
        <v>62</v>
      </c>
      <c r="AO31" s="277" t="s">
        <v>4991</v>
      </c>
      <c r="AP31" s="277">
        <f t="shared" si="2"/>
        <v>0</v>
      </c>
      <c r="AQ31" s="277">
        <f t="shared" si="3"/>
        <v>0</v>
      </c>
      <c r="AR31" s="277">
        <f t="shared" si="4"/>
        <v>0</v>
      </c>
    </row>
    <row r="32" spans="3:44" ht="19.350000000000001" customHeight="1">
      <c r="C32" s="742"/>
      <c r="D32" s="743"/>
      <c r="E32" s="743"/>
      <c r="F32" s="743"/>
      <c r="G32" s="743"/>
      <c r="H32" s="744"/>
      <c r="I32" s="654"/>
      <c r="J32" s="656"/>
      <c r="K32" s="658"/>
      <c r="L32" s="662"/>
      <c r="M32" s="664"/>
      <c r="N32" s="666"/>
      <c r="O32" s="319"/>
      <c r="P32" s="296" t="s">
        <v>5080</v>
      </c>
      <c r="Q32" s="296" t="s">
        <v>5081</v>
      </c>
      <c r="R32" s="296" t="s">
        <v>4961</v>
      </c>
      <c r="S32" s="296" t="s">
        <v>4962</v>
      </c>
      <c r="T32" s="381"/>
      <c r="U32" s="180" t="s">
        <v>5140</v>
      </c>
      <c r="V32" s="501"/>
      <c r="W32" s="215"/>
      <c r="AG32" s="277">
        <v>29</v>
      </c>
      <c r="AH32" s="384" t="s">
        <v>5111</v>
      </c>
      <c r="AM32" s="277">
        <v>29</v>
      </c>
      <c r="AN32" s="277" t="s">
        <v>5019</v>
      </c>
      <c r="AO32" s="277" t="s">
        <v>115</v>
      </c>
      <c r="AP32" s="277">
        <f t="shared" si="2"/>
        <v>0</v>
      </c>
      <c r="AQ32" s="277">
        <f t="shared" si="3"/>
        <v>0</v>
      </c>
      <c r="AR32" s="277">
        <f t="shared" si="4"/>
        <v>0</v>
      </c>
    </row>
    <row r="33" spans="1:44" ht="19.350000000000001" customHeight="1">
      <c r="C33" s="385"/>
      <c r="D33" s="386" t="s">
        <v>5105</v>
      </c>
      <c r="E33" s="285"/>
      <c r="F33" s="387"/>
      <c r="G33" s="387"/>
      <c r="H33" s="388"/>
      <c r="I33" s="592" t="str">
        <f>IF(COUNTBLANK(V42:W46)=10,"",SUM(I34:I35))</f>
        <v/>
      </c>
      <c r="J33" s="389"/>
      <c r="K33" s="390" t="str">
        <f>I33</f>
        <v/>
      </c>
      <c r="L33" s="391" t="s">
        <v>5036</v>
      </c>
      <c r="M33" s="585" t="str">
        <f>IF(COUNTBLANK(V42:W46)=10,"",SUM(M34,M35))</f>
        <v/>
      </c>
      <c r="N33" s="392" t="str">
        <f>IF(COUNTBLANK(V42:W46)=10,"",SUM(N34,N35))</f>
        <v/>
      </c>
      <c r="O33" s="319"/>
      <c r="P33" s="393"/>
      <c r="Q33" s="393"/>
      <c r="R33" s="393"/>
      <c r="S33" s="393"/>
      <c r="T33" s="381"/>
      <c r="U33" s="312"/>
      <c r="V33" s="312"/>
      <c r="W33" s="312"/>
      <c r="X33" s="312"/>
      <c r="Y33" s="312"/>
      <c r="Z33" s="312"/>
      <c r="AA33" s="312"/>
      <c r="AB33" s="312"/>
      <c r="AM33" s="277">
        <v>30</v>
      </c>
      <c r="AN33" s="277" t="s">
        <v>5020</v>
      </c>
      <c r="AO33" s="277" t="s">
        <v>115</v>
      </c>
      <c r="AP33" s="277">
        <f t="shared" si="2"/>
        <v>0</v>
      </c>
      <c r="AQ33" s="277">
        <f t="shared" si="3"/>
        <v>0</v>
      </c>
      <c r="AR33" s="277">
        <f t="shared" si="4"/>
        <v>0</v>
      </c>
    </row>
    <row r="34" spans="1:44" ht="19.350000000000001" customHeight="1">
      <c r="A34" s="312"/>
      <c r="B34" s="312"/>
      <c r="C34" s="385"/>
      <c r="D34" s="386"/>
      <c r="E34" s="285"/>
      <c r="F34" s="730" t="s">
        <v>5100</v>
      </c>
      <c r="G34" s="731"/>
      <c r="H34" s="732"/>
      <c r="I34" s="593" t="str">
        <f>IF(COUNTBLANK(V42:V46)=10,"",V47)</f>
        <v/>
      </c>
      <c r="J34" s="394"/>
      <c r="K34" s="395" t="str">
        <f t="shared" ref="K34:K35" si="22">I34</f>
        <v/>
      </c>
      <c r="L34" s="396" t="s">
        <v>5036</v>
      </c>
      <c r="M34" s="586" t="str">
        <f>IFERROR(IF(K34="","",$K34*R34),"-------------")</f>
        <v/>
      </c>
      <c r="N34" s="397" t="str">
        <f>IF(COUNTBLANK(V42:W46)=10,"",Z47)</f>
        <v/>
      </c>
      <c r="O34" s="319"/>
      <c r="P34" s="393" t="s">
        <v>5034</v>
      </c>
      <c r="Q34" s="393" t="s">
        <v>5034</v>
      </c>
      <c r="R34" s="393">
        <f t="shared" ref="R34:R38" si="23">IF($T$1=2022,VLOOKUP($P34,係数2022,7,0),VLOOKUP($Q34,係数2023,7,0))</f>
        <v>8.64</v>
      </c>
      <c r="S34" s="393"/>
      <c r="T34" s="381"/>
      <c r="U34" s="398" t="s">
        <v>5095</v>
      </c>
      <c r="V34" s="399" t="s">
        <v>78</v>
      </c>
      <c r="W34" s="399" t="s">
        <v>5096</v>
      </c>
      <c r="X34" s="312"/>
      <c r="Y34" s="312"/>
      <c r="Z34" s="312"/>
      <c r="AA34" s="312"/>
      <c r="AB34" s="312"/>
      <c r="AM34" s="277">
        <v>31</v>
      </c>
      <c r="AN34" s="277" t="s">
        <v>5021</v>
      </c>
      <c r="AO34" s="277" t="s">
        <v>115</v>
      </c>
      <c r="AP34" s="277">
        <f t="shared" si="2"/>
        <v>0</v>
      </c>
      <c r="AQ34" s="277">
        <f t="shared" si="3"/>
        <v>0</v>
      </c>
      <c r="AR34" s="277">
        <f t="shared" si="4"/>
        <v>0</v>
      </c>
    </row>
    <row r="35" spans="1:44" ht="19.350000000000001" customHeight="1">
      <c r="A35" s="312"/>
      <c r="B35" s="312"/>
      <c r="C35" s="400" t="s">
        <v>5106</v>
      </c>
      <c r="D35" s="386"/>
      <c r="E35" s="285"/>
      <c r="F35" s="730" t="s">
        <v>5101</v>
      </c>
      <c r="G35" s="731"/>
      <c r="H35" s="732"/>
      <c r="I35" s="593" t="str">
        <f>IF(COUNTBLANK(V42:V46)=10,"",W47)</f>
        <v/>
      </c>
      <c r="J35" s="394"/>
      <c r="K35" s="395" t="str">
        <f t="shared" si="22"/>
        <v/>
      </c>
      <c r="L35" s="396" t="s">
        <v>5036</v>
      </c>
      <c r="M35" s="586" t="str">
        <f>IFERROR(IF(K35="","",$K35*R35),"-------------")</f>
        <v/>
      </c>
      <c r="N35" s="397" t="str">
        <f>IF(COUNTBLANK(V42:W46)=10,"",AA47)</f>
        <v/>
      </c>
      <c r="O35" s="319"/>
      <c r="P35" s="393" t="s">
        <v>5038</v>
      </c>
      <c r="Q35" s="393" t="s">
        <v>5038</v>
      </c>
      <c r="R35" s="393">
        <f t="shared" si="23"/>
        <v>8.64</v>
      </c>
      <c r="S35" s="393"/>
      <c r="T35" s="381"/>
      <c r="U35" s="167"/>
      <c r="V35" s="217"/>
      <c r="W35" s="218"/>
      <c r="X35" s="312"/>
      <c r="Y35" s="312"/>
      <c r="Z35" s="312"/>
      <c r="AA35" s="312"/>
      <c r="AB35" s="312"/>
      <c r="AM35" s="277">
        <v>32</v>
      </c>
      <c r="AN35" s="277" t="s">
        <v>5022</v>
      </c>
      <c r="AO35" s="277" t="s">
        <v>115</v>
      </c>
      <c r="AP35" s="277">
        <f t="shared" si="2"/>
        <v>0</v>
      </c>
      <c r="AQ35" s="277">
        <f t="shared" si="3"/>
        <v>0</v>
      </c>
      <c r="AR35" s="277">
        <f>COUNTIF($AT$4:$AT$10,AN35)</f>
        <v>0</v>
      </c>
    </row>
    <row r="36" spans="1:44" ht="19.350000000000001" customHeight="1">
      <c r="A36" s="312"/>
      <c r="B36" s="312"/>
      <c r="C36" s="400"/>
      <c r="D36" s="401"/>
      <c r="E36" s="176"/>
      <c r="F36" s="402" t="s">
        <v>5108</v>
      </c>
      <c r="G36" s="403"/>
      <c r="H36" s="404"/>
      <c r="I36" s="594" t="str">
        <f>IF($T$1=2022,"----------",IF(COUNTBLANK(V42:W46)=10,"",SUMPRODUCT(V42:V46,X42:X46)+SUMPRODUCT(W42:W46,X42:X46)))</f>
        <v/>
      </c>
      <c r="J36" s="405"/>
      <c r="K36" s="406" t="str">
        <f>IF($T$1=2022,"----------",I36)</f>
        <v/>
      </c>
      <c r="L36" s="407" t="s">
        <v>5036</v>
      </c>
      <c r="M36" s="587" t="str">
        <f>IF($T$1=2022,"----------",IF(M33&lt;&gt;"",K36*R36,""))</f>
        <v/>
      </c>
      <c r="N36" s="408"/>
      <c r="O36" s="319"/>
      <c r="P36" s="393"/>
      <c r="Q36" s="393" t="s">
        <v>5107</v>
      </c>
      <c r="R36" s="393">
        <f t="shared" si="23"/>
        <v>8.64</v>
      </c>
      <c r="S36" s="393"/>
      <c r="T36" s="381"/>
      <c r="U36" s="312"/>
      <c r="V36" s="312"/>
      <c r="W36" s="312"/>
      <c r="X36" s="312"/>
      <c r="Y36" s="312"/>
      <c r="Z36" s="312"/>
      <c r="AA36" s="312"/>
      <c r="AB36" s="312"/>
      <c r="AM36" s="277">
        <v>33</v>
      </c>
      <c r="AN36" s="277" t="s">
        <v>4993</v>
      </c>
      <c r="AO36" s="277" t="s">
        <v>51</v>
      </c>
      <c r="AP36" s="277">
        <f t="shared" si="2"/>
        <v>0</v>
      </c>
      <c r="AQ36" s="277">
        <f t="shared" si="3"/>
        <v>0</v>
      </c>
      <c r="AR36" s="277">
        <f>COUNTIF($AT$4:$AT$10,AN36)</f>
        <v>0</v>
      </c>
    </row>
    <row r="37" spans="1:44" ht="19.350000000000001" customHeight="1">
      <c r="A37" s="312"/>
      <c r="B37" s="312"/>
      <c r="C37" s="400"/>
      <c r="D37" s="386" t="s">
        <v>5110</v>
      </c>
      <c r="E37" s="285"/>
      <c r="F37" s="387"/>
      <c r="G37" s="387"/>
      <c r="H37" s="388"/>
      <c r="I37" s="592" t="str">
        <f>IF(COUNTBLANK(W51:W53)+COUNTBLANK(W57:W58)=5,"",W59)</f>
        <v/>
      </c>
      <c r="J37" s="389"/>
      <c r="K37" s="390" t="str">
        <f>I37</f>
        <v/>
      </c>
      <c r="L37" s="409" t="s">
        <v>5036</v>
      </c>
      <c r="M37" s="585" t="str">
        <f>IF(K37="","",K37*R37)</f>
        <v/>
      </c>
      <c r="N37" s="392" t="str">
        <f>IF(I37="","",SUMPRODUCT(W51:W53,Y51:Y53)+SUMPRODUCT(W57:W58,Y57:Y58))</f>
        <v/>
      </c>
      <c r="O37" s="319"/>
      <c r="P37" s="410" t="s">
        <v>5109</v>
      </c>
      <c r="Q37" s="410" t="s">
        <v>5109</v>
      </c>
      <c r="R37" s="393">
        <f t="shared" si="23"/>
        <v>8.64</v>
      </c>
      <c r="S37" s="411"/>
      <c r="T37" s="381"/>
      <c r="U37" s="398" t="s">
        <v>5095</v>
      </c>
      <c r="V37" s="399" t="s">
        <v>78</v>
      </c>
      <c r="W37" s="412"/>
      <c r="X37" s="312"/>
      <c r="Y37" s="312"/>
      <c r="Z37" s="312"/>
      <c r="AA37" s="312"/>
      <c r="AB37" s="312"/>
      <c r="AM37" s="277">
        <v>34</v>
      </c>
      <c r="AN37" s="277" t="s">
        <v>4996</v>
      </c>
      <c r="AO37" s="277" t="s">
        <v>4182</v>
      </c>
      <c r="AP37" s="277">
        <f t="shared" si="2"/>
        <v>0</v>
      </c>
      <c r="AQ37" s="277">
        <f t="shared" si="3"/>
        <v>0</v>
      </c>
      <c r="AR37" s="277">
        <f t="shared" ref="AR37:AR60" si="24">COUNTIF($AT$4:$AT$10,AN37)</f>
        <v>0</v>
      </c>
    </row>
    <row r="38" spans="1:44" ht="19.350000000000001" customHeight="1">
      <c r="A38" s="312"/>
      <c r="B38" s="312"/>
      <c r="C38" s="400" t="s">
        <v>5112</v>
      </c>
      <c r="D38" s="401"/>
      <c r="E38" s="176"/>
      <c r="F38" s="413" t="s">
        <v>5108</v>
      </c>
      <c r="G38" s="414"/>
      <c r="H38" s="415"/>
      <c r="I38" s="594" t="str">
        <f>IF($T$1=2022,"----------",IF(COUNTBLANK(W51:W53)+COUNTBLANK(W57:W58)=5,"",SUMPRODUCT(W51:W58,X51:X58)))</f>
        <v/>
      </c>
      <c r="J38" s="405"/>
      <c r="K38" s="416" t="str">
        <f>IF($T$1=2022,"----------",I38)</f>
        <v/>
      </c>
      <c r="L38" s="417" t="s">
        <v>5036</v>
      </c>
      <c r="M38" s="587" t="str">
        <f>IF($T$1=2022,"----------",IF(COUNTBLANK(W51:W53)+COUNTBLANK(W57:W58)=5,"",SUM(AB59)*X59))</f>
        <v/>
      </c>
      <c r="N38" s="408"/>
      <c r="O38" s="319"/>
      <c r="P38" s="410"/>
      <c r="Q38" s="410" t="s">
        <v>5109</v>
      </c>
      <c r="R38" s="393">
        <f t="shared" si="23"/>
        <v>8.64</v>
      </c>
      <c r="S38" s="411"/>
      <c r="T38" s="381"/>
      <c r="U38" s="167"/>
      <c r="V38" s="217"/>
      <c r="W38" s="412"/>
      <c r="X38" s="312"/>
      <c r="Y38" s="312"/>
      <c r="Z38" s="312"/>
      <c r="AA38" s="312"/>
      <c r="AB38" s="312"/>
      <c r="AM38" s="277">
        <v>35</v>
      </c>
      <c r="AN38" s="277" t="s">
        <v>4997</v>
      </c>
      <c r="AO38" s="277" t="s">
        <v>4182</v>
      </c>
      <c r="AP38" s="277">
        <f t="shared" si="2"/>
        <v>0</v>
      </c>
      <c r="AQ38" s="277">
        <f t="shared" si="3"/>
        <v>0</v>
      </c>
      <c r="AR38" s="277">
        <f t="shared" si="24"/>
        <v>0</v>
      </c>
    </row>
    <row r="39" spans="1:44" ht="19.350000000000001" customHeight="1">
      <c r="A39" s="312"/>
      <c r="B39" s="312"/>
      <c r="C39" s="400"/>
      <c r="D39" s="418" t="s">
        <v>5113</v>
      </c>
      <c r="E39" s="419"/>
      <c r="F39" s="420"/>
      <c r="G39" s="420"/>
      <c r="H39" s="421"/>
      <c r="I39" s="595"/>
      <c r="J39" s="422" t="str">
        <f>IF(V63="","",SUM(V63))</f>
        <v/>
      </c>
      <c r="K39" s="422" t="str">
        <f>IF(J39="","",-SUM(J39))</f>
        <v/>
      </c>
      <c r="L39" s="423" t="s">
        <v>5036</v>
      </c>
      <c r="M39" s="601" t="str">
        <f>IF(K39="","",$K39*W63)</f>
        <v/>
      </c>
      <c r="N39" s="424" t="str">
        <f>IF(J39="","",-SUM(Y63))</f>
        <v/>
      </c>
      <c r="O39" s="319"/>
      <c r="P39" s="393"/>
      <c r="Q39" s="393"/>
      <c r="R39" s="393"/>
      <c r="S39" s="411"/>
      <c r="T39" s="381"/>
      <c r="U39" s="312"/>
      <c r="V39" s="312"/>
      <c r="W39" s="412"/>
      <c r="X39" s="312"/>
      <c r="Y39" s="312"/>
      <c r="Z39" s="312"/>
      <c r="AA39" s="312"/>
      <c r="AB39" s="312"/>
      <c r="AM39" s="277">
        <v>36</v>
      </c>
      <c r="AN39" s="277" t="s">
        <v>4998</v>
      </c>
      <c r="AO39" s="277" t="s">
        <v>4181</v>
      </c>
      <c r="AP39" s="277">
        <f t="shared" si="2"/>
        <v>0</v>
      </c>
      <c r="AQ39" s="277">
        <f t="shared" si="3"/>
        <v>0</v>
      </c>
      <c r="AR39" s="277">
        <f t="shared" si="24"/>
        <v>0</v>
      </c>
    </row>
    <row r="40" spans="1:44" ht="19.350000000000001" customHeight="1" thickBot="1">
      <c r="A40" s="312"/>
      <c r="B40" s="312"/>
      <c r="C40" s="425"/>
      <c r="D40" s="426" t="s">
        <v>5114</v>
      </c>
      <c r="E40" s="427"/>
      <c r="F40" s="427"/>
      <c r="G40" s="427"/>
      <c r="H40" s="428"/>
      <c r="I40" s="596" t="str">
        <f>IF($T$1=2022,"----------",IF(COUNTBLANK(V67:V70)=4,"",V71))</f>
        <v/>
      </c>
      <c r="J40" s="429"/>
      <c r="K40" s="430" t="str">
        <f>IF($T$1=2022,"----------",IF(I40="","",SUM(I40)))</f>
        <v/>
      </c>
      <c r="L40" s="431" t="s">
        <v>5036</v>
      </c>
      <c r="M40" s="589" t="str">
        <f>IF($T$1=2022,"----------",IF(COUNTBLANK(V67:V70)=4,"",K40*3.6))</f>
        <v/>
      </c>
      <c r="N40" s="432"/>
      <c r="O40" s="319"/>
      <c r="P40" s="433"/>
      <c r="Q40" s="433"/>
      <c r="R40" s="433"/>
      <c r="S40" s="433"/>
      <c r="T40" s="381"/>
      <c r="U40" s="684" t="s">
        <v>5099</v>
      </c>
      <c r="V40" s="659" t="s">
        <v>5100</v>
      </c>
      <c r="W40" s="659" t="s">
        <v>5101</v>
      </c>
      <c r="X40" s="659" t="s">
        <v>5134</v>
      </c>
      <c r="Y40" s="659" t="s">
        <v>5155</v>
      </c>
      <c r="Z40" s="659" t="s">
        <v>5156</v>
      </c>
      <c r="AA40" s="659" t="s">
        <v>5157</v>
      </c>
      <c r="AB40" s="312"/>
      <c r="AM40" s="277">
        <v>37</v>
      </c>
      <c r="AN40" s="277" t="s">
        <v>5509</v>
      </c>
      <c r="AO40" s="277" t="s">
        <v>4181</v>
      </c>
      <c r="AP40" s="277">
        <f t="shared" si="2"/>
        <v>0</v>
      </c>
      <c r="AQ40" s="277">
        <f t="shared" si="3"/>
        <v>0</v>
      </c>
      <c r="AR40" s="277">
        <f t="shared" ref="AR40" si="25">COUNTIF($AT$4:$AT$10,AN40)</f>
        <v>0</v>
      </c>
    </row>
    <row r="41" spans="1:44" ht="19.350000000000001" customHeight="1" thickTop="1">
      <c r="A41" s="312"/>
      <c r="B41" s="312"/>
      <c r="C41" s="434"/>
      <c r="D41" s="435"/>
      <c r="E41" s="436"/>
      <c r="F41" s="437" t="s">
        <v>5115</v>
      </c>
      <c r="G41" s="438"/>
      <c r="H41" s="439"/>
      <c r="I41" s="597">
        <f>IF($T$1=2022,"----------",SUM(I36,I38,I40))</f>
        <v>0</v>
      </c>
      <c r="J41" s="440"/>
      <c r="K41" s="441">
        <f>IF($T$1=2022,"----------",SUM(K36,K38,K40))</f>
        <v>0</v>
      </c>
      <c r="L41" s="442" t="s">
        <v>5143</v>
      </c>
      <c r="M41" s="590">
        <f>IF($T$1=2022,"----------",IF(K41="","",SUM(M36,M38,M40)))</f>
        <v>0</v>
      </c>
      <c r="N41" s="443"/>
      <c r="O41" s="319"/>
      <c r="P41" s="444"/>
      <c r="Q41" s="444"/>
      <c r="R41" s="444"/>
      <c r="S41" s="444"/>
      <c r="T41" s="381"/>
      <c r="U41" s="685"/>
      <c r="V41" s="660"/>
      <c r="W41" s="660"/>
      <c r="X41" s="660"/>
      <c r="Y41" s="660"/>
      <c r="Z41" s="660"/>
      <c r="AA41" s="660"/>
      <c r="AB41" s="312"/>
      <c r="AM41" s="277">
        <v>38</v>
      </c>
      <c r="AN41" s="277" t="s">
        <v>5001</v>
      </c>
      <c r="AO41" s="277" t="s">
        <v>5002</v>
      </c>
      <c r="AP41" s="277">
        <f t="shared" si="2"/>
        <v>0</v>
      </c>
      <c r="AQ41" s="277">
        <f t="shared" si="3"/>
        <v>0</v>
      </c>
      <c r="AR41" s="277">
        <f t="shared" si="24"/>
        <v>0</v>
      </c>
    </row>
    <row r="42" spans="1:44" ht="19.350000000000001" customHeight="1" thickBot="1">
      <c r="A42" s="312"/>
      <c r="B42" s="312"/>
      <c r="C42" s="771" t="s">
        <v>67</v>
      </c>
      <c r="D42" s="772"/>
      <c r="E42" s="772"/>
      <c r="F42" s="772"/>
      <c r="G42" s="772"/>
      <c r="H42" s="773"/>
      <c r="I42" s="598">
        <f>SUM(I33,I37,I39,I40)</f>
        <v>0</v>
      </c>
      <c r="J42" s="445">
        <f>SUM(J39)</f>
        <v>0</v>
      </c>
      <c r="K42" s="446">
        <f>SUM(K33,K37,K39,K40)</f>
        <v>0</v>
      </c>
      <c r="L42" s="447" t="s">
        <v>5143</v>
      </c>
      <c r="M42" s="591">
        <f>SUM(M33,M37,M39,M40)</f>
        <v>0</v>
      </c>
      <c r="N42" s="448">
        <f>SUM(N33,N37,N39)</f>
        <v>0</v>
      </c>
      <c r="O42" s="319"/>
      <c r="P42"/>
      <c r="Q42"/>
      <c r="R42"/>
      <c r="S42"/>
      <c r="T42" s="381"/>
      <c r="U42" s="219"/>
      <c r="V42" s="449" t="str">
        <f>'計算シート（第１～第３年度）'!Q35</f>
        <v/>
      </c>
      <c r="W42" s="449" t="str">
        <f>'計算シート（第１～第３年度）'!Q36</f>
        <v/>
      </c>
      <c r="X42" s="220"/>
      <c r="Y42" s="221"/>
      <c r="Z42" s="449" t="str">
        <f>IF(OR(U42="",V42=""),"",V42*Y42)</f>
        <v/>
      </c>
      <c r="AA42" s="449" t="str">
        <f>IF(OR(U42="",W42=""),"",W42*Y42)</f>
        <v/>
      </c>
      <c r="AB42" s="312"/>
      <c r="AM42" s="277">
        <v>39</v>
      </c>
      <c r="AN42" s="277" t="s">
        <v>5004</v>
      </c>
      <c r="AO42" s="277" t="s">
        <v>4182</v>
      </c>
      <c r="AP42" s="277">
        <f t="shared" si="2"/>
        <v>0</v>
      </c>
      <c r="AQ42" s="277">
        <f t="shared" si="3"/>
        <v>0</v>
      </c>
      <c r="AR42" s="277">
        <f t="shared" si="24"/>
        <v>0</v>
      </c>
    </row>
    <row r="43" spans="1:44" ht="19.350000000000001" customHeight="1">
      <c r="A43" s="312"/>
      <c r="B43" s="312"/>
      <c r="C43" s="502"/>
      <c r="D43" s="502"/>
      <c r="E43" s="502"/>
      <c r="F43" s="502"/>
      <c r="G43" s="502"/>
      <c r="H43" s="502"/>
      <c r="I43" s="502"/>
      <c r="J43" s="502"/>
      <c r="K43" s="451"/>
      <c r="L43" s="451"/>
      <c r="M43" s="503"/>
      <c r="N43" s="451"/>
      <c r="O43" s="319"/>
      <c r="P43"/>
      <c r="Q43"/>
      <c r="R43"/>
      <c r="S43"/>
      <c r="T43" s="381"/>
      <c r="U43" s="219"/>
      <c r="V43" s="449" t="str">
        <f>'計算シート（第１～第３年度）'!Q37</f>
        <v/>
      </c>
      <c r="W43" s="449" t="str">
        <f>'計算シート（第１～第３年度）'!Q38</f>
        <v/>
      </c>
      <c r="X43" s="220"/>
      <c r="Y43" s="221"/>
      <c r="Z43" s="449" t="str">
        <f t="shared" ref="Z43:Z46" si="26">IF(OR(U43="",V43=""),"",V43*Y43)</f>
        <v/>
      </c>
      <c r="AA43" s="449" t="str">
        <f t="shared" ref="AA43:AA46" si="27">IF(OR(U43="",W43=""),"",W43*Y43)</f>
        <v/>
      </c>
      <c r="AB43" s="312"/>
      <c r="AM43" s="277">
        <v>40</v>
      </c>
      <c r="AN43" s="277" t="s">
        <v>5005</v>
      </c>
      <c r="AO43" s="277" t="s">
        <v>4182</v>
      </c>
      <c r="AP43" s="277">
        <f t="shared" si="2"/>
        <v>0</v>
      </c>
      <c r="AQ43" s="277">
        <f t="shared" si="3"/>
        <v>0</v>
      </c>
      <c r="AR43" s="277">
        <f t="shared" si="24"/>
        <v>0</v>
      </c>
    </row>
    <row r="44" spans="1:44" ht="19.350000000000001" customHeight="1" thickBot="1">
      <c r="C44" s="339" t="s">
        <v>5087</v>
      </c>
      <c r="H44" s="292"/>
      <c r="I44" s="1"/>
      <c r="J44" s="1"/>
      <c r="K44" s="1"/>
      <c r="L44" s="1"/>
      <c r="M44" s="1"/>
      <c r="N44" s="1"/>
      <c r="O44" s="319"/>
      <c r="P44"/>
      <c r="Q44"/>
      <c r="R44"/>
      <c r="S44"/>
      <c r="T44" s="381"/>
      <c r="U44" s="222"/>
      <c r="V44" s="449" t="str">
        <f>'計算シート（第１～第３年度）'!Q39</f>
        <v/>
      </c>
      <c r="W44" s="449" t="str">
        <f>'計算シート（第１～第３年度）'!Q40</f>
        <v/>
      </c>
      <c r="X44" s="220"/>
      <c r="Y44" s="221"/>
      <c r="Z44" s="449" t="str">
        <f t="shared" si="26"/>
        <v/>
      </c>
      <c r="AA44" s="449" t="str">
        <f t="shared" si="27"/>
        <v/>
      </c>
      <c r="AB44" s="312"/>
      <c r="AM44" s="277">
        <v>41</v>
      </c>
      <c r="AN44" s="277" t="s">
        <v>5006</v>
      </c>
      <c r="AO44" s="277" t="s">
        <v>4182</v>
      </c>
      <c r="AP44" s="277">
        <f t="shared" si="2"/>
        <v>0</v>
      </c>
      <c r="AQ44" s="277">
        <f t="shared" si="3"/>
        <v>0</v>
      </c>
      <c r="AR44" s="277">
        <f t="shared" si="24"/>
        <v>0</v>
      </c>
    </row>
    <row r="45" spans="1:44" ht="19.350000000000001" customHeight="1">
      <c r="C45" s="748" t="s">
        <v>5121</v>
      </c>
      <c r="D45" s="749"/>
      <c r="E45" s="749"/>
      <c r="F45" s="758"/>
      <c r="G45" s="754" t="s">
        <v>5084</v>
      </c>
      <c r="H45" s="755"/>
      <c r="I45" s="1"/>
      <c r="J45" s="1"/>
      <c r="K45" s="1"/>
      <c r="L45" s="1"/>
      <c r="M45" s="1"/>
      <c r="N45" s="1"/>
      <c r="O45" s="319"/>
      <c r="P45"/>
      <c r="Q45"/>
      <c r="R45"/>
      <c r="S45"/>
      <c r="T45" s="381"/>
      <c r="U45" s="222"/>
      <c r="V45" s="449" t="str">
        <f>'計算シート（第１～第３年度）'!Q41</f>
        <v/>
      </c>
      <c r="W45" s="453" t="str">
        <f>'計算シート（第１～第３年度）'!Q42</f>
        <v/>
      </c>
      <c r="X45" s="220"/>
      <c r="Y45" s="221"/>
      <c r="Z45" s="449" t="str">
        <f t="shared" si="26"/>
        <v/>
      </c>
      <c r="AA45" s="449" t="str">
        <f t="shared" si="27"/>
        <v/>
      </c>
      <c r="AB45" s="312"/>
      <c r="AM45" s="277">
        <v>42</v>
      </c>
      <c r="AN45" s="277" t="s">
        <v>5007</v>
      </c>
      <c r="AO45" s="277" t="s">
        <v>4182</v>
      </c>
      <c r="AP45" s="277">
        <f t="shared" si="2"/>
        <v>0</v>
      </c>
      <c r="AQ45" s="277">
        <f t="shared" si="3"/>
        <v>0</v>
      </c>
      <c r="AR45" s="277">
        <f t="shared" si="24"/>
        <v>0</v>
      </c>
    </row>
    <row r="46" spans="1:44" ht="19.350000000000001" customHeight="1" thickBot="1">
      <c r="C46" s="776"/>
      <c r="D46" s="777"/>
      <c r="E46" s="777"/>
      <c r="F46" s="778"/>
      <c r="G46" s="774"/>
      <c r="H46" s="775"/>
      <c r="N46" s="1"/>
      <c r="O46" s="319"/>
      <c r="P46"/>
      <c r="Q46"/>
      <c r="R46"/>
      <c r="S46"/>
      <c r="T46" s="1"/>
      <c r="U46" s="223"/>
      <c r="V46" s="449" t="str">
        <f>'計算シート（第１～第３年度）'!Q43</f>
        <v/>
      </c>
      <c r="W46" s="453" t="str">
        <f>'計算シート（第１～第３年度）'!Q44</f>
        <v/>
      </c>
      <c r="X46" s="220"/>
      <c r="Y46" s="221"/>
      <c r="Z46" s="449" t="str">
        <f t="shared" si="26"/>
        <v/>
      </c>
      <c r="AA46" s="449" t="str">
        <f t="shared" si="27"/>
        <v/>
      </c>
      <c r="AB46" s="312"/>
      <c r="AM46" s="277">
        <v>43</v>
      </c>
      <c r="AN46" s="277" t="s">
        <v>5008</v>
      </c>
      <c r="AO46" s="277" t="s">
        <v>4182</v>
      </c>
      <c r="AP46" s="277">
        <f t="shared" si="2"/>
        <v>0</v>
      </c>
      <c r="AQ46" s="277">
        <f t="shared" si="3"/>
        <v>0</v>
      </c>
      <c r="AR46" s="277">
        <f t="shared" si="24"/>
        <v>0</v>
      </c>
    </row>
    <row r="47" spans="1:44" ht="19.350000000000001" customHeight="1" thickTop="1">
      <c r="C47" s="454" t="s">
        <v>5122</v>
      </c>
      <c r="D47" s="454"/>
      <c r="E47" s="302"/>
      <c r="F47" s="302"/>
      <c r="G47" s="767"/>
      <c r="H47" s="768"/>
      <c r="N47" s="1"/>
      <c r="O47" s="319"/>
      <c r="P47"/>
      <c r="Q47"/>
      <c r="R47"/>
      <c r="S47"/>
      <c r="T47" s="1"/>
      <c r="U47" s="455" t="s">
        <v>106</v>
      </c>
      <c r="V47" s="456" t="str">
        <f>IF(COUNTBLANK(V42:V46)=5,"",SUM(V42:V46))</f>
        <v/>
      </c>
      <c r="W47" s="456" t="str">
        <f>IF(COUNTBLANK(W42:W46)=5,"",SUM(W42:W46))</f>
        <v/>
      </c>
      <c r="X47" s="457">
        <f>IF(SUM(V47,W47)=0,0,SUM(SUMPRODUCT(V42:V46,X42:X46),SUMPRODUCT(W42:W46,X42:X46))/SUM(V47,W47))</f>
        <v>0</v>
      </c>
      <c r="Y47" s="458"/>
      <c r="Z47" s="459">
        <f>SUM(Z42:Z46)</f>
        <v>0</v>
      </c>
      <c r="AA47" s="459">
        <f>SUM(AA42:AA46)</f>
        <v>0</v>
      </c>
      <c r="AB47" s="312"/>
      <c r="AM47" s="277">
        <v>44</v>
      </c>
      <c r="AN47" s="277" t="s">
        <v>5011</v>
      </c>
      <c r="AO47" s="277" t="s">
        <v>4182</v>
      </c>
      <c r="AP47" s="277">
        <f t="shared" si="2"/>
        <v>0</v>
      </c>
      <c r="AQ47" s="277">
        <f t="shared" si="3"/>
        <v>0</v>
      </c>
      <c r="AR47" s="277">
        <f t="shared" si="24"/>
        <v>0</v>
      </c>
    </row>
    <row r="48" spans="1:44" ht="19.350000000000001" customHeight="1">
      <c r="C48" s="454" t="s">
        <v>5123</v>
      </c>
      <c r="D48" s="454"/>
      <c r="E48" s="302"/>
      <c r="F48" s="302"/>
      <c r="G48" s="710"/>
      <c r="H48" s="711"/>
      <c r="O48" s="319"/>
      <c r="P48"/>
      <c r="Q48"/>
      <c r="R48"/>
      <c r="S48"/>
      <c r="T48" s="1"/>
      <c r="U48" s="461"/>
      <c r="V48" s="462"/>
      <c r="W48" s="462"/>
      <c r="X48" s="463"/>
      <c r="Y48" s="462"/>
      <c r="Z48" s="464"/>
      <c r="AA48" s="464"/>
      <c r="AB48" s="312"/>
      <c r="AM48" s="277">
        <v>45</v>
      </c>
      <c r="AN48" s="277" t="s">
        <v>5013</v>
      </c>
      <c r="AO48" s="277" t="s">
        <v>4181</v>
      </c>
      <c r="AP48" s="277">
        <f t="shared" si="2"/>
        <v>0</v>
      </c>
      <c r="AQ48" s="277">
        <f t="shared" si="3"/>
        <v>0</v>
      </c>
      <c r="AR48" s="277">
        <f t="shared" si="24"/>
        <v>0</v>
      </c>
    </row>
    <row r="49" spans="3:44" ht="19.350000000000001" customHeight="1">
      <c r="C49" s="454" t="s">
        <v>5124</v>
      </c>
      <c r="D49" s="454"/>
      <c r="E49" s="302"/>
      <c r="F49" s="302"/>
      <c r="G49" s="710"/>
      <c r="H49" s="711"/>
      <c r="N49" s="1"/>
      <c r="O49" s="319"/>
      <c r="P49"/>
      <c r="Q49"/>
      <c r="R49"/>
      <c r="S49"/>
      <c r="T49" s="1"/>
      <c r="U49" s="678" t="s">
        <v>5116</v>
      </c>
      <c r="V49" s="679"/>
      <c r="W49" s="659" t="s">
        <v>3096</v>
      </c>
      <c r="X49" s="659" t="s">
        <v>5134</v>
      </c>
      <c r="Y49" s="659" t="s">
        <v>5155</v>
      </c>
      <c r="Z49" s="659" t="s">
        <v>5158</v>
      </c>
      <c r="AA49" s="659" t="s">
        <v>3094</v>
      </c>
      <c r="AB49" s="690" t="s">
        <v>5117</v>
      </c>
      <c r="AM49" s="277">
        <v>46</v>
      </c>
      <c r="AN49" s="277" t="s">
        <v>5014</v>
      </c>
      <c r="AO49" s="277" t="s">
        <v>5002</v>
      </c>
      <c r="AP49" s="277">
        <f t="shared" si="2"/>
        <v>0</v>
      </c>
      <c r="AQ49" s="277">
        <f t="shared" si="3"/>
        <v>0</v>
      </c>
      <c r="AR49" s="277">
        <f t="shared" si="24"/>
        <v>0</v>
      </c>
    </row>
    <row r="50" spans="3:44" ht="19.350000000000001" customHeight="1">
      <c r="C50" s="454" t="s">
        <v>123</v>
      </c>
      <c r="D50" s="454"/>
      <c r="E50" s="302"/>
      <c r="F50" s="302"/>
      <c r="G50" s="710"/>
      <c r="H50" s="711"/>
      <c r="N50" s="1"/>
      <c r="O50" s="319"/>
      <c r="P50"/>
      <c r="Q50"/>
      <c r="R50"/>
      <c r="S50"/>
      <c r="T50" s="1"/>
      <c r="U50" s="680"/>
      <c r="V50" s="681"/>
      <c r="W50" s="660"/>
      <c r="X50" s="660"/>
      <c r="Y50" s="660"/>
      <c r="Z50" s="660"/>
      <c r="AA50" s="660"/>
      <c r="AB50" s="691"/>
      <c r="AM50" s="277">
        <v>47</v>
      </c>
      <c r="AN50" s="277" t="s">
        <v>5015</v>
      </c>
      <c r="AO50" s="277" t="s">
        <v>4182</v>
      </c>
      <c r="AP50" s="277">
        <f t="shared" si="2"/>
        <v>0</v>
      </c>
      <c r="AQ50" s="277">
        <f t="shared" si="3"/>
        <v>0</v>
      </c>
      <c r="AR50" s="277">
        <f t="shared" si="24"/>
        <v>0</v>
      </c>
    </row>
    <row r="51" spans="3:44" ht="19.350000000000001" customHeight="1">
      <c r="C51" s="454" t="s">
        <v>124</v>
      </c>
      <c r="D51" s="454"/>
      <c r="E51" s="302"/>
      <c r="F51" s="302"/>
      <c r="G51" s="710"/>
      <c r="H51" s="711"/>
      <c r="N51" s="1"/>
      <c r="O51" s="319"/>
      <c r="P51"/>
      <c r="Q51"/>
      <c r="R51"/>
      <c r="S51"/>
      <c r="T51" s="1"/>
      <c r="U51" s="465" t="s">
        <v>5118</v>
      </c>
      <c r="V51" s="466"/>
      <c r="W51" s="224"/>
      <c r="X51" s="467">
        <v>1</v>
      </c>
      <c r="Y51" s="468"/>
      <c r="Z51" s="453" t="str">
        <f>IF(W51="","",W51*Y51)</f>
        <v/>
      </c>
      <c r="AA51" s="469">
        <v>3.6</v>
      </c>
      <c r="AB51" s="449" t="str">
        <f>IF(W51="","",W51*AA51)</f>
        <v/>
      </c>
      <c r="AM51" s="277">
        <v>48</v>
      </c>
      <c r="AN51" s="277" t="s">
        <v>5016</v>
      </c>
      <c r="AO51" s="277" t="s">
        <v>4182</v>
      </c>
      <c r="AP51" s="277">
        <f t="shared" si="2"/>
        <v>0</v>
      </c>
      <c r="AQ51" s="277">
        <f t="shared" si="3"/>
        <v>0</v>
      </c>
      <c r="AR51" s="277">
        <f t="shared" si="24"/>
        <v>0</v>
      </c>
    </row>
    <row r="52" spans="3:44" ht="19.350000000000001" customHeight="1">
      <c r="C52" s="454" t="s">
        <v>5125</v>
      </c>
      <c r="D52" s="454"/>
      <c r="E52" s="302"/>
      <c r="F52" s="302"/>
      <c r="G52" s="710"/>
      <c r="H52" s="711"/>
      <c r="N52" s="1"/>
      <c r="O52" s="319"/>
      <c r="P52"/>
      <c r="Q52"/>
      <c r="R52"/>
      <c r="S52"/>
      <c r="T52" s="1"/>
      <c r="U52" s="692" t="s">
        <v>5119</v>
      </c>
      <c r="V52" s="693"/>
      <c r="W52" s="224"/>
      <c r="X52" s="467">
        <v>1</v>
      </c>
      <c r="Y52" s="468"/>
      <c r="Z52" s="453" t="str">
        <f>IF(W52="","",W52*Y52)</f>
        <v/>
      </c>
      <c r="AA52" s="469">
        <v>3.6</v>
      </c>
      <c r="AB52" s="449" t="str">
        <f t="shared" ref="AB52:AB53" si="28">IF(W52="","",W52*AA52)</f>
        <v/>
      </c>
      <c r="AM52" s="277">
        <v>49</v>
      </c>
      <c r="AN52" s="277" t="s">
        <v>5017</v>
      </c>
      <c r="AO52" s="277" t="s">
        <v>4182</v>
      </c>
      <c r="AP52" s="277">
        <f t="shared" si="2"/>
        <v>0</v>
      </c>
      <c r="AQ52" s="277">
        <f t="shared" si="3"/>
        <v>0</v>
      </c>
      <c r="AR52" s="277">
        <f t="shared" si="24"/>
        <v>0</v>
      </c>
    </row>
    <row r="53" spans="3:44" ht="19.350000000000001" customHeight="1" thickBot="1">
      <c r="C53" s="470" t="s">
        <v>5126</v>
      </c>
      <c r="D53" s="470"/>
      <c r="E53" s="471"/>
      <c r="F53" s="471"/>
      <c r="G53" s="717"/>
      <c r="H53" s="718"/>
      <c r="N53" s="1"/>
      <c r="O53" s="319"/>
      <c r="P53"/>
      <c r="Q53"/>
      <c r="R53"/>
      <c r="S53"/>
      <c r="T53" s="1"/>
      <c r="U53" s="472" t="s">
        <v>5120</v>
      </c>
      <c r="V53" s="466"/>
      <c r="W53" s="225"/>
      <c r="X53" s="220"/>
      <c r="Y53" s="217"/>
      <c r="Z53" s="453" t="str">
        <f>IF(W53="","",W53*Y53)</f>
        <v/>
      </c>
      <c r="AA53" s="469">
        <v>8.64</v>
      </c>
      <c r="AB53" s="449" t="str">
        <f t="shared" si="28"/>
        <v/>
      </c>
      <c r="AM53" s="277">
        <v>50</v>
      </c>
      <c r="AN53" s="277" t="s">
        <v>5130</v>
      </c>
      <c r="AO53" s="277" t="s">
        <v>115</v>
      </c>
      <c r="AP53" s="277">
        <f t="shared" si="2"/>
        <v>0</v>
      </c>
      <c r="AQ53" s="277">
        <f t="shared" si="3"/>
        <v>0</v>
      </c>
      <c r="AR53" s="277">
        <f t="shared" si="24"/>
        <v>0</v>
      </c>
    </row>
    <row r="54" spans="3:44" ht="19.350000000000001" customHeight="1" thickTop="1" thickBot="1">
      <c r="C54" s="714" t="s">
        <v>126</v>
      </c>
      <c r="D54" s="715"/>
      <c r="E54" s="715"/>
      <c r="F54" s="716"/>
      <c r="G54" s="769" t="str">
        <f t="shared" ref="G54" si="29">IF(COUNTBLANK(G47:G53)=7,"",SUM(G47:G53))</f>
        <v/>
      </c>
      <c r="H54" s="770"/>
      <c r="I54" s="1"/>
      <c r="J54" s="1"/>
      <c r="K54" s="1"/>
      <c r="L54" s="1"/>
      <c r="M54" s="1"/>
      <c r="N54" s="1"/>
      <c r="O54" s="319"/>
      <c r="P54"/>
      <c r="Q54"/>
      <c r="R54"/>
      <c r="S54"/>
      <c r="T54" s="381"/>
      <c r="U54" s="473"/>
      <c r="V54" s="474"/>
      <c r="W54" s="475"/>
      <c r="X54" s="476"/>
      <c r="Y54" s="477"/>
      <c r="Z54" s="475"/>
      <c r="AA54" s="475"/>
      <c r="AB54" s="478"/>
      <c r="AC54" s="381"/>
      <c r="AM54" s="277">
        <v>51</v>
      </c>
      <c r="AN54" s="277" t="s">
        <v>5024</v>
      </c>
      <c r="AO54" s="277" t="s">
        <v>115</v>
      </c>
      <c r="AP54" s="277">
        <f t="shared" si="2"/>
        <v>0</v>
      </c>
      <c r="AQ54" s="277">
        <f t="shared" si="3"/>
        <v>0</v>
      </c>
      <c r="AR54" s="277">
        <f t="shared" si="24"/>
        <v>0</v>
      </c>
    </row>
    <row r="55" spans="3:44" ht="19.350000000000001" customHeight="1">
      <c r="I55" s="1"/>
      <c r="J55" s="1"/>
      <c r="K55" s="1"/>
      <c r="L55" s="1"/>
      <c r="M55" s="1"/>
      <c r="N55" s="1"/>
      <c r="O55" s="319"/>
      <c r="P55"/>
      <c r="Q55"/>
      <c r="R55"/>
      <c r="S55"/>
      <c r="T55" s="381"/>
      <c r="U55" s="479"/>
      <c r="V55" s="694" t="s">
        <v>73</v>
      </c>
      <c r="W55" s="659" t="s">
        <v>3096</v>
      </c>
      <c r="X55" s="659" t="s">
        <v>5134</v>
      </c>
      <c r="Y55" s="659" t="s">
        <v>5155</v>
      </c>
      <c r="Z55" s="659" t="s">
        <v>5158</v>
      </c>
      <c r="AA55" s="659" t="s">
        <v>3094</v>
      </c>
      <c r="AB55" s="690" t="s">
        <v>5117</v>
      </c>
      <c r="AM55" s="277">
        <v>52</v>
      </c>
      <c r="AN55" s="277" t="s">
        <v>5025</v>
      </c>
      <c r="AO55" s="277" t="s">
        <v>115</v>
      </c>
      <c r="AP55" s="277">
        <f t="shared" si="2"/>
        <v>0</v>
      </c>
      <c r="AQ55" s="277">
        <f t="shared" si="3"/>
        <v>0</v>
      </c>
      <c r="AR55" s="277">
        <f t="shared" si="24"/>
        <v>0</v>
      </c>
    </row>
    <row r="56" spans="3:44" ht="19.350000000000001" customHeight="1" thickBot="1">
      <c r="C56" s="339" t="s">
        <v>127</v>
      </c>
      <c r="D56" s="339"/>
      <c r="E56" s="381"/>
      <c r="F56" s="381"/>
      <c r="G56" s="381"/>
      <c r="H56" s="381"/>
      <c r="I56" s="381"/>
      <c r="J56" s="381"/>
      <c r="K56" s="381"/>
      <c r="L56" s="381"/>
      <c r="M56" s="381"/>
      <c r="N56" s="381"/>
      <c r="O56" s="319"/>
      <c r="P56"/>
      <c r="Q56"/>
      <c r="R56"/>
      <c r="S56"/>
      <c r="T56" s="381"/>
      <c r="U56" s="479" t="s">
        <v>111</v>
      </c>
      <c r="V56" s="695"/>
      <c r="W56" s="660"/>
      <c r="X56" s="660"/>
      <c r="Y56" s="660"/>
      <c r="Z56" s="660"/>
      <c r="AA56" s="660"/>
      <c r="AB56" s="691"/>
      <c r="AM56" s="277">
        <v>53</v>
      </c>
      <c r="AN56" s="277" t="s">
        <v>5026</v>
      </c>
      <c r="AO56" s="277" t="s">
        <v>116</v>
      </c>
      <c r="AP56" s="277">
        <f t="shared" si="2"/>
        <v>0</v>
      </c>
      <c r="AQ56" s="277">
        <f t="shared" si="3"/>
        <v>0</v>
      </c>
      <c r="AR56" s="277">
        <f t="shared" si="24"/>
        <v>0</v>
      </c>
    </row>
    <row r="57" spans="3:44" ht="19.350000000000001" customHeight="1">
      <c r="C57" s="748" t="s">
        <v>5131</v>
      </c>
      <c r="D57" s="749"/>
      <c r="E57" s="749"/>
      <c r="F57" s="758"/>
      <c r="G57" s="754" t="s">
        <v>5084</v>
      </c>
      <c r="H57" s="755"/>
      <c r="I57" s="381"/>
      <c r="J57" s="381"/>
      <c r="K57" s="381"/>
      <c r="L57" s="381"/>
      <c r="M57" s="381"/>
      <c r="N57" s="381"/>
      <c r="O57" s="319"/>
      <c r="P57"/>
      <c r="Q57"/>
      <c r="R57"/>
      <c r="S57"/>
      <c r="T57" s="381"/>
      <c r="U57" s="480"/>
      <c r="V57" s="225"/>
      <c r="W57" s="225"/>
      <c r="X57" s="220"/>
      <c r="Y57" s="221"/>
      <c r="Z57" s="449" t="str">
        <f t="shared" ref="Z57:Z58" si="30">IF(W57="","",W57*Y57)</f>
        <v/>
      </c>
      <c r="AA57" s="469">
        <v>8.64</v>
      </c>
      <c r="AB57" s="481">
        <f>W57*AA57</f>
        <v>0</v>
      </c>
      <c r="AC57" s="1"/>
      <c r="AM57" s="277">
        <v>54</v>
      </c>
      <c r="AN57" s="277" t="s">
        <v>5029</v>
      </c>
      <c r="AO57" s="277" t="s">
        <v>116</v>
      </c>
      <c r="AP57" s="277">
        <f t="shared" si="2"/>
        <v>0</v>
      </c>
      <c r="AQ57" s="277">
        <f t="shared" si="3"/>
        <v>0</v>
      </c>
      <c r="AR57" s="277">
        <f t="shared" si="24"/>
        <v>0</v>
      </c>
    </row>
    <row r="58" spans="3:44" ht="19.350000000000001" customHeight="1" thickBot="1">
      <c r="C58" s="759"/>
      <c r="D58" s="760"/>
      <c r="E58" s="760"/>
      <c r="F58" s="761"/>
      <c r="G58" s="756"/>
      <c r="H58" s="757"/>
      <c r="I58" s="381"/>
      <c r="J58" s="381"/>
      <c r="K58" s="381"/>
      <c r="L58" s="381"/>
      <c r="M58" s="381"/>
      <c r="N58" s="381"/>
      <c r="O58" s="319"/>
      <c r="P58"/>
      <c r="Q58"/>
      <c r="R58"/>
      <c r="S58"/>
      <c r="T58" s="381"/>
      <c r="U58" s="482"/>
      <c r="V58" s="225"/>
      <c r="W58" s="225"/>
      <c r="X58" s="220"/>
      <c r="Y58" s="221"/>
      <c r="Z58" s="449" t="str">
        <f t="shared" si="30"/>
        <v/>
      </c>
      <c r="AA58" s="469">
        <v>8.64</v>
      </c>
      <c r="AB58" s="483">
        <f t="shared" ref="AB58" si="31">W58*AA58</f>
        <v>0</v>
      </c>
      <c r="AM58" s="277">
        <v>55</v>
      </c>
      <c r="AN58" s="277" t="s">
        <v>5030</v>
      </c>
      <c r="AO58" s="277" t="s">
        <v>116</v>
      </c>
      <c r="AP58" s="277">
        <f t="shared" si="2"/>
        <v>0</v>
      </c>
      <c r="AQ58" s="277">
        <f t="shared" si="3"/>
        <v>0</v>
      </c>
      <c r="AR58" s="277">
        <f t="shared" si="24"/>
        <v>0</v>
      </c>
    </row>
    <row r="59" spans="3:44" ht="19.350000000000001" customHeight="1" thickTop="1">
      <c r="C59" s="764"/>
      <c r="D59" s="765"/>
      <c r="E59" s="765"/>
      <c r="F59" s="766"/>
      <c r="G59" s="762"/>
      <c r="H59" s="763"/>
      <c r="I59" s="381"/>
      <c r="J59" s="381"/>
      <c r="K59" s="381"/>
      <c r="L59" s="381"/>
      <c r="M59" s="381"/>
      <c r="N59" s="381"/>
      <c r="O59" s="319"/>
      <c r="P59"/>
      <c r="Q59"/>
      <c r="R59"/>
      <c r="S59"/>
      <c r="T59" s="1"/>
      <c r="U59" s="455" t="s">
        <v>106</v>
      </c>
      <c r="V59" s="458"/>
      <c r="W59" s="456">
        <f>SUM(W51:W53,W57:W58)</f>
        <v>0</v>
      </c>
      <c r="X59" s="457">
        <f>IF(W59=0,0,(SUMPRODUCT(W57:W58,X57:X58)+SUMPRODUCT(X51:X53,W51:W53))/W59)</f>
        <v>0</v>
      </c>
      <c r="Y59" s="458"/>
      <c r="Z59" s="456">
        <f>SUM(Z51:Z53,Z57:Z58)</f>
        <v>0</v>
      </c>
      <c r="AA59" s="458"/>
      <c r="AB59" s="456">
        <f>SUM(AB51:AB53,AB57:AB58)</f>
        <v>0</v>
      </c>
      <c r="AM59" s="277">
        <v>56</v>
      </c>
      <c r="AN59" s="277" t="s">
        <v>5031</v>
      </c>
      <c r="AO59" s="277" t="s">
        <v>116</v>
      </c>
      <c r="AP59" s="277">
        <f t="shared" si="2"/>
        <v>0</v>
      </c>
      <c r="AQ59" s="277">
        <f t="shared" si="3"/>
        <v>0</v>
      </c>
      <c r="AR59" s="277">
        <f t="shared" si="24"/>
        <v>0</v>
      </c>
    </row>
    <row r="60" spans="3:44" ht="19.350000000000001" customHeight="1">
      <c r="C60" s="707"/>
      <c r="D60" s="708"/>
      <c r="E60" s="708"/>
      <c r="F60" s="709"/>
      <c r="G60" s="710"/>
      <c r="H60" s="711"/>
      <c r="I60" s="381"/>
      <c r="J60" s="381"/>
      <c r="K60" s="381"/>
      <c r="L60" s="381"/>
      <c r="M60" s="381"/>
      <c r="N60" s="381"/>
      <c r="O60" s="319"/>
      <c r="P60"/>
      <c r="Q60"/>
      <c r="R60"/>
      <c r="S60"/>
      <c r="T60" s="1"/>
      <c r="U60" s="377"/>
      <c r="V60" s="377"/>
      <c r="W60" s="377"/>
      <c r="X60" s="377"/>
      <c r="Y60" s="484"/>
      <c r="Z60" s="312"/>
      <c r="AA60" s="312"/>
      <c r="AB60" s="312"/>
      <c r="AM60" s="277">
        <v>57</v>
      </c>
      <c r="AN60" s="277" t="s">
        <v>5032</v>
      </c>
      <c r="AO60" s="277" t="s">
        <v>116</v>
      </c>
      <c r="AP60" s="277">
        <f t="shared" si="2"/>
        <v>0</v>
      </c>
      <c r="AQ60" s="277">
        <f t="shared" si="3"/>
        <v>0</v>
      </c>
      <c r="AR60" s="277">
        <f t="shared" si="24"/>
        <v>0</v>
      </c>
    </row>
    <row r="61" spans="3:44" ht="19.350000000000001" customHeight="1">
      <c r="C61" s="707"/>
      <c r="D61" s="708"/>
      <c r="E61" s="708"/>
      <c r="F61" s="709"/>
      <c r="G61" s="710"/>
      <c r="H61" s="711"/>
      <c r="I61" s="381"/>
      <c r="J61" s="381"/>
      <c r="K61" s="381"/>
      <c r="L61" s="381"/>
      <c r="M61" s="381"/>
      <c r="N61" s="381"/>
      <c r="O61" s="319"/>
      <c r="P61"/>
      <c r="Q61"/>
      <c r="R61"/>
      <c r="S61"/>
      <c r="T61" s="1"/>
      <c r="U61" s="686"/>
      <c r="V61" s="659" t="s">
        <v>3095</v>
      </c>
      <c r="W61" s="659" t="s">
        <v>3094</v>
      </c>
      <c r="X61" s="659" t="s">
        <v>5155</v>
      </c>
      <c r="Y61" s="659" t="s">
        <v>5159</v>
      </c>
      <c r="Z61" s="312"/>
      <c r="AA61" s="312"/>
      <c r="AB61" s="312"/>
      <c r="AD61" s="381"/>
    </row>
    <row r="62" spans="3:44" ht="19.350000000000001" customHeight="1">
      <c r="C62" s="707"/>
      <c r="D62" s="708"/>
      <c r="E62" s="708"/>
      <c r="F62" s="709"/>
      <c r="G62" s="710"/>
      <c r="H62" s="711"/>
      <c r="I62" s="381"/>
      <c r="J62" s="381"/>
      <c r="K62" s="381"/>
      <c r="L62" s="381"/>
      <c r="M62" s="381"/>
      <c r="N62" s="381"/>
      <c r="O62" s="319"/>
      <c r="P62"/>
      <c r="Q62"/>
      <c r="R62"/>
      <c r="S62"/>
      <c r="T62" s="1"/>
      <c r="U62" s="687"/>
      <c r="V62" s="660"/>
      <c r="W62" s="660"/>
      <c r="X62" s="660"/>
      <c r="Y62" s="660"/>
      <c r="Z62" s="312"/>
      <c r="AA62" s="312"/>
      <c r="AB62" s="312"/>
      <c r="AD62" s="381"/>
    </row>
    <row r="63" spans="3:44" ht="19.350000000000001" customHeight="1">
      <c r="C63" s="707"/>
      <c r="D63" s="708"/>
      <c r="E63" s="708"/>
      <c r="F63" s="709"/>
      <c r="G63" s="710"/>
      <c r="H63" s="711"/>
      <c r="I63" s="381"/>
      <c r="J63" s="381"/>
      <c r="K63" s="381"/>
      <c r="L63" s="381"/>
      <c r="M63" s="381"/>
      <c r="N63" s="381"/>
      <c r="O63" s="381"/>
      <c r="P63"/>
      <c r="Q63"/>
      <c r="R63"/>
      <c r="S63"/>
      <c r="T63" s="1"/>
      <c r="U63" s="485" t="s">
        <v>5127</v>
      </c>
      <c r="V63" s="224"/>
      <c r="W63" s="217"/>
      <c r="X63" s="218"/>
      <c r="Y63" s="449" t="str">
        <f>IF(V63="","",V63*X63)</f>
        <v/>
      </c>
      <c r="Z63" s="312"/>
      <c r="AA63" s="312"/>
      <c r="AB63" s="312"/>
      <c r="AD63" s="381"/>
    </row>
    <row r="64" spans="3:44" ht="19.350000000000001" customHeight="1">
      <c r="C64" s="707"/>
      <c r="D64" s="708"/>
      <c r="E64" s="708"/>
      <c r="F64" s="709"/>
      <c r="G64" s="710"/>
      <c r="H64" s="711"/>
      <c r="I64" s="381"/>
      <c r="J64" s="381"/>
      <c r="K64" s="381"/>
      <c r="L64" s="381"/>
      <c r="M64" s="381"/>
      <c r="N64" s="381"/>
      <c r="O64" s="381"/>
      <c r="P64"/>
      <c r="Q64"/>
      <c r="R64"/>
      <c r="S64"/>
      <c r="T64" s="1"/>
      <c r="U64" s="377"/>
      <c r="V64" s="377"/>
      <c r="W64" s="377"/>
      <c r="X64" s="377"/>
      <c r="Y64" s="484"/>
      <c r="Z64" s="312"/>
      <c r="AA64" s="312"/>
      <c r="AB64" s="484"/>
      <c r="AD64" s="381"/>
    </row>
    <row r="65" spans="3:43" ht="19.350000000000001" customHeight="1" thickBot="1">
      <c r="C65" s="719"/>
      <c r="D65" s="720"/>
      <c r="E65" s="720"/>
      <c r="F65" s="721"/>
      <c r="G65" s="717"/>
      <c r="H65" s="718"/>
      <c r="I65" s="381"/>
      <c r="J65" s="381"/>
      <c r="K65" s="381"/>
      <c r="L65" s="381"/>
      <c r="M65" s="381"/>
      <c r="N65" s="381"/>
      <c r="O65" s="381"/>
      <c r="P65"/>
      <c r="Q65"/>
      <c r="R65"/>
      <c r="S65"/>
      <c r="T65" s="1"/>
      <c r="U65" s="686" t="s">
        <v>5128</v>
      </c>
      <c r="V65" s="918" t="s">
        <v>5129</v>
      </c>
      <c r="W65" s="659" t="s">
        <v>3094</v>
      </c>
      <c r="X65" s="312"/>
      <c r="Y65" s="484"/>
      <c r="Z65" s="312"/>
      <c r="AA65" s="312"/>
      <c r="AB65" s="312"/>
      <c r="AD65" s="381"/>
    </row>
    <row r="66" spans="3:43" ht="19.350000000000001" customHeight="1" thickTop="1" thickBot="1">
      <c r="C66" s="714" t="s">
        <v>126</v>
      </c>
      <c r="D66" s="715"/>
      <c r="E66" s="715"/>
      <c r="F66" s="716"/>
      <c r="G66" s="712" t="str">
        <f t="shared" ref="G66" si="32">IF(COUNTBLANK(G59:G65)=7,"",SUM(G59:G65))</f>
        <v/>
      </c>
      <c r="H66" s="713"/>
      <c r="I66" s="381"/>
      <c r="J66" s="381"/>
      <c r="K66" s="381"/>
      <c r="L66" s="381"/>
      <c r="M66" s="381"/>
      <c r="N66" s="381"/>
      <c r="O66" s="381"/>
      <c r="P66"/>
      <c r="Q66"/>
      <c r="R66"/>
      <c r="S66"/>
      <c r="T66" s="1"/>
      <c r="U66" s="687"/>
      <c r="V66" s="660"/>
      <c r="W66" s="660"/>
      <c r="X66" s="312"/>
      <c r="Y66" s="312"/>
      <c r="Z66" s="312"/>
      <c r="AA66" s="312"/>
      <c r="AB66" s="312"/>
      <c r="AD66" s="381"/>
    </row>
    <row r="67" spans="3:43" ht="19.350000000000001" customHeight="1">
      <c r="C67" s="381"/>
      <c r="D67" s="381"/>
      <c r="E67" s="381"/>
      <c r="F67" s="381"/>
      <c r="G67" s="381"/>
      <c r="H67" s="381"/>
      <c r="I67" s="381"/>
      <c r="J67" s="381"/>
      <c r="K67" s="381"/>
      <c r="L67" s="381"/>
      <c r="M67" s="381"/>
      <c r="N67" s="381"/>
      <c r="O67" s="381"/>
      <c r="P67"/>
      <c r="Q67"/>
      <c r="R67"/>
      <c r="S67"/>
      <c r="T67" s="1"/>
      <c r="U67" s="486" t="s">
        <v>5064</v>
      </c>
      <c r="V67" s="224"/>
      <c r="W67" s="487">
        <v>3.6</v>
      </c>
      <c r="X67" s="312"/>
      <c r="Y67" s="312"/>
      <c r="Z67" s="312"/>
      <c r="AA67" s="312"/>
      <c r="AB67" s="312"/>
      <c r="AD67" s="381"/>
    </row>
    <row r="68" spans="3:43" ht="19.350000000000001" customHeight="1" thickBot="1">
      <c r="C68" s="339" t="s">
        <v>129</v>
      </c>
      <c r="D68" s="339"/>
      <c r="E68" s="381"/>
      <c r="F68" s="381"/>
      <c r="G68" s="381"/>
      <c r="H68" s="381"/>
      <c r="I68" s="381"/>
      <c r="J68" s="381"/>
      <c r="K68" s="381"/>
      <c r="L68" s="381"/>
      <c r="M68" s="381"/>
      <c r="N68" s="381"/>
      <c r="O68" s="381"/>
      <c r="P68"/>
      <c r="Q68"/>
      <c r="R68"/>
      <c r="S68"/>
      <c r="T68" s="1"/>
      <c r="U68" s="486" t="s">
        <v>5069</v>
      </c>
      <c r="V68" s="224"/>
      <c r="W68" s="487">
        <v>3.6</v>
      </c>
      <c r="X68" s="312"/>
      <c r="Y68" s="312"/>
      <c r="Z68" s="312"/>
      <c r="AA68" s="312"/>
      <c r="AB68" s="312"/>
      <c r="AD68" s="381"/>
    </row>
    <row r="69" spans="3:43" ht="19.350000000000001" customHeight="1">
      <c r="C69" s="748" t="s">
        <v>128</v>
      </c>
      <c r="D69" s="749"/>
      <c r="E69" s="749"/>
      <c r="F69" s="749"/>
      <c r="G69" s="749"/>
      <c r="H69" s="750"/>
      <c r="I69" s="381"/>
      <c r="J69" s="381"/>
      <c r="K69" s="381"/>
      <c r="L69" s="381"/>
      <c r="M69" s="381"/>
      <c r="N69" s="381"/>
      <c r="O69" s="381"/>
      <c r="P69"/>
      <c r="Q69"/>
      <c r="R69"/>
      <c r="S69"/>
      <c r="T69" s="1"/>
      <c r="U69" s="486" t="s">
        <v>5066</v>
      </c>
      <c r="V69" s="224"/>
      <c r="W69" s="487">
        <v>3.6</v>
      </c>
      <c r="X69" s="312"/>
      <c r="Y69" s="484"/>
      <c r="Z69" s="312"/>
      <c r="AA69" s="312"/>
      <c r="AB69" s="312"/>
    </row>
    <row r="70" spans="3:43" ht="19.350000000000001" customHeight="1" thickBot="1">
      <c r="C70" s="751"/>
      <c r="D70" s="752"/>
      <c r="E70" s="752"/>
      <c r="F70" s="752"/>
      <c r="G70" s="752"/>
      <c r="H70" s="753"/>
      <c r="I70" s="381"/>
      <c r="J70" s="381"/>
      <c r="K70" s="381"/>
      <c r="L70" s="381"/>
      <c r="M70" s="381"/>
      <c r="N70" s="381"/>
      <c r="O70" s="381"/>
      <c r="P70"/>
      <c r="Q70"/>
      <c r="R70"/>
      <c r="S70"/>
      <c r="T70" s="1"/>
      <c r="U70" s="486" t="s">
        <v>5132</v>
      </c>
      <c r="V70" s="224"/>
      <c r="W70" s="487">
        <v>3.6</v>
      </c>
      <c r="X70" s="312"/>
      <c r="Y70" s="484"/>
      <c r="Z70" s="312"/>
      <c r="AA70" s="312"/>
      <c r="AB70" s="312"/>
    </row>
    <row r="71" spans="3:43" ht="19.350000000000001" customHeight="1" thickTop="1">
      <c r="C71" s="745" t="s">
        <v>71</v>
      </c>
      <c r="D71" s="746"/>
      <c r="E71" s="746"/>
      <c r="F71" s="747"/>
      <c r="G71" s="914" t="str">
        <f>'事業所排出量内訳 (基準年度)'!G71&amp;""</f>
        <v/>
      </c>
      <c r="H71" s="915"/>
      <c r="I71" s="381"/>
      <c r="J71" s="381"/>
      <c r="K71" s="381"/>
      <c r="L71" s="381"/>
      <c r="M71" s="381"/>
      <c r="N71" s="381"/>
      <c r="O71" s="381"/>
      <c r="P71"/>
      <c r="Q71"/>
      <c r="R71"/>
      <c r="S71"/>
      <c r="T71" s="1"/>
      <c r="U71" s="455" t="s">
        <v>106</v>
      </c>
      <c r="V71" s="456">
        <f>SUM(V67:V70)</f>
        <v>0</v>
      </c>
      <c r="W71" s="458"/>
      <c r="X71" s="312"/>
      <c r="Y71" s="484"/>
      <c r="Z71" s="312"/>
      <c r="AA71" s="312"/>
      <c r="AB71" s="312"/>
    </row>
    <row r="72" spans="3:43" ht="19.350000000000001" customHeight="1">
      <c r="C72" s="727" t="s">
        <v>147</v>
      </c>
      <c r="D72" s="728"/>
      <c r="E72" s="728"/>
      <c r="F72" s="729"/>
      <c r="G72" s="916" t="str">
        <f>'事業所排出量内訳 (基準年度)'!G72&amp;""</f>
        <v/>
      </c>
      <c r="H72" s="917"/>
      <c r="I72" s="381"/>
      <c r="J72" s="381"/>
      <c r="K72" s="381"/>
      <c r="L72" s="381"/>
      <c r="M72" s="381"/>
      <c r="N72" s="1"/>
      <c r="O72" s="381"/>
      <c r="P72"/>
      <c r="Q72"/>
      <c r="R72"/>
      <c r="S72"/>
      <c r="T72" s="1"/>
      <c r="U72" s="312"/>
      <c r="V72" s="312"/>
      <c r="W72" s="312"/>
      <c r="X72" s="312"/>
      <c r="Y72" s="312"/>
      <c r="Z72" s="312"/>
      <c r="AA72" s="312"/>
      <c r="AB72" s="312"/>
    </row>
    <row r="73" spans="3:43" ht="19.350000000000001" customHeight="1" thickBot="1">
      <c r="C73" s="724" t="s">
        <v>146</v>
      </c>
      <c r="D73" s="725"/>
      <c r="E73" s="725"/>
      <c r="F73" s="726"/>
      <c r="G73" s="703"/>
      <c r="H73" s="704"/>
      <c r="I73" s="381"/>
      <c r="J73" s="381"/>
      <c r="K73" s="381"/>
      <c r="L73" s="1"/>
      <c r="M73" s="1"/>
      <c r="N73" s="1"/>
      <c r="O73" s="381"/>
      <c r="P73"/>
      <c r="Q73"/>
      <c r="R73"/>
      <c r="S73"/>
      <c r="T73" s="1"/>
      <c r="U73" s="312"/>
      <c r="V73" s="312"/>
      <c r="W73" s="312"/>
      <c r="X73" s="312"/>
      <c r="Y73" s="312"/>
      <c r="Z73" s="312"/>
      <c r="AA73" s="312"/>
      <c r="AB73" s="312"/>
    </row>
    <row r="74" spans="3:43" ht="19.350000000000001" customHeight="1">
      <c r="I74" s="1"/>
      <c r="J74" s="1"/>
      <c r="K74" s="1"/>
      <c r="L74" s="1"/>
      <c r="M74" s="1"/>
      <c r="N74" s="1"/>
      <c r="O74" s="381"/>
      <c r="P74"/>
      <c r="Q74"/>
      <c r="R74"/>
      <c r="S74"/>
      <c r="T74" s="1"/>
      <c r="AH74" s="12"/>
      <c r="AI74" s="12"/>
      <c r="AJ74" s="12"/>
    </row>
    <row r="75" spans="3:43" ht="19.350000000000001" customHeight="1">
      <c r="I75" s="1"/>
      <c r="J75" s="1"/>
      <c r="K75" s="1"/>
      <c r="L75" s="1"/>
      <c r="M75" s="1"/>
      <c r="N75" s="1"/>
      <c r="O75" s="1"/>
      <c r="T75" s="1"/>
      <c r="AG75" s="12"/>
      <c r="AH75" s="12"/>
      <c r="AI75" s="12"/>
      <c r="AJ75" s="12"/>
    </row>
    <row r="76" spans="3:43" ht="19.350000000000001" customHeight="1">
      <c r="I76" s="1"/>
      <c r="J76" s="1"/>
      <c r="K76" s="1"/>
      <c r="L76" s="1"/>
      <c r="M76" s="1"/>
      <c r="N76" s="1"/>
      <c r="O76" s="1"/>
      <c r="T76" s="1"/>
      <c r="AG76" s="12"/>
    </row>
    <row r="77" spans="3:43" ht="19.350000000000001" customHeight="1">
      <c r="I77" s="1"/>
      <c r="J77" s="1"/>
      <c r="K77" s="1"/>
      <c r="L77" s="1"/>
      <c r="M77" s="1"/>
      <c r="N77" s="1"/>
      <c r="O77" s="1"/>
      <c r="T77" s="1"/>
      <c r="AK77" s="12"/>
    </row>
    <row r="78" spans="3:43" ht="19.350000000000001" customHeight="1">
      <c r="I78" s="1"/>
      <c r="J78" s="1"/>
      <c r="K78" s="1"/>
      <c r="L78" s="1"/>
      <c r="M78" s="1"/>
      <c r="N78" s="1"/>
      <c r="O78" s="1"/>
      <c r="T78" s="1"/>
      <c r="AK78" s="12"/>
      <c r="AL78" s="12"/>
    </row>
    <row r="79" spans="3:43" ht="19.350000000000001" customHeight="1">
      <c r="I79" s="1"/>
      <c r="J79" s="1"/>
      <c r="K79" s="1"/>
      <c r="L79" s="1"/>
      <c r="M79" s="1"/>
      <c r="N79" s="1"/>
      <c r="O79" s="1"/>
      <c r="T79" s="1"/>
      <c r="AL79" s="12"/>
      <c r="AQ79" s="12"/>
    </row>
    <row r="80" spans="3:43" ht="23.25" customHeight="1">
      <c r="I80" s="1"/>
      <c r="J80" s="1"/>
      <c r="K80" s="1"/>
      <c r="L80" s="1"/>
      <c r="M80" s="1"/>
      <c r="N80" s="1"/>
      <c r="O80" s="1"/>
      <c r="T80" s="1"/>
      <c r="AQ80" s="12"/>
    </row>
    <row r="81" spans="1:50" ht="23.25" customHeight="1">
      <c r="I81" s="1"/>
      <c r="J81" s="1"/>
      <c r="K81" s="1"/>
      <c r="L81" s="1"/>
      <c r="M81" s="1"/>
      <c r="N81" s="1"/>
      <c r="O81" s="1"/>
      <c r="T81" s="1"/>
      <c r="AR81" s="12"/>
    </row>
    <row r="82" spans="1:50" ht="23.25" customHeight="1">
      <c r="I82" s="1"/>
      <c r="J82" s="1"/>
      <c r="K82" s="1"/>
      <c r="L82" s="1"/>
      <c r="M82" s="1"/>
      <c r="N82" s="1"/>
      <c r="O82" s="1"/>
      <c r="T82" s="1"/>
      <c r="AH82" s="12"/>
      <c r="AI82" s="12"/>
      <c r="AJ82" s="12"/>
      <c r="AR82" s="12"/>
    </row>
    <row r="83" spans="1:50" ht="23.25" customHeight="1">
      <c r="I83" s="1"/>
      <c r="J83" s="1"/>
      <c r="K83" s="1"/>
      <c r="L83" s="1"/>
      <c r="M83" s="1"/>
      <c r="N83" s="1"/>
      <c r="O83" s="1"/>
      <c r="T83" s="1"/>
      <c r="AG83" s="12"/>
      <c r="AM83" s="12"/>
      <c r="AN83" s="12"/>
      <c r="AO83" s="12"/>
      <c r="AP83" s="12"/>
    </row>
    <row r="84" spans="1:50" ht="23.25" customHeight="1">
      <c r="I84" s="1"/>
      <c r="J84" s="1"/>
      <c r="K84" s="1"/>
      <c r="L84" s="1"/>
      <c r="M84" s="1"/>
      <c r="N84" s="1"/>
      <c r="O84" s="1"/>
      <c r="T84" s="1"/>
      <c r="AM84" s="12"/>
      <c r="AN84" s="12"/>
      <c r="AO84" s="12"/>
      <c r="AP84" s="12"/>
    </row>
    <row r="85" spans="1:50" ht="19.5" customHeight="1">
      <c r="I85" s="1"/>
      <c r="J85" s="1"/>
      <c r="K85" s="1"/>
      <c r="L85" s="1"/>
      <c r="M85" s="1"/>
      <c r="N85" s="1"/>
      <c r="O85" s="1"/>
      <c r="T85" s="1"/>
      <c r="U85" s="1"/>
      <c r="V85" s="1"/>
      <c r="AF85" s="12"/>
      <c r="AK85" s="12"/>
    </row>
    <row r="86" spans="1:50" s="12" customFormat="1" ht="27.6" customHeight="1">
      <c r="A86" s="277"/>
      <c r="B86" s="277"/>
      <c r="C86" s="277"/>
      <c r="D86" s="277"/>
      <c r="E86" s="277"/>
      <c r="F86" s="277"/>
      <c r="G86" s="277"/>
      <c r="H86" s="277"/>
      <c r="I86" s="1"/>
      <c r="J86" s="1"/>
      <c r="K86" s="1"/>
      <c r="L86" s="1"/>
      <c r="M86" s="1"/>
      <c r="N86" s="1"/>
      <c r="O86" s="1"/>
      <c r="P86" s="277"/>
      <c r="Q86" s="277"/>
      <c r="R86" s="277"/>
      <c r="S86" s="277"/>
      <c r="T86" s="1"/>
      <c r="U86" s="1"/>
      <c r="V86" s="1"/>
      <c r="W86" s="277"/>
      <c r="X86" s="277"/>
      <c r="Y86" s="277"/>
      <c r="Z86" s="277"/>
      <c r="AA86" s="277"/>
      <c r="AB86" s="277"/>
      <c r="AC86" s="277"/>
      <c r="AD86" s="277"/>
      <c r="AE86" s="277"/>
      <c r="AG86" s="277"/>
      <c r="AH86" s="277"/>
      <c r="AI86" s="277"/>
      <c r="AJ86" s="277"/>
      <c r="AK86" s="277"/>
      <c r="AM86" s="277"/>
      <c r="AN86" s="277"/>
      <c r="AO86" s="277"/>
      <c r="AP86" s="277"/>
      <c r="AQ86" s="277"/>
      <c r="AR86" s="277"/>
      <c r="AS86" s="277"/>
      <c r="AT86" s="277"/>
      <c r="AU86" s="277"/>
      <c r="AV86" s="277"/>
      <c r="AW86" s="277"/>
      <c r="AX86" s="277"/>
    </row>
    <row r="87" spans="1:50" s="12" customFormat="1" ht="27" customHeight="1">
      <c r="A87" s="277"/>
      <c r="B87" s="277"/>
      <c r="C87" s="277"/>
      <c r="D87" s="277"/>
      <c r="E87" s="277"/>
      <c r="F87" s="277"/>
      <c r="G87" s="277"/>
      <c r="H87" s="277"/>
      <c r="I87" s="1"/>
      <c r="J87" s="1"/>
      <c r="K87" s="1"/>
      <c r="L87" s="1"/>
      <c r="M87" s="1"/>
      <c r="N87" s="1"/>
      <c r="O87" s="1"/>
      <c r="P87" s="277"/>
      <c r="Q87" s="277"/>
      <c r="R87" s="277"/>
      <c r="S87" s="277"/>
      <c r="T87" s="1"/>
      <c r="U87" s="1"/>
      <c r="V87" s="1"/>
      <c r="W87" s="277"/>
      <c r="X87" s="277"/>
      <c r="Y87" s="277"/>
      <c r="Z87" s="277"/>
      <c r="AA87" s="277"/>
      <c r="AB87" s="277"/>
      <c r="AD87" s="277"/>
      <c r="AE87" s="277"/>
      <c r="AG87" s="277"/>
      <c r="AH87" s="277"/>
      <c r="AI87" s="277"/>
      <c r="AJ87" s="277"/>
      <c r="AK87" s="277"/>
      <c r="AL87" s="277"/>
      <c r="AM87" s="277"/>
      <c r="AN87" s="277"/>
      <c r="AO87" s="277"/>
      <c r="AP87" s="277"/>
      <c r="AR87" s="277"/>
      <c r="AS87" s="277"/>
    </row>
    <row r="88" spans="1:50" ht="22.5" customHeight="1">
      <c r="I88" s="1"/>
      <c r="J88" s="1"/>
      <c r="K88" s="1"/>
      <c r="L88" s="1"/>
      <c r="M88" s="1"/>
      <c r="N88" s="1"/>
      <c r="O88" s="1"/>
      <c r="T88" s="1"/>
      <c r="U88" s="1"/>
      <c r="V88" s="1"/>
      <c r="AC88" s="12"/>
      <c r="AF88" s="12"/>
      <c r="AT88" s="12"/>
      <c r="AU88" s="12"/>
      <c r="AV88" s="12"/>
      <c r="AW88" s="12"/>
      <c r="AX88" s="12"/>
    </row>
    <row r="89" spans="1:50" ht="22.5" customHeight="1">
      <c r="I89" s="1"/>
      <c r="J89" s="1"/>
      <c r="K89" s="1"/>
      <c r="L89" s="1"/>
      <c r="M89" s="1"/>
      <c r="N89" s="1"/>
      <c r="O89" s="1"/>
      <c r="T89" s="1"/>
      <c r="U89" s="489"/>
      <c r="V89" s="1"/>
      <c r="AD89" s="12"/>
      <c r="AE89" s="12"/>
      <c r="AR89" s="12"/>
      <c r="AS89" s="12"/>
    </row>
    <row r="90" spans="1:50" ht="22.5" customHeight="1">
      <c r="I90" s="1"/>
      <c r="J90" s="1"/>
      <c r="K90" s="1"/>
      <c r="N90" s="1"/>
      <c r="O90" s="1"/>
      <c r="T90" s="1"/>
      <c r="U90" s="1"/>
      <c r="AD90" s="12"/>
      <c r="AE90" s="12"/>
      <c r="AS90" s="12"/>
    </row>
    <row r="91" spans="1:50" ht="22.5" customHeight="1">
      <c r="N91" s="1"/>
      <c r="O91" s="1"/>
      <c r="T91" s="1"/>
      <c r="U91" s="1"/>
      <c r="V91" s="1"/>
      <c r="AM91" s="12"/>
      <c r="AN91" s="12"/>
      <c r="AO91" s="12"/>
      <c r="AP91" s="12"/>
    </row>
    <row r="92" spans="1:50" ht="22.5" customHeight="1">
      <c r="N92" s="1"/>
      <c r="O92" s="1"/>
      <c r="T92" s="1"/>
      <c r="U92" s="1"/>
      <c r="V92" s="1"/>
    </row>
    <row r="93" spans="1:50" ht="22.5" customHeight="1">
      <c r="A93" s="12"/>
      <c r="B93" s="12"/>
      <c r="N93" s="1"/>
      <c r="O93" s="1"/>
      <c r="T93" s="1"/>
      <c r="U93" s="1"/>
      <c r="V93" s="1"/>
    </row>
    <row r="94" spans="1:50" s="12" customFormat="1" ht="22.5" customHeight="1">
      <c r="C94" s="277"/>
      <c r="D94" s="277"/>
      <c r="E94" s="277"/>
      <c r="F94" s="277"/>
      <c r="G94" s="277"/>
      <c r="H94" s="277"/>
      <c r="I94" s="277"/>
      <c r="J94" s="277"/>
      <c r="K94" s="277"/>
      <c r="L94" s="277"/>
      <c r="M94" s="277"/>
      <c r="N94" s="1"/>
      <c r="O94" s="1"/>
      <c r="P94" s="277"/>
      <c r="Q94" s="277"/>
      <c r="R94" s="277"/>
      <c r="S94" s="277"/>
      <c r="T94" s="1"/>
      <c r="U94" s="1"/>
      <c r="V94" s="1"/>
      <c r="W94" s="277"/>
      <c r="X94" s="277"/>
      <c r="Y94" s="277"/>
      <c r="Z94" s="277"/>
      <c r="AA94" s="277"/>
      <c r="AB94" s="277"/>
      <c r="AC94" s="277"/>
      <c r="AD94" s="277"/>
      <c r="AE94" s="277"/>
      <c r="AF94" s="277"/>
      <c r="AG94" s="277"/>
      <c r="AH94" s="277"/>
      <c r="AI94" s="277"/>
      <c r="AJ94" s="277"/>
      <c r="AK94" s="277"/>
      <c r="AL94" s="277"/>
      <c r="AM94" s="277"/>
      <c r="AN94" s="277"/>
      <c r="AO94" s="277"/>
      <c r="AP94" s="277"/>
      <c r="AQ94" s="277"/>
      <c r="AR94" s="277"/>
      <c r="AS94" s="277"/>
      <c r="AT94" s="277"/>
      <c r="AU94" s="277"/>
      <c r="AV94" s="277"/>
      <c r="AW94" s="277"/>
      <c r="AX94" s="277"/>
    </row>
    <row r="95" spans="1:50" ht="22.5" customHeight="1">
      <c r="N95" s="1"/>
      <c r="O95" s="1"/>
      <c r="T95" s="1"/>
      <c r="U95" s="1"/>
      <c r="V95" s="1"/>
      <c r="AB95" s="12"/>
      <c r="AF95" s="12"/>
      <c r="AT95" s="12"/>
      <c r="AU95" s="12"/>
      <c r="AV95" s="12"/>
      <c r="AW95" s="12"/>
      <c r="AX95" s="12"/>
    </row>
    <row r="96" spans="1:50" ht="21" customHeight="1">
      <c r="N96" s="1"/>
      <c r="O96" s="1"/>
      <c r="T96" s="1"/>
      <c r="U96" s="1"/>
      <c r="V96" s="1"/>
      <c r="AC96" s="12"/>
    </row>
    <row r="97" spans="1:45" ht="21" customHeight="1">
      <c r="N97" s="1"/>
      <c r="O97" s="1"/>
      <c r="T97" s="1"/>
      <c r="U97" s="1"/>
      <c r="V97" s="1"/>
      <c r="AD97" s="12"/>
      <c r="AE97" s="12"/>
      <c r="AS97" s="12"/>
    </row>
    <row r="98" spans="1:45" ht="22.5" customHeight="1">
      <c r="N98" s="1"/>
      <c r="O98" s="1"/>
      <c r="T98" s="1"/>
      <c r="U98" s="1"/>
      <c r="V98" s="1"/>
    </row>
    <row r="99" spans="1:45" ht="22.5" customHeight="1">
      <c r="N99" s="1"/>
      <c r="O99" s="1"/>
      <c r="T99" s="1"/>
      <c r="U99" s="1"/>
      <c r="V99" s="1"/>
      <c r="Z99" s="12"/>
    </row>
    <row r="100" spans="1:45" ht="22.5" customHeight="1">
      <c r="N100" s="1"/>
      <c r="O100" s="1"/>
      <c r="T100" s="1"/>
      <c r="U100" s="1"/>
      <c r="V100" s="1"/>
      <c r="W100" s="12"/>
      <c r="X100" s="12"/>
      <c r="Y100" s="12"/>
      <c r="Z100" s="12"/>
    </row>
    <row r="101" spans="1:45" ht="22.5" customHeight="1">
      <c r="A101" s="12"/>
      <c r="B101" s="12"/>
      <c r="N101" s="1"/>
      <c r="O101" s="1"/>
      <c r="T101" s="1"/>
      <c r="U101" s="1"/>
      <c r="V101" s="1"/>
      <c r="W101" s="12"/>
      <c r="X101" s="12"/>
      <c r="Y101" s="12"/>
      <c r="AA101" s="12"/>
    </row>
    <row r="102" spans="1:45" ht="23.25" customHeight="1">
      <c r="N102" s="1"/>
      <c r="O102" s="1"/>
      <c r="T102" s="1"/>
      <c r="U102" s="1"/>
      <c r="V102" s="1"/>
      <c r="AA102" s="12"/>
    </row>
    <row r="103" spans="1:45" ht="27.75" customHeight="1">
      <c r="N103" s="1"/>
      <c r="O103" s="1"/>
      <c r="T103" s="1"/>
      <c r="U103" s="1"/>
      <c r="V103" s="1"/>
    </row>
    <row r="104" spans="1:45" ht="21" customHeight="1">
      <c r="N104" s="1"/>
      <c r="O104" s="1"/>
      <c r="T104" s="1"/>
      <c r="U104" s="1"/>
      <c r="V104" s="1"/>
    </row>
    <row r="105" spans="1:45" ht="21" customHeight="1">
      <c r="N105" s="1"/>
      <c r="O105" s="1"/>
      <c r="T105" s="1"/>
      <c r="U105" s="1"/>
      <c r="V105" s="1"/>
    </row>
    <row r="106" spans="1:45" ht="21" customHeight="1">
      <c r="N106" s="1"/>
      <c r="O106" s="1"/>
      <c r="T106" s="1"/>
      <c r="U106" s="1"/>
      <c r="V106" s="1"/>
    </row>
    <row r="107" spans="1:45" ht="21" customHeight="1">
      <c r="N107" s="1"/>
      <c r="O107" s="1"/>
      <c r="T107" s="1"/>
      <c r="U107" s="1"/>
      <c r="V107" s="1"/>
      <c r="Z107" s="12"/>
    </row>
    <row r="108" spans="1:45" ht="21" customHeight="1">
      <c r="N108" s="1"/>
      <c r="O108" s="1"/>
      <c r="T108" s="1"/>
      <c r="U108" s="1"/>
      <c r="V108" s="1"/>
      <c r="W108" s="12"/>
      <c r="X108" s="12"/>
      <c r="Y108" s="12"/>
    </row>
    <row r="109" spans="1:45" ht="21" customHeight="1">
      <c r="N109" s="1"/>
      <c r="O109" s="1"/>
      <c r="T109" s="1"/>
      <c r="U109" s="1"/>
      <c r="V109" s="1"/>
      <c r="AA109" s="12"/>
    </row>
    <row r="110" spans="1:45" ht="21" customHeight="1">
      <c r="O110" s="1"/>
      <c r="T110" s="1"/>
      <c r="U110" s="1"/>
      <c r="V110" s="1"/>
    </row>
    <row r="111" spans="1:45" ht="22.5" customHeight="1">
      <c r="O111" s="1"/>
      <c r="T111" s="1"/>
      <c r="U111" s="1"/>
      <c r="V111" s="1"/>
    </row>
    <row r="112" spans="1:45" ht="22.5" customHeight="1">
      <c r="O112" s="1"/>
      <c r="T112" s="1"/>
      <c r="U112" s="1"/>
      <c r="V112" s="1"/>
    </row>
    <row r="113" spans="15:22" ht="22.5" customHeight="1">
      <c r="O113" s="1"/>
      <c r="T113" s="1"/>
      <c r="U113" s="1"/>
      <c r="V113" s="1"/>
    </row>
    <row r="114" spans="15:22" ht="27.75" customHeight="1">
      <c r="O114" s="1"/>
      <c r="T114" s="1"/>
      <c r="U114" s="1"/>
      <c r="V114" s="1"/>
    </row>
    <row r="115" spans="15:22" ht="21" customHeight="1">
      <c r="O115" s="1"/>
      <c r="T115" s="1"/>
      <c r="U115" s="1"/>
      <c r="V115" s="1"/>
    </row>
    <row r="116" spans="15:22" ht="21" customHeight="1">
      <c r="O116" s="1"/>
      <c r="T116" s="1"/>
      <c r="U116" s="1"/>
      <c r="V116" s="1"/>
    </row>
    <row r="117" spans="15:22" ht="21" customHeight="1">
      <c r="O117" s="1"/>
      <c r="T117" s="1"/>
      <c r="U117" s="1"/>
      <c r="V117" s="1"/>
    </row>
    <row r="118" spans="15:22" ht="21" customHeight="1">
      <c r="O118" s="1"/>
      <c r="T118" s="1"/>
      <c r="U118" s="1"/>
      <c r="V118" s="1"/>
    </row>
    <row r="119" spans="15:22" ht="21" customHeight="1">
      <c r="O119" s="1"/>
      <c r="T119" s="1"/>
      <c r="U119" s="1"/>
      <c r="V119" s="1"/>
    </row>
    <row r="120" spans="15:22" ht="21" customHeight="1">
      <c r="O120" s="1"/>
      <c r="T120" s="1"/>
      <c r="U120" s="1"/>
      <c r="V120" s="1"/>
    </row>
    <row r="121" spans="15:22" ht="21" customHeight="1">
      <c r="O121" s="1"/>
      <c r="T121" s="1"/>
      <c r="U121" s="1"/>
      <c r="V121" s="1"/>
    </row>
    <row r="122" spans="15:22" ht="23.25" customHeight="1">
      <c r="O122" s="1"/>
      <c r="T122" s="1"/>
      <c r="U122" s="1"/>
      <c r="V122" s="1"/>
    </row>
    <row r="123" spans="15:22" ht="22.5" customHeight="1">
      <c r="O123" s="1"/>
      <c r="T123" s="1"/>
      <c r="U123" s="1"/>
      <c r="V123" s="1"/>
    </row>
    <row r="124" spans="15:22" ht="22.5" customHeight="1">
      <c r="O124" s="1"/>
      <c r="T124" s="1"/>
      <c r="U124" s="1"/>
      <c r="V124" s="1"/>
    </row>
    <row r="125" spans="15:22" ht="27" customHeight="1">
      <c r="T125" s="1"/>
      <c r="U125" s="702"/>
      <c r="V125" s="702"/>
    </row>
    <row r="126" spans="15:22" ht="21" customHeight="1">
      <c r="T126" s="1"/>
      <c r="U126" s="702"/>
      <c r="V126" s="702"/>
    </row>
    <row r="127" spans="15:22" ht="21" customHeight="1">
      <c r="U127" s="1"/>
      <c r="V127" s="1"/>
    </row>
    <row r="128" spans="15:22" ht="21" customHeight="1">
      <c r="U128" s="1"/>
      <c r="V128" s="1"/>
    </row>
    <row r="129" spans="21:22" ht="22.5" customHeight="1">
      <c r="U129" s="1"/>
      <c r="V129" s="1"/>
    </row>
    <row r="130" spans="21:22" ht="17.399999999999999">
      <c r="U130" s="1"/>
      <c r="V130" s="1"/>
    </row>
    <row r="131" spans="21:22" ht="17.399999999999999">
      <c r="U131" s="1"/>
      <c r="V131" s="1"/>
    </row>
    <row r="132" spans="21:22" ht="17.399999999999999">
      <c r="U132" s="1"/>
      <c r="V132" s="1"/>
    </row>
    <row r="133" spans="21:22" ht="17.399999999999999">
      <c r="U133" s="1"/>
      <c r="V133" s="1"/>
    </row>
    <row r="134" spans="21:22" ht="17.399999999999999">
      <c r="U134" s="1"/>
      <c r="V134" s="1"/>
    </row>
    <row r="135" spans="21:22" ht="17.399999999999999">
      <c r="U135" s="1"/>
      <c r="V135" s="1"/>
    </row>
    <row r="136" spans="21:22" ht="17.399999999999999">
      <c r="U136" s="1"/>
      <c r="V136" s="1"/>
    </row>
    <row r="137" spans="21:22" ht="17.399999999999999">
      <c r="U137" s="1"/>
      <c r="V137" s="1"/>
    </row>
  </sheetData>
  <sheetProtection algorithmName="SHA-512" hashValue="8Jb0M7ewb2k/1o1Lu0bmJ7/GlmG4+5nWU7cQMxg72TVSP70BOkUZT+4s3NGJwBTpSMLKNhe588PcgtgmNHlbBw==" saltValue="H3LOaYeFp4W3I+XoF1hu1Q==" spinCount="100000" sheet="1" objects="1" scenarios="1" selectLockedCells="1"/>
  <mergeCells count="110">
    <mergeCell ref="U125:V126"/>
    <mergeCell ref="C69:H70"/>
    <mergeCell ref="C71:F71"/>
    <mergeCell ref="G71:H71"/>
    <mergeCell ref="C72:F72"/>
    <mergeCell ref="G72:H72"/>
    <mergeCell ref="C73:F73"/>
    <mergeCell ref="G73:H73"/>
    <mergeCell ref="C65:F65"/>
    <mergeCell ref="G65:H65"/>
    <mergeCell ref="U65:U66"/>
    <mergeCell ref="V65:V66"/>
    <mergeCell ref="W65:W66"/>
    <mergeCell ref="C66:F66"/>
    <mergeCell ref="G66:H66"/>
    <mergeCell ref="Y61:Y62"/>
    <mergeCell ref="C62:F62"/>
    <mergeCell ref="G62:H62"/>
    <mergeCell ref="C63:F63"/>
    <mergeCell ref="G63:H63"/>
    <mergeCell ref="C64:F64"/>
    <mergeCell ref="G64:H64"/>
    <mergeCell ref="C61:F61"/>
    <mergeCell ref="G61:H61"/>
    <mergeCell ref="U61:U62"/>
    <mergeCell ref="V61:V62"/>
    <mergeCell ref="X61:X62"/>
    <mergeCell ref="W61:W62"/>
    <mergeCell ref="C57:F58"/>
    <mergeCell ref="G57:H58"/>
    <mergeCell ref="C59:F59"/>
    <mergeCell ref="G59:H59"/>
    <mergeCell ref="C60:F60"/>
    <mergeCell ref="G60:H60"/>
    <mergeCell ref="W55:W56"/>
    <mergeCell ref="X55:X56"/>
    <mergeCell ref="Y55:Y56"/>
    <mergeCell ref="Z55:Z56"/>
    <mergeCell ref="AA55:AA56"/>
    <mergeCell ref="AB55:AB56"/>
    <mergeCell ref="G52:H52"/>
    <mergeCell ref="U52:V52"/>
    <mergeCell ref="G53:H53"/>
    <mergeCell ref="C54:F54"/>
    <mergeCell ref="G54:H54"/>
    <mergeCell ref="V55:V56"/>
    <mergeCell ref="Y49:Y50"/>
    <mergeCell ref="Z49:Z50"/>
    <mergeCell ref="AA49:AA50"/>
    <mergeCell ref="AB49:AB50"/>
    <mergeCell ref="G50:H50"/>
    <mergeCell ref="G51:H51"/>
    <mergeCell ref="G47:H47"/>
    <mergeCell ref="G48:H48"/>
    <mergeCell ref="G49:H49"/>
    <mergeCell ref="U49:V50"/>
    <mergeCell ref="W49:W50"/>
    <mergeCell ref="X49:X50"/>
    <mergeCell ref="Y40:Y41"/>
    <mergeCell ref="Z40:Z41"/>
    <mergeCell ref="AA40:AA41"/>
    <mergeCell ref="C42:H42"/>
    <mergeCell ref="C45:F46"/>
    <mergeCell ref="G45:H46"/>
    <mergeCell ref="F34:H34"/>
    <mergeCell ref="F35:H35"/>
    <mergeCell ref="U40:U41"/>
    <mergeCell ref="V40:V41"/>
    <mergeCell ref="W40:W41"/>
    <mergeCell ref="X40:X41"/>
    <mergeCell ref="W27:X27"/>
    <mergeCell ref="D28:H28"/>
    <mergeCell ref="C30:H30"/>
    <mergeCell ref="I31:I32"/>
    <mergeCell ref="J31:J32"/>
    <mergeCell ref="K31:K32"/>
    <mergeCell ref="L31:L32"/>
    <mergeCell ref="M31:M32"/>
    <mergeCell ref="N31:N32"/>
    <mergeCell ref="C31:H32"/>
    <mergeCell ref="E18:H18"/>
    <mergeCell ref="E19:H19"/>
    <mergeCell ref="E20:H20"/>
    <mergeCell ref="C22:H22"/>
    <mergeCell ref="C23:C29"/>
    <mergeCell ref="D23:H23"/>
    <mergeCell ref="D24:H24"/>
    <mergeCell ref="D25:H25"/>
    <mergeCell ref="D26:H26"/>
    <mergeCell ref="D27:H27"/>
    <mergeCell ref="X15:Y15"/>
    <mergeCell ref="E16:H16"/>
    <mergeCell ref="N4:N5"/>
    <mergeCell ref="U8:U9"/>
    <mergeCell ref="V8:W9"/>
    <mergeCell ref="X9:Y9"/>
    <mergeCell ref="X10:Y10"/>
    <mergeCell ref="E13:H13"/>
    <mergeCell ref="E17:H17"/>
    <mergeCell ref="J1:K1"/>
    <mergeCell ref="I4:I5"/>
    <mergeCell ref="J4:J5"/>
    <mergeCell ref="K4:K5"/>
    <mergeCell ref="L4:L5"/>
    <mergeCell ref="M4:M5"/>
    <mergeCell ref="E14:H14"/>
    <mergeCell ref="U14:U15"/>
    <mergeCell ref="V14:W15"/>
    <mergeCell ref="E15:H15"/>
    <mergeCell ref="C4:H5"/>
  </mergeCells>
  <phoneticPr fontId="1"/>
  <conditionalFormatting sqref="AA51:AA53">
    <cfRule type="expression" dxfId="10" priority="4">
      <formula>$AX$1=2022</formula>
    </cfRule>
  </conditionalFormatting>
  <dataValidations count="4">
    <dataValidation imeMode="hiragana" allowBlank="1" showInputMessage="1" showErrorMessage="1" sqref="U67:U70 V57:V58 U35 U38 V55 U30:U32 U42:U46 C59:C65 G71:G72" xr:uid="{91A80B26-A815-4FAD-8E00-62F4F6BC6045}"/>
    <dataValidation imeMode="halfAlpha" allowBlank="1" showInputMessage="1" showErrorMessage="1" sqref="G73 Y51:Y53 V35:W35 W57:X58 V63:X63 G47:G53 V38 V30:W32 I13:I21 J6:J21 V67:W70 G59:G65 L21:M21 V42:X46 W51:X54" xr:uid="{A0434867-5581-4624-A6C4-3D77092A410A}"/>
    <dataValidation type="list" allowBlank="1" showInputMessage="1" showErrorMessage="1" sqref="E13:E17" xr:uid="{4C1BE0D9-75FB-4D01-A58C-94FC75C387EF}">
      <formula1>INDIRECT($AW$1)</formula1>
    </dataValidation>
    <dataValidation type="list" allowBlank="1" showInputMessage="1" showErrorMessage="1" sqref="D23:D28" xr:uid="{F9B69A51-6E95-4AF1-AE29-767069FD0D6B}">
      <formula1>INDIRECT($AX$1)</formula1>
    </dataValidation>
  </dataValidations>
  <pageMargins left="0.70866141732283472" right="0.51181102362204722" top="0.55118110236220474" bottom="0.55118110236220474" header="0.31496062992125984" footer="0.31496062992125984"/>
  <pageSetup paperSize="8" scale="49" orientation="portrait" r:id="rId1"/>
  <headerFooter>
    <oddHeader>&amp;L様式第２号</oddHeader>
    <oddFooter>&amp;R&amp;8（一般事業所等用）</oddFooter>
  </headerFooter>
  <rowBreaks count="1" manualBreakCount="1">
    <brk id="92" min="2" max="33" man="1"/>
  </row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 id="{CACC9D8A-6F1E-435E-8611-DDDFB864F1D1}">
            <xm:f>はじめに!$S$3=TRUE</xm:f>
            <x14:dxf>
              <fill>
                <patternFill>
                  <bgColor theme="9" tint="0.59996337778862885"/>
                </patternFill>
              </fill>
            </x14:dxf>
          </x14:cfRule>
          <xm:sqref>N18:N20</xm:sqref>
        </x14:conditionalFormatting>
      </x14:conditionalFormatting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839D1-9CF8-44CF-AA82-B999D529A5FB}">
  <sheetPr codeName="Sheet7">
    <tabColor theme="6" tint="0.39997558519241921"/>
    <pageSetUpPr fitToPage="1"/>
  </sheetPr>
  <dimension ref="A1:BB137"/>
  <sheetViews>
    <sheetView showGridLines="0" view="pageBreakPreview" topLeftCell="C1" zoomScale="70" zoomScaleNormal="70" zoomScaleSheetLayoutView="70" workbookViewId="0">
      <selection activeCell="J6" sqref="J6"/>
    </sheetView>
  </sheetViews>
  <sheetFormatPr defaultColWidth="9" defaultRowHeight="16.2"/>
  <cols>
    <col min="1" max="2" width="4.88671875" style="277" customWidth="1"/>
    <col min="3" max="3" width="6" style="277" customWidth="1"/>
    <col min="4" max="4" width="6.109375" style="277" customWidth="1"/>
    <col min="5" max="5" width="6.88671875" style="277" customWidth="1"/>
    <col min="6" max="6" width="14.88671875" style="277" customWidth="1"/>
    <col min="7" max="7" width="9.109375" style="277" customWidth="1"/>
    <col min="8" max="8" width="10.6640625" style="277" customWidth="1"/>
    <col min="9" max="9" width="11.88671875" style="277" customWidth="1"/>
    <col min="10" max="10" width="13.44140625" style="277" customWidth="1"/>
    <col min="11" max="11" width="11.109375" style="277" customWidth="1"/>
    <col min="12" max="14" width="11" style="277" customWidth="1"/>
    <col min="15" max="15" width="7.88671875" style="277" hidden="1" customWidth="1"/>
    <col min="16" max="19" width="11" style="277" hidden="1" customWidth="1"/>
    <col min="20" max="20" width="13.88671875" style="277" customWidth="1"/>
    <col min="21" max="21" width="28.109375" style="277" customWidth="1"/>
    <col min="22" max="22" width="14.88671875" style="277" customWidth="1"/>
    <col min="23" max="23" width="15.33203125" style="277" customWidth="1"/>
    <col min="24" max="24" width="15.109375" style="277" customWidth="1"/>
    <col min="25" max="25" width="14.88671875" style="277" customWidth="1"/>
    <col min="26" max="26" width="16.109375" style="277" customWidth="1"/>
    <col min="27" max="27" width="16.44140625" style="277" customWidth="1"/>
    <col min="28" max="28" width="17.88671875" style="277" customWidth="1"/>
    <col min="29" max="32" width="9" style="277" customWidth="1"/>
    <col min="33" max="33" width="27.6640625" style="277" hidden="1" customWidth="1"/>
    <col min="34" max="34" width="31.44140625" style="277" hidden="1" customWidth="1"/>
    <col min="35" max="38" width="9" style="277" hidden="1" customWidth="1"/>
    <col min="39" max="39" width="19.6640625" style="277" hidden="1" customWidth="1"/>
    <col min="40" max="40" width="31.44140625" style="277" hidden="1" customWidth="1"/>
    <col min="41" max="45" width="9" style="277" hidden="1" customWidth="1"/>
    <col min="46" max="56" width="0" style="277" hidden="1" customWidth="1"/>
    <col min="57" max="16384" width="9" style="277"/>
  </cols>
  <sheetData>
    <row r="1" spans="3:54" s="280" customFormat="1" ht="27.75" customHeight="1">
      <c r="C1" s="273" t="s">
        <v>125</v>
      </c>
      <c r="D1" s="274"/>
      <c r="E1" s="274"/>
      <c r="F1" s="275"/>
      <c r="G1" s="275"/>
      <c r="H1" s="275"/>
      <c r="I1" s="276" t="s">
        <v>4102</v>
      </c>
      <c r="J1" s="652" t="str">
        <f>"（"&amp;はじめに!E4+3&amp;"年度）"</f>
        <v>（3年度）</v>
      </c>
      <c r="K1" s="652"/>
      <c r="L1" s="277"/>
      <c r="M1" s="277"/>
      <c r="N1" s="278"/>
      <c r="O1" s="278"/>
      <c r="P1"/>
      <c r="Q1"/>
      <c r="R1"/>
      <c r="S1"/>
      <c r="T1" s="279">
        <f>はじめに!E4+3</f>
        <v>3</v>
      </c>
      <c r="AW1" s="277" t="str">
        <f>IF(T1=2022,AZ1,AZ2)</f>
        <v>一般その他化石2023</v>
      </c>
      <c r="AX1" s="277" t="str">
        <f>IF(T1=2022,BB1,BB2)</f>
        <v>一般その他非化石2023</v>
      </c>
      <c r="AZ1" s="280" t="s">
        <v>5075</v>
      </c>
      <c r="BB1" s="280" t="s">
        <v>5076</v>
      </c>
    </row>
    <row r="2" spans="3:54" ht="12" customHeight="1">
      <c r="N2" s="278">
        <f>はじめに!E4</f>
        <v>0</v>
      </c>
      <c r="O2" s="278"/>
      <c r="P2"/>
      <c r="Q2"/>
      <c r="R2"/>
      <c r="S2"/>
      <c r="T2" s="281"/>
      <c r="AH2" s="282">
        <v>2022</v>
      </c>
      <c r="AN2" s="282">
        <v>2023</v>
      </c>
      <c r="AZ2" s="280" t="s">
        <v>5077</v>
      </c>
      <c r="BB2" s="280" t="s">
        <v>5078</v>
      </c>
    </row>
    <row r="3" spans="3:54" ht="32.4" customHeight="1" thickBot="1">
      <c r="C3" s="283" t="s">
        <v>5079</v>
      </c>
      <c r="D3" s="283"/>
      <c r="E3" s="283"/>
      <c r="F3" s="283"/>
      <c r="G3" s="283"/>
      <c r="H3" s="284"/>
      <c r="I3" s="284"/>
      <c r="J3" s="284"/>
      <c r="K3" s="284"/>
      <c r="L3" s="284"/>
      <c r="M3" s="284"/>
      <c r="N3" s="284"/>
      <c r="O3" s="278"/>
      <c r="P3"/>
      <c r="Q3"/>
      <c r="R3"/>
      <c r="S3"/>
      <c r="T3" s="285"/>
      <c r="U3" s="283" t="s">
        <v>5079</v>
      </c>
      <c r="AI3" s="277" t="s">
        <v>42</v>
      </c>
      <c r="AO3" s="277" t="s">
        <v>42</v>
      </c>
    </row>
    <row r="4" spans="3:54" ht="19.350000000000001" customHeight="1" thickBot="1">
      <c r="C4" s="286"/>
      <c r="D4" s="287" t="s">
        <v>5082</v>
      </c>
      <c r="E4" s="287"/>
      <c r="F4" s="287"/>
      <c r="G4" s="287"/>
      <c r="H4" s="288"/>
      <c r="I4" s="653" t="s">
        <v>112</v>
      </c>
      <c r="J4" s="655" t="s">
        <v>40</v>
      </c>
      <c r="K4" s="657" t="s">
        <v>41</v>
      </c>
      <c r="L4" s="661" t="s">
        <v>42</v>
      </c>
      <c r="M4" s="667" t="s">
        <v>5083</v>
      </c>
      <c r="N4" s="665" t="s">
        <v>5084</v>
      </c>
      <c r="O4" s="278"/>
      <c r="P4"/>
      <c r="Q4"/>
      <c r="R4" s="277">
        <f>IF(V4=0,0,1)</f>
        <v>0</v>
      </c>
      <c r="S4"/>
      <c r="T4" s="285"/>
      <c r="U4" s="289" t="s">
        <v>113</v>
      </c>
      <c r="V4" s="290">
        <f>SUM(M22,M30,M42)</f>
        <v>0</v>
      </c>
      <c r="W4" s="291" t="s">
        <v>116</v>
      </c>
      <c r="AE4" s="292"/>
      <c r="AG4" s="277">
        <v>1</v>
      </c>
      <c r="AH4" s="277" t="s">
        <v>4258</v>
      </c>
      <c r="AI4" s="277" t="s">
        <v>4181</v>
      </c>
      <c r="AJ4" s="277">
        <f t="shared" ref="AJ4:AJ20" si="0">SUMIFS($I$13:$I$19,$E$13:$E$19,$AN4)</f>
        <v>0</v>
      </c>
      <c r="AK4" s="277">
        <f t="shared" ref="AK4:AK20" si="1">SUMIFS($J$13:$J$19,$E$13:$E$19,$AN4)</f>
        <v>0</v>
      </c>
      <c r="AM4" s="277">
        <v>1</v>
      </c>
      <c r="AN4" s="277" t="s">
        <v>4258</v>
      </c>
      <c r="AO4" s="277" t="s">
        <v>4181</v>
      </c>
      <c r="AP4" s="277">
        <f t="shared" ref="AP4:AP60" si="2">SUMIFS($I$13:$I$19,$E$13:$E$19,$AN4)</f>
        <v>0</v>
      </c>
      <c r="AQ4" s="277">
        <f t="shared" ref="AQ4:AQ60" si="3">SUMIFS($J$13:$J$19,$E$13:$E$19,$AN4)</f>
        <v>0</v>
      </c>
      <c r="AR4" s="277">
        <f t="shared" ref="AR4:AR34" si="4">COUNTIF($AT$4:$AT$10,AN4)</f>
        <v>1</v>
      </c>
      <c r="AT4" s="277" t="s">
        <v>4966</v>
      </c>
    </row>
    <row r="5" spans="3:54" ht="19.350000000000001" customHeight="1">
      <c r="C5" s="293"/>
      <c r="D5" s="294"/>
      <c r="E5" s="294"/>
      <c r="F5" s="294"/>
      <c r="G5" s="294"/>
      <c r="H5" s="295"/>
      <c r="I5" s="654"/>
      <c r="J5" s="656"/>
      <c r="K5" s="658"/>
      <c r="L5" s="662"/>
      <c r="M5" s="664"/>
      <c r="N5" s="666"/>
      <c r="O5" s="278"/>
      <c r="P5" s="296" t="s">
        <v>5080</v>
      </c>
      <c r="Q5" s="296" t="s">
        <v>5081</v>
      </c>
      <c r="R5" s="296" t="s">
        <v>4961</v>
      </c>
      <c r="S5" s="296" t="s">
        <v>4962</v>
      </c>
      <c r="T5" s="285"/>
      <c r="U5" s="297" t="s">
        <v>114</v>
      </c>
      <c r="V5" s="298">
        <f>V4*0.0258</f>
        <v>0</v>
      </c>
      <c r="W5" s="299" t="s">
        <v>117</v>
      </c>
      <c r="AE5" s="292"/>
      <c r="AG5" s="277">
        <v>2</v>
      </c>
      <c r="AH5" s="292" t="s">
        <v>46</v>
      </c>
      <c r="AI5" s="277" t="s">
        <v>4182</v>
      </c>
      <c r="AJ5" s="277">
        <f t="shared" si="0"/>
        <v>0</v>
      </c>
      <c r="AK5" s="277">
        <f t="shared" si="1"/>
        <v>0</v>
      </c>
      <c r="AM5" s="277">
        <v>2</v>
      </c>
      <c r="AN5" s="292" t="s">
        <v>46</v>
      </c>
      <c r="AO5" s="277" t="s">
        <v>4182</v>
      </c>
      <c r="AP5" s="277">
        <f t="shared" si="2"/>
        <v>0</v>
      </c>
      <c r="AQ5" s="277">
        <f t="shared" si="3"/>
        <v>0</v>
      </c>
      <c r="AR5" s="277">
        <f t="shared" si="4"/>
        <v>1</v>
      </c>
      <c r="AT5" s="277" t="s">
        <v>46</v>
      </c>
    </row>
    <row r="6" spans="3:54" ht="19.350000000000001" customHeight="1" thickBot="1">
      <c r="C6" s="300"/>
      <c r="D6" s="301" t="s">
        <v>44</v>
      </c>
      <c r="E6" s="302"/>
      <c r="F6" s="302"/>
      <c r="G6" s="302"/>
      <c r="H6" s="302"/>
      <c r="I6" s="303" t="str">
        <f>'計算シート（第１～第３年度）'!Q48</f>
        <v/>
      </c>
      <c r="J6" s="163"/>
      <c r="K6" s="304" t="str">
        <f>IF(AND(I6="",J6=""),"",SUM(I6)-SUM(J6))</f>
        <v/>
      </c>
      <c r="L6" s="305" t="s">
        <v>39</v>
      </c>
      <c r="M6" s="577" t="str">
        <f t="shared" ref="M6:M12" si="5">IFERROR(IF(K6="","",$K6*R6),"-------------")</f>
        <v/>
      </c>
      <c r="N6" s="306" t="str">
        <f t="shared" ref="N6:N17" si="6">IFERROR(IF(K6="","",$M6*S6*44/12),"----------")</f>
        <v/>
      </c>
      <c r="O6" s="278"/>
      <c r="P6" s="307" t="s">
        <v>4258</v>
      </c>
      <c r="Q6" s="307" t="s">
        <v>4258</v>
      </c>
      <c r="R6" s="307">
        <f t="shared" ref="R6:R12" si="7">IF($T$1=2022,VLOOKUP(P6,係数2022,7,0),VLOOKUP(Q6,係数2023,7,0))</f>
        <v>33.4</v>
      </c>
      <c r="S6" s="308">
        <f t="shared" ref="S6:S12" si="8">IF($T$1=2022,VLOOKUP(P6,係数2022,9,0),VLOOKUP(Q6,係数2023,9,0))</f>
        <v>1.8700000000000001E-2</v>
      </c>
      <c r="T6" s="292"/>
      <c r="U6" s="309" t="s">
        <v>118</v>
      </c>
      <c r="V6" s="310">
        <f>ROUNDDOWN(SUM(N22,N30,N42),1)</f>
        <v>0</v>
      </c>
      <c r="W6" s="311" t="s">
        <v>5160</v>
      </c>
      <c r="X6" s="312"/>
      <c r="Y6" s="312"/>
      <c r="Z6" s="312"/>
      <c r="AG6" s="277">
        <v>3</v>
      </c>
      <c r="AH6" s="277" t="s">
        <v>47</v>
      </c>
      <c r="AI6" s="277" t="s">
        <v>5086</v>
      </c>
      <c r="AJ6" s="277">
        <f t="shared" si="0"/>
        <v>0</v>
      </c>
      <c r="AK6" s="277">
        <f t="shared" si="1"/>
        <v>0</v>
      </c>
      <c r="AM6" s="277">
        <v>3</v>
      </c>
      <c r="AN6" s="277" t="s">
        <v>47</v>
      </c>
      <c r="AO6" s="277" t="s">
        <v>5086</v>
      </c>
      <c r="AP6" s="277">
        <f t="shared" si="2"/>
        <v>0</v>
      </c>
      <c r="AQ6" s="277">
        <f t="shared" si="3"/>
        <v>0</v>
      </c>
      <c r="AR6" s="277">
        <f t="shared" si="4"/>
        <v>1</v>
      </c>
      <c r="AT6" s="277" t="s">
        <v>47</v>
      </c>
    </row>
    <row r="7" spans="3:54" ht="19.350000000000001" customHeight="1">
      <c r="C7" s="313"/>
      <c r="D7" s="314" t="s">
        <v>46</v>
      </c>
      <c r="E7" s="302"/>
      <c r="F7" s="302"/>
      <c r="G7" s="302"/>
      <c r="H7" s="302"/>
      <c r="I7" s="303" t="str">
        <f>'計算シート（第１～第３年度）'!Q49</f>
        <v/>
      </c>
      <c r="J7" s="163"/>
      <c r="K7" s="304" t="str">
        <f t="shared" ref="K7:K12" si="9">IF(AND(I7="",J7=""),"",SUM(I7)-SUM(J7))</f>
        <v/>
      </c>
      <c r="L7" s="305" t="s">
        <v>39</v>
      </c>
      <c r="M7" s="577" t="str">
        <f t="shared" si="5"/>
        <v/>
      </c>
      <c r="N7" s="306" t="str">
        <f t="shared" si="6"/>
        <v/>
      </c>
      <c r="O7" s="278"/>
      <c r="P7" s="307" t="s">
        <v>46</v>
      </c>
      <c r="Q7" s="307" t="s">
        <v>46</v>
      </c>
      <c r="R7" s="307">
        <f t="shared" si="7"/>
        <v>36.5</v>
      </c>
      <c r="S7" s="315">
        <f t="shared" si="8"/>
        <v>1.8700000000000001E-2</v>
      </c>
      <c r="T7" s="292"/>
      <c r="V7" s="312"/>
      <c r="W7" s="312"/>
      <c r="X7" s="312"/>
      <c r="Y7" s="312"/>
      <c r="Z7" s="312"/>
      <c r="AG7" s="277">
        <v>4</v>
      </c>
      <c r="AH7" s="292" t="s">
        <v>48</v>
      </c>
      <c r="AI7" s="277" t="s">
        <v>4181</v>
      </c>
      <c r="AJ7" s="277">
        <f t="shared" si="0"/>
        <v>0</v>
      </c>
      <c r="AK7" s="277">
        <f t="shared" si="1"/>
        <v>0</v>
      </c>
      <c r="AM7" s="277">
        <v>4</v>
      </c>
      <c r="AN7" s="292" t="s">
        <v>48</v>
      </c>
      <c r="AO7" s="277" t="s">
        <v>4181</v>
      </c>
      <c r="AP7" s="277">
        <f t="shared" si="2"/>
        <v>0</v>
      </c>
      <c r="AQ7" s="277">
        <f t="shared" si="3"/>
        <v>0</v>
      </c>
      <c r="AR7" s="277">
        <f t="shared" si="4"/>
        <v>1</v>
      </c>
      <c r="AT7" s="277" t="s">
        <v>48</v>
      </c>
    </row>
    <row r="8" spans="3:54" ht="19.350000000000001" customHeight="1">
      <c r="C8" s="313"/>
      <c r="D8" s="314" t="s">
        <v>47</v>
      </c>
      <c r="E8" s="302"/>
      <c r="F8" s="302"/>
      <c r="G8" s="302"/>
      <c r="H8" s="302"/>
      <c r="I8" s="303" t="str">
        <f>'計算シート（第１～第３年度）'!Q50</f>
        <v/>
      </c>
      <c r="J8" s="163"/>
      <c r="K8" s="304" t="str">
        <f t="shared" si="9"/>
        <v/>
      </c>
      <c r="L8" s="305" t="s">
        <v>39</v>
      </c>
      <c r="M8" s="577" t="str">
        <f t="shared" si="5"/>
        <v/>
      </c>
      <c r="N8" s="306" t="str">
        <f t="shared" si="6"/>
        <v/>
      </c>
      <c r="O8" s="278"/>
      <c r="P8" s="307" t="s">
        <v>47</v>
      </c>
      <c r="Q8" s="307" t="s">
        <v>47</v>
      </c>
      <c r="R8" s="307">
        <f>IF($T$1=2022,VLOOKUP(P8,係数2022,7,0),VLOOKUP(Q8,係数2023,7,0))</f>
        <v>38</v>
      </c>
      <c r="S8" s="315">
        <f t="shared" si="8"/>
        <v>1.8800000000000001E-2</v>
      </c>
      <c r="T8" s="292"/>
      <c r="U8" s="668" t="s">
        <v>5144</v>
      </c>
      <c r="V8" s="670" t="s">
        <v>5145</v>
      </c>
      <c r="W8" s="671"/>
      <c r="X8" s="316"/>
      <c r="Y8" s="317"/>
      <c r="Z8" s="318"/>
      <c r="AG8" s="277">
        <v>5</v>
      </c>
      <c r="AH8" s="292" t="s">
        <v>49</v>
      </c>
      <c r="AI8" s="277" t="s">
        <v>4181</v>
      </c>
      <c r="AJ8" s="277">
        <f t="shared" si="0"/>
        <v>0</v>
      </c>
      <c r="AK8" s="277">
        <f t="shared" si="1"/>
        <v>0</v>
      </c>
      <c r="AM8" s="277">
        <v>5</v>
      </c>
      <c r="AN8" s="292" t="s">
        <v>49</v>
      </c>
      <c r="AO8" s="277" t="s">
        <v>4181</v>
      </c>
      <c r="AP8" s="277">
        <f t="shared" si="2"/>
        <v>0</v>
      </c>
      <c r="AQ8" s="277">
        <f t="shared" si="3"/>
        <v>0</v>
      </c>
      <c r="AR8" s="277">
        <f t="shared" si="4"/>
        <v>1</v>
      </c>
      <c r="AT8" s="277" t="s">
        <v>49</v>
      </c>
    </row>
    <row r="9" spans="3:54" ht="19.350000000000001" customHeight="1">
      <c r="C9" s="313"/>
      <c r="D9" s="314" t="s">
        <v>48</v>
      </c>
      <c r="E9" s="302"/>
      <c r="F9" s="302"/>
      <c r="G9" s="302"/>
      <c r="H9" s="302"/>
      <c r="I9" s="303" t="str">
        <f>'計算シート（第１～第３年度）'!Q51</f>
        <v/>
      </c>
      <c r="J9" s="163"/>
      <c r="K9" s="304" t="str">
        <f t="shared" si="9"/>
        <v/>
      </c>
      <c r="L9" s="305" t="s">
        <v>39</v>
      </c>
      <c r="M9" s="577" t="str">
        <f t="shared" si="5"/>
        <v/>
      </c>
      <c r="N9" s="306" t="str">
        <f t="shared" si="6"/>
        <v/>
      </c>
      <c r="O9" s="319"/>
      <c r="P9" s="307" t="s">
        <v>48</v>
      </c>
      <c r="Q9" s="307" t="s">
        <v>48</v>
      </c>
      <c r="R9" s="307">
        <f t="shared" si="7"/>
        <v>38.9</v>
      </c>
      <c r="S9" s="315">
        <f t="shared" si="8"/>
        <v>1.9300000000000001E-2</v>
      </c>
      <c r="T9" s="292"/>
      <c r="U9" s="669"/>
      <c r="V9" s="672"/>
      <c r="W9" s="673"/>
      <c r="X9" s="674" t="s">
        <v>5146</v>
      </c>
      <c r="Y9" s="675"/>
      <c r="Z9" s="320" t="s">
        <v>5147</v>
      </c>
      <c r="AG9" s="277">
        <v>6</v>
      </c>
      <c r="AH9" s="277" t="s">
        <v>4179</v>
      </c>
      <c r="AI9" s="277" t="s">
        <v>4182</v>
      </c>
      <c r="AJ9" s="277">
        <f t="shared" si="0"/>
        <v>0</v>
      </c>
      <c r="AK9" s="277">
        <f t="shared" si="1"/>
        <v>0</v>
      </c>
      <c r="AM9" s="277">
        <v>6</v>
      </c>
      <c r="AN9" s="277" t="s">
        <v>4179</v>
      </c>
      <c r="AO9" s="277" t="s">
        <v>4182</v>
      </c>
      <c r="AP9" s="277">
        <f t="shared" si="2"/>
        <v>0</v>
      </c>
      <c r="AQ9" s="277">
        <f t="shared" si="3"/>
        <v>0</v>
      </c>
      <c r="AR9" s="277">
        <f t="shared" si="4"/>
        <v>1</v>
      </c>
      <c r="AT9" s="277" t="s">
        <v>4179</v>
      </c>
    </row>
    <row r="10" spans="3:54" ht="19.350000000000001" customHeight="1">
      <c r="C10" s="313" t="s">
        <v>5088</v>
      </c>
      <c r="D10" s="314" t="s">
        <v>49</v>
      </c>
      <c r="E10" s="302"/>
      <c r="F10" s="302"/>
      <c r="G10" s="302"/>
      <c r="H10" s="302"/>
      <c r="I10" s="303" t="str">
        <f>'計算シート（第１～第３年度）'!Q52</f>
        <v/>
      </c>
      <c r="J10" s="163"/>
      <c r="K10" s="304" t="str">
        <f t="shared" si="9"/>
        <v/>
      </c>
      <c r="L10" s="305" t="s">
        <v>39</v>
      </c>
      <c r="M10" s="577" t="str">
        <f t="shared" si="5"/>
        <v/>
      </c>
      <c r="N10" s="306" t="str">
        <f t="shared" si="6"/>
        <v/>
      </c>
      <c r="O10" s="319"/>
      <c r="P10" s="307" t="s">
        <v>49</v>
      </c>
      <c r="Q10" s="307" t="s">
        <v>49</v>
      </c>
      <c r="R10" s="307">
        <f t="shared" si="7"/>
        <v>41.8</v>
      </c>
      <c r="S10" s="315">
        <f t="shared" si="8"/>
        <v>2.0199999999999999E-2</v>
      </c>
      <c r="T10" s="292"/>
      <c r="U10" s="321" t="s">
        <v>5154</v>
      </c>
      <c r="V10" s="322">
        <f>M22</f>
        <v>0</v>
      </c>
      <c r="W10" s="323" t="s">
        <v>116</v>
      </c>
      <c r="X10" s="676"/>
      <c r="Y10" s="677"/>
      <c r="Z10" s="324"/>
      <c r="AG10" s="277">
        <v>7</v>
      </c>
      <c r="AH10" s="277" t="s">
        <v>4272</v>
      </c>
      <c r="AI10" s="277" t="s">
        <v>5086</v>
      </c>
      <c r="AJ10" s="277">
        <f t="shared" si="0"/>
        <v>0</v>
      </c>
      <c r="AK10" s="277">
        <f t="shared" si="1"/>
        <v>0</v>
      </c>
      <c r="AM10" s="277">
        <v>7</v>
      </c>
      <c r="AN10" s="277" t="s">
        <v>4272</v>
      </c>
      <c r="AO10" s="277" t="s">
        <v>5086</v>
      </c>
      <c r="AP10" s="277">
        <f t="shared" si="2"/>
        <v>0</v>
      </c>
      <c r="AQ10" s="277">
        <f t="shared" si="3"/>
        <v>0</v>
      </c>
      <c r="AR10" s="277">
        <f t="shared" si="4"/>
        <v>1</v>
      </c>
      <c r="AT10" s="277" t="s">
        <v>4272</v>
      </c>
    </row>
    <row r="11" spans="3:54" ht="19.350000000000001" customHeight="1" thickBot="1">
      <c r="C11" s="313" t="s">
        <v>5089</v>
      </c>
      <c r="D11" s="314" t="s">
        <v>4179</v>
      </c>
      <c r="E11" s="302"/>
      <c r="F11" s="302"/>
      <c r="G11" s="302"/>
      <c r="H11" s="302"/>
      <c r="I11" s="303" t="str">
        <f>'計算シート（第１～第３年度）'!Q53</f>
        <v/>
      </c>
      <c r="J11" s="163"/>
      <c r="K11" s="304" t="str">
        <f t="shared" si="9"/>
        <v/>
      </c>
      <c r="L11" s="305" t="s">
        <v>51</v>
      </c>
      <c r="M11" s="577" t="str">
        <f t="shared" si="5"/>
        <v/>
      </c>
      <c r="N11" s="306" t="str">
        <f t="shared" si="6"/>
        <v/>
      </c>
      <c r="O11" s="319"/>
      <c r="P11" s="307" t="s">
        <v>4179</v>
      </c>
      <c r="Q11" s="307" t="s">
        <v>4179</v>
      </c>
      <c r="R11" s="307">
        <f t="shared" si="7"/>
        <v>50.1</v>
      </c>
      <c r="S11" s="315">
        <f t="shared" si="8"/>
        <v>1.6299999999999999E-2</v>
      </c>
      <c r="T11" s="292"/>
      <c r="U11" s="321" t="s">
        <v>5153</v>
      </c>
      <c r="V11" s="322">
        <f>IF(T1=2022,"-------------------",SUM(M30))</f>
        <v>0</v>
      </c>
      <c r="W11" s="323" t="s">
        <v>116</v>
      </c>
      <c r="X11" s="322">
        <f>V11</f>
        <v>0</v>
      </c>
      <c r="Y11" s="323" t="s">
        <v>116</v>
      </c>
      <c r="Z11" s="325" t="str">
        <f>IF(T1=2022,"---------------",IF(V11&lt;&gt;0,X11/V11,"---------------"))</f>
        <v>---------------</v>
      </c>
      <c r="AG11" s="277">
        <v>8</v>
      </c>
      <c r="AH11" s="292" t="s">
        <v>107</v>
      </c>
      <c r="AI11" s="277" t="s">
        <v>4181</v>
      </c>
      <c r="AJ11" s="277">
        <f t="shared" si="0"/>
        <v>0</v>
      </c>
      <c r="AK11" s="277">
        <f t="shared" si="1"/>
        <v>0</v>
      </c>
      <c r="AM11" s="277">
        <v>8</v>
      </c>
      <c r="AN11" s="292" t="s">
        <v>107</v>
      </c>
      <c r="AO11" s="277" t="s">
        <v>4181</v>
      </c>
      <c r="AP11" s="277">
        <f t="shared" si="2"/>
        <v>0</v>
      </c>
      <c r="AQ11" s="277">
        <f t="shared" si="3"/>
        <v>0</v>
      </c>
      <c r="AR11" s="277">
        <f t="shared" si="4"/>
        <v>0</v>
      </c>
    </row>
    <row r="12" spans="3:54" ht="19.350000000000001" customHeight="1" thickTop="1">
      <c r="C12" s="313" t="s">
        <v>5090</v>
      </c>
      <c r="D12" s="314" t="s">
        <v>63</v>
      </c>
      <c r="E12" s="302"/>
      <c r="F12" s="302"/>
      <c r="G12" s="302"/>
      <c r="H12" s="302"/>
      <c r="I12" s="303" t="str">
        <f>'計算シート（第１～第３年度）'!Q54</f>
        <v/>
      </c>
      <c r="J12" s="163"/>
      <c r="K12" s="304" t="str">
        <f t="shared" si="9"/>
        <v/>
      </c>
      <c r="L12" s="326" t="s">
        <v>4988</v>
      </c>
      <c r="M12" s="577" t="str">
        <f t="shared" si="5"/>
        <v/>
      </c>
      <c r="N12" s="306" t="str">
        <f t="shared" si="6"/>
        <v/>
      </c>
      <c r="O12" s="319"/>
      <c r="P12" s="327" t="s">
        <v>4272</v>
      </c>
      <c r="Q12" s="327" t="s">
        <v>4272</v>
      </c>
      <c r="R12" s="307">
        <f t="shared" si="7"/>
        <v>45</v>
      </c>
      <c r="S12" s="315">
        <f t="shared" si="8"/>
        <v>1.4E-2</v>
      </c>
      <c r="T12" s="292"/>
      <c r="U12" s="321" t="s">
        <v>5148</v>
      </c>
      <c r="V12" s="328">
        <f>SUM(V10:V11)</f>
        <v>0</v>
      </c>
      <c r="W12" s="329" t="s">
        <v>116</v>
      </c>
      <c r="X12" s="328">
        <f>IF($T$1=2022,"-------------------",SUM(X11,X10))</f>
        <v>0</v>
      </c>
      <c r="Y12" s="329" t="s">
        <v>116</v>
      </c>
      <c r="Z12" s="330">
        <f>IF($T$1=2022,"---------------",IF(X12=0,0,X12/V12))</f>
        <v>0</v>
      </c>
      <c r="AG12" s="277">
        <v>9</v>
      </c>
      <c r="AH12" s="292" t="s">
        <v>108</v>
      </c>
      <c r="AI12" s="277" t="s">
        <v>4181</v>
      </c>
      <c r="AJ12" s="277">
        <f t="shared" si="0"/>
        <v>0</v>
      </c>
      <c r="AK12" s="277">
        <f t="shared" si="1"/>
        <v>0</v>
      </c>
      <c r="AM12" s="277">
        <v>9</v>
      </c>
      <c r="AN12" s="292" t="s">
        <v>108</v>
      </c>
      <c r="AO12" s="277" t="s">
        <v>4181</v>
      </c>
      <c r="AP12" s="277">
        <f t="shared" si="2"/>
        <v>0</v>
      </c>
      <c r="AQ12" s="277">
        <f t="shared" si="3"/>
        <v>0</v>
      </c>
      <c r="AR12" s="277">
        <f t="shared" si="4"/>
        <v>0</v>
      </c>
    </row>
    <row r="13" spans="3:54" ht="19.350000000000001" customHeight="1">
      <c r="C13" s="313" t="s">
        <v>5091</v>
      </c>
      <c r="D13" s="331"/>
      <c r="E13" s="696"/>
      <c r="F13" s="697"/>
      <c r="G13" s="697"/>
      <c r="H13" s="698"/>
      <c r="I13" s="164"/>
      <c r="J13" s="163"/>
      <c r="K13" s="304" t="str">
        <f>IF(AND(I13="",J13=""),"",SUM(I13)-SUM(J13))</f>
        <v/>
      </c>
      <c r="L13" s="305" t="str">
        <f>IF(E13="","",IF($T$1=2022,VLOOKUP(E13,係数2022,6,0),VLOOKUP(E13,係数2023,6,0)))</f>
        <v/>
      </c>
      <c r="M13" s="577" t="str">
        <f>IFERROR(IF(K13="","",$K13*R13),"----------")</f>
        <v/>
      </c>
      <c r="N13" s="306" t="str">
        <f t="shared" si="6"/>
        <v/>
      </c>
      <c r="O13" s="319"/>
      <c r="P13" s="332"/>
      <c r="Q13" s="332"/>
      <c r="R13" s="332" t="e">
        <f t="shared" ref="R13:R17" si="10">IF($T$1=2022,VLOOKUP(E13,係数2022,7,0),VLOOKUP(E13,係数2023,7,0))</f>
        <v>#N/A</v>
      </c>
      <c r="S13" s="333" t="e">
        <f t="shared" ref="S13:S17" si="11">IF($T$1=2022,VLOOKUP(E13,係数2022,9,0),VLOOKUP(E13,係数2023,9,0))</f>
        <v>#N/A</v>
      </c>
      <c r="V13" s="312"/>
      <c r="W13" s="312"/>
      <c r="X13" s="312"/>
      <c r="Y13" s="312"/>
      <c r="Z13" s="312"/>
      <c r="AG13" s="277">
        <v>10</v>
      </c>
      <c r="AH13" s="292" t="s">
        <v>45</v>
      </c>
      <c r="AI13" s="277" t="s">
        <v>4181</v>
      </c>
      <c r="AJ13" s="277">
        <f t="shared" si="0"/>
        <v>0</v>
      </c>
      <c r="AK13" s="277">
        <f t="shared" si="1"/>
        <v>0</v>
      </c>
      <c r="AM13" s="277">
        <v>10</v>
      </c>
      <c r="AN13" s="292" t="s">
        <v>45</v>
      </c>
      <c r="AO13" s="277" t="s">
        <v>4181</v>
      </c>
      <c r="AP13" s="277">
        <f t="shared" si="2"/>
        <v>0</v>
      </c>
      <c r="AQ13" s="277">
        <f t="shared" si="3"/>
        <v>0</v>
      </c>
      <c r="AR13" s="277">
        <f t="shared" si="4"/>
        <v>0</v>
      </c>
    </row>
    <row r="14" spans="3:54" ht="19.350000000000001" customHeight="1">
      <c r="C14" s="313" t="s">
        <v>5133</v>
      </c>
      <c r="D14" s="334"/>
      <c r="E14" s="696"/>
      <c r="F14" s="697"/>
      <c r="G14" s="697"/>
      <c r="H14" s="698"/>
      <c r="I14" s="164"/>
      <c r="J14" s="163"/>
      <c r="K14" s="304" t="str">
        <f t="shared" ref="K14:K20" si="12">IF(AND(I14="",J14=""),"",SUM(I14)-SUM(J14))</f>
        <v/>
      </c>
      <c r="L14" s="305" t="str">
        <f>IF(E14="","",IF($T$1=2022,VLOOKUP(E14,係数2022,6,0),VLOOKUP(E14,係数2023,6,0)))</f>
        <v/>
      </c>
      <c r="M14" s="577" t="str">
        <f>IFERROR(IF(K14="","",$K14*R14),"----------")</f>
        <v/>
      </c>
      <c r="N14" s="306" t="str">
        <f t="shared" si="6"/>
        <v/>
      </c>
      <c r="O14" s="319"/>
      <c r="P14" s="332"/>
      <c r="Q14" s="332"/>
      <c r="R14" s="332" t="e">
        <f t="shared" si="10"/>
        <v>#N/A</v>
      </c>
      <c r="S14" s="333" t="e">
        <f t="shared" si="11"/>
        <v>#N/A</v>
      </c>
      <c r="T14" s="292"/>
      <c r="U14" s="668" t="s">
        <v>5144</v>
      </c>
      <c r="V14" s="670" t="s">
        <v>5149</v>
      </c>
      <c r="W14" s="671"/>
      <c r="X14" s="316"/>
      <c r="Y14" s="317"/>
      <c r="Z14" s="318"/>
      <c r="AG14" s="277">
        <v>11</v>
      </c>
      <c r="AH14" s="277" t="s">
        <v>4968</v>
      </c>
      <c r="AI14" s="277" t="s">
        <v>4181</v>
      </c>
      <c r="AJ14" s="277">
        <f t="shared" si="0"/>
        <v>0</v>
      </c>
      <c r="AK14" s="277">
        <f t="shared" si="1"/>
        <v>0</v>
      </c>
      <c r="AM14" s="277">
        <v>11</v>
      </c>
      <c r="AN14" s="277" t="s">
        <v>4968</v>
      </c>
      <c r="AO14" s="277" t="s">
        <v>4181</v>
      </c>
      <c r="AP14" s="277">
        <f t="shared" si="2"/>
        <v>0</v>
      </c>
      <c r="AQ14" s="277">
        <f t="shared" si="3"/>
        <v>0</v>
      </c>
      <c r="AR14" s="277">
        <f t="shared" si="4"/>
        <v>0</v>
      </c>
    </row>
    <row r="15" spans="3:54" ht="19.350000000000001" customHeight="1">
      <c r="C15" s="313" t="s">
        <v>5018</v>
      </c>
      <c r="D15" s="334"/>
      <c r="E15" s="696"/>
      <c r="F15" s="697"/>
      <c r="G15" s="697"/>
      <c r="H15" s="698"/>
      <c r="I15" s="164"/>
      <c r="J15" s="163"/>
      <c r="K15" s="304" t="str">
        <f t="shared" si="12"/>
        <v/>
      </c>
      <c r="L15" s="305" t="str">
        <f>IF(E15="","",IF($T$1=2022,VLOOKUP(E15,係数2022,6,0),VLOOKUP(E15,係数2023,6,0)))</f>
        <v/>
      </c>
      <c r="M15" s="577" t="str">
        <f>IFERROR(IF(K15="","",$K15*R15),"----------")</f>
        <v/>
      </c>
      <c r="N15" s="306" t="str">
        <f t="shared" si="6"/>
        <v/>
      </c>
      <c r="O15" s="319"/>
      <c r="P15" s="332"/>
      <c r="Q15" s="332"/>
      <c r="R15" s="332" t="e">
        <f t="shared" si="10"/>
        <v>#N/A</v>
      </c>
      <c r="S15" s="333" t="e">
        <f t="shared" si="11"/>
        <v>#N/A</v>
      </c>
      <c r="T15" s="292"/>
      <c r="U15" s="669"/>
      <c r="V15" s="672"/>
      <c r="W15" s="673"/>
      <c r="X15" s="674" t="s">
        <v>5150</v>
      </c>
      <c r="Y15" s="675"/>
      <c r="Z15" s="320" t="s">
        <v>5147</v>
      </c>
      <c r="AG15" s="277">
        <v>12</v>
      </c>
      <c r="AH15" s="292" t="s">
        <v>50</v>
      </c>
      <c r="AI15" s="277" t="s">
        <v>4181</v>
      </c>
      <c r="AJ15" s="277">
        <f t="shared" si="0"/>
        <v>0</v>
      </c>
      <c r="AK15" s="277">
        <f t="shared" si="1"/>
        <v>0</v>
      </c>
      <c r="AM15" s="277">
        <v>12</v>
      </c>
      <c r="AN15" s="292" t="s">
        <v>50</v>
      </c>
      <c r="AO15" s="277" t="s">
        <v>4181</v>
      </c>
      <c r="AP15" s="277">
        <f t="shared" si="2"/>
        <v>0</v>
      </c>
      <c r="AQ15" s="277">
        <f t="shared" si="3"/>
        <v>0</v>
      </c>
      <c r="AR15" s="277">
        <f t="shared" si="4"/>
        <v>0</v>
      </c>
    </row>
    <row r="16" spans="3:54" ht="19.350000000000001" customHeight="1">
      <c r="C16" s="300"/>
      <c r="D16" s="334" t="s">
        <v>5092</v>
      </c>
      <c r="E16" s="696"/>
      <c r="F16" s="697"/>
      <c r="G16" s="697"/>
      <c r="H16" s="698"/>
      <c r="I16" s="164"/>
      <c r="J16" s="163"/>
      <c r="K16" s="304" t="str">
        <f t="shared" si="12"/>
        <v/>
      </c>
      <c r="L16" s="305" t="str">
        <f>IF(E16="","",IF($T$1=2022,VLOOKUP(E16,係数2022,6,0),VLOOKUP(E16,係数2023,6,0)))</f>
        <v/>
      </c>
      <c r="M16" s="577" t="str">
        <f t="shared" ref="M16:M18" si="13">IFERROR(IF(K16="","",$K16*R16),"----------")</f>
        <v/>
      </c>
      <c r="N16" s="306" t="str">
        <f t="shared" si="6"/>
        <v/>
      </c>
      <c r="O16" s="319"/>
      <c r="P16" s="332"/>
      <c r="Q16" s="332"/>
      <c r="R16" s="332" t="e">
        <f t="shared" si="10"/>
        <v>#N/A</v>
      </c>
      <c r="S16" s="333" t="e">
        <f t="shared" si="11"/>
        <v>#N/A</v>
      </c>
      <c r="T16" s="292"/>
      <c r="U16" s="321" t="s">
        <v>5035</v>
      </c>
      <c r="V16" s="335">
        <f>K42</f>
        <v>0</v>
      </c>
      <c r="W16" s="317" t="s">
        <v>5161</v>
      </c>
      <c r="X16" s="336">
        <f>K41</f>
        <v>0</v>
      </c>
      <c r="Y16" s="323" t="s">
        <v>5152</v>
      </c>
      <c r="Z16" s="325">
        <f>IF($T$1=2022,"----------",IF(V16=0,0,X16/V16))</f>
        <v>0</v>
      </c>
      <c r="AG16" s="277">
        <v>13</v>
      </c>
      <c r="AH16" s="292" t="s">
        <v>53</v>
      </c>
      <c r="AI16" s="277" t="s">
        <v>4181</v>
      </c>
      <c r="AJ16" s="277">
        <f t="shared" si="0"/>
        <v>0</v>
      </c>
      <c r="AK16" s="277">
        <f t="shared" si="1"/>
        <v>0</v>
      </c>
      <c r="AM16" s="277">
        <v>13</v>
      </c>
      <c r="AN16" s="292" t="s">
        <v>53</v>
      </c>
      <c r="AO16" s="277" t="s">
        <v>4181</v>
      </c>
      <c r="AP16" s="277">
        <f t="shared" si="2"/>
        <v>0</v>
      </c>
      <c r="AQ16" s="277">
        <f t="shared" si="3"/>
        <v>0</v>
      </c>
      <c r="AR16" s="277">
        <f t="shared" si="4"/>
        <v>0</v>
      </c>
    </row>
    <row r="17" spans="2:44" ht="19.350000000000001" customHeight="1">
      <c r="C17" s="337"/>
      <c r="D17" s="334" t="s">
        <v>5093</v>
      </c>
      <c r="E17" s="696"/>
      <c r="F17" s="697"/>
      <c r="G17" s="697"/>
      <c r="H17" s="698"/>
      <c r="I17" s="164"/>
      <c r="J17" s="163"/>
      <c r="K17" s="304" t="str">
        <f t="shared" si="12"/>
        <v/>
      </c>
      <c r="L17" s="305" t="str">
        <f>IF(E17="","",IF($T$1=2022,VLOOKUP(E17,係数2022,6,0),VLOOKUP(E17,係数2023,6,0)))</f>
        <v/>
      </c>
      <c r="M17" s="577" t="str">
        <f t="shared" si="13"/>
        <v/>
      </c>
      <c r="N17" s="306" t="str">
        <f t="shared" si="6"/>
        <v/>
      </c>
      <c r="O17" s="319"/>
      <c r="P17" s="332"/>
      <c r="Q17" s="332"/>
      <c r="R17" s="332" t="e">
        <f t="shared" si="10"/>
        <v>#N/A</v>
      </c>
      <c r="S17" s="333" t="e">
        <f t="shared" si="11"/>
        <v>#N/A</v>
      </c>
      <c r="T17" s="292"/>
      <c r="V17" s="312"/>
      <c r="W17" s="312"/>
      <c r="X17" s="312"/>
      <c r="Y17" s="312"/>
      <c r="Z17" s="312"/>
      <c r="AG17" s="277">
        <v>14</v>
      </c>
      <c r="AH17" s="277" t="s">
        <v>4267</v>
      </c>
      <c r="AI17" s="277" t="s">
        <v>4182</v>
      </c>
      <c r="AJ17" s="277">
        <f t="shared" si="0"/>
        <v>0</v>
      </c>
      <c r="AK17" s="277">
        <f t="shared" si="1"/>
        <v>0</v>
      </c>
      <c r="AM17" s="277">
        <v>14</v>
      </c>
      <c r="AN17" s="277" t="s">
        <v>4267</v>
      </c>
      <c r="AO17" s="277" t="s">
        <v>4182</v>
      </c>
      <c r="AP17" s="277">
        <f t="shared" si="2"/>
        <v>0</v>
      </c>
      <c r="AQ17" s="277">
        <f t="shared" si="3"/>
        <v>0</v>
      </c>
      <c r="AR17" s="277">
        <f t="shared" si="4"/>
        <v>0</v>
      </c>
    </row>
    <row r="18" spans="2:44" ht="19.350000000000001" customHeight="1" thickBot="1">
      <c r="C18" s="337"/>
      <c r="D18" s="334" t="s">
        <v>5094</v>
      </c>
      <c r="E18" s="699" t="s">
        <v>119</v>
      </c>
      <c r="F18" s="700"/>
      <c r="G18" s="700"/>
      <c r="H18" s="701"/>
      <c r="I18" s="164"/>
      <c r="J18" s="163"/>
      <c r="K18" s="304" t="str">
        <f t="shared" si="12"/>
        <v/>
      </c>
      <c r="L18" s="305" t="s">
        <v>116</v>
      </c>
      <c r="M18" s="577" t="str">
        <f t="shared" si="13"/>
        <v/>
      </c>
      <c r="N18" s="338" t="str">
        <f>IF(K18="","",
      IF($T$1=2022,K18*S18,
                  IF(OR(W30="",K18=""),"",K18*W30)))</f>
        <v/>
      </c>
      <c r="O18" s="319"/>
      <c r="P18" s="332" t="s">
        <v>5141</v>
      </c>
      <c r="Q18" s="332" t="s">
        <v>5020</v>
      </c>
      <c r="R18" s="332">
        <f>IF($T$1=2022,VLOOKUP(P18,係数2022,7,0),VLOOKUP(Q18,係数2023,7,0))</f>
        <v>1.19</v>
      </c>
      <c r="S18" s="333" t="str">
        <f t="shared" ref="S18:S20" si="14">IF($T$1=2022,VLOOKUP(P18,係数2022,9,0),VLOOKUP(Q18,係数2023,9,0))</f>
        <v>ー</v>
      </c>
      <c r="T18" s="292"/>
      <c r="U18" s="339" t="s">
        <v>5087</v>
      </c>
      <c r="V18" s="312"/>
      <c r="W18" s="312"/>
      <c r="X18" s="312"/>
      <c r="Y18" s="312"/>
      <c r="Z18" s="312"/>
      <c r="AG18" s="277">
        <v>15</v>
      </c>
      <c r="AH18" s="292" t="s">
        <v>4180</v>
      </c>
      <c r="AI18" s="277" t="s">
        <v>5086</v>
      </c>
      <c r="AJ18" s="277">
        <f t="shared" si="0"/>
        <v>0</v>
      </c>
      <c r="AK18" s="277">
        <f t="shared" si="1"/>
        <v>0</v>
      </c>
      <c r="AM18" s="277">
        <v>15</v>
      </c>
      <c r="AN18" s="292" t="s">
        <v>4180</v>
      </c>
      <c r="AO18" s="277" t="s">
        <v>5086</v>
      </c>
      <c r="AP18" s="277">
        <f t="shared" si="2"/>
        <v>0</v>
      </c>
      <c r="AQ18" s="277">
        <f t="shared" si="3"/>
        <v>0</v>
      </c>
      <c r="AR18" s="277">
        <f t="shared" si="4"/>
        <v>0</v>
      </c>
    </row>
    <row r="19" spans="2:44" ht="19.350000000000001" customHeight="1" thickBot="1">
      <c r="C19" s="337"/>
      <c r="D19" s="334"/>
      <c r="E19" s="699" t="s">
        <v>65</v>
      </c>
      <c r="F19" s="700"/>
      <c r="G19" s="700"/>
      <c r="H19" s="701"/>
      <c r="I19" s="164"/>
      <c r="J19" s="163"/>
      <c r="K19" s="304" t="str">
        <f t="shared" si="12"/>
        <v/>
      </c>
      <c r="L19" s="305" t="s">
        <v>116</v>
      </c>
      <c r="M19" s="577" t="str">
        <f>IFERROR(IF(K19="","",$K19*R19),"----------")</f>
        <v/>
      </c>
      <c r="N19" s="338" t="str">
        <f>IF(K19="","",
      IF($T$1=2022,K19*S19,
                  IF(OR(W31="",K19=""),"",K19*W31)))</f>
        <v/>
      </c>
      <c r="O19" s="319"/>
      <c r="P19" s="332" t="s">
        <v>65</v>
      </c>
      <c r="Q19" s="332" t="s">
        <v>5021</v>
      </c>
      <c r="R19" s="332">
        <f t="shared" ref="R19:R20" si="15">IF($T$1=2022,VLOOKUP(P19,係数2022,7,0),VLOOKUP(Q19,係数2023,7,0))</f>
        <v>1.19</v>
      </c>
      <c r="S19" s="333" t="str">
        <f t="shared" si="14"/>
        <v>ー</v>
      </c>
      <c r="T19" s="292"/>
      <c r="U19" s="340" t="s">
        <v>118</v>
      </c>
      <c r="V19" s="341">
        <f>SUM(G54)</f>
        <v>0</v>
      </c>
      <c r="W19" s="342" t="s">
        <v>5160</v>
      </c>
      <c r="X19" s="312"/>
      <c r="Y19" s="312"/>
      <c r="Z19" s="312"/>
      <c r="AG19" s="277">
        <v>16</v>
      </c>
      <c r="AH19" s="292" t="s">
        <v>54</v>
      </c>
      <c r="AI19" s="277" t="s">
        <v>4182</v>
      </c>
      <c r="AJ19" s="277">
        <f t="shared" si="0"/>
        <v>0</v>
      </c>
      <c r="AK19" s="277">
        <f t="shared" si="1"/>
        <v>0</v>
      </c>
      <c r="AM19" s="277">
        <v>16</v>
      </c>
      <c r="AN19" s="292" t="s">
        <v>54</v>
      </c>
      <c r="AO19" s="277" t="s">
        <v>4182</v>
      </c>
      <c r="AP19" s="277">
        <f t="shared" si="2"/>
        <v>0</v>
      </c>
      <c r="AQ19" s="277">
        <f t="shared" si="3"/>
        <v>0</v>
      </c>
      <c r="AR19" s="277">
        <f t="shared" si="4"/>
        <v>0</v>
      </c>
    </row>
    <row r="20" spans="2:44" ht="19.350000000000001" customHeight="1">
      <c r="C20" s="343"/>
      <c r="D20" s="344"/>
      <c r="E20" s="699" t="s">
        <v>66</v>
      </c>
      <c r="F20" s="700"/>
      <c r="G20" s="700"/>
      <c r="H20" s="701"/>
      <c r="I20" s="164"/>
      <c r="J20" s="163"/>
      <c r="K20" s="304" t="str">
        <f t="shared" si="12"/>
        <v/>
      </c>
      <c r="L20" s="305" t="s">
        <v>116</v>
      </c>
      <c r="M20" s="578" t="str">
        <f>IFERROR(IF(K20="","",$K20*R20),"----------")</f>
        <v/>
      </c>
      <c r="N20" s="338" t="str">
        <f>IF(K20="","",
      IF($T$1=2022,K20*S20,
                  IF(OR(W32="",K20=""),"",K20*W32)))</f>
        <v/>
      </c>
      <c r="O20" s="319"/>
      <c r="P20" s="332" t="s">
        <v>66</v>
      </c>
      <c r="Q20" s="332" t="s">
        <v>5022</v>
      </c>
      <c r="R20" s="332">
        <f t="shared" si="15"/>
        <v>1.19</v>
      </c>
      <c r="S20" s="333" t="str">
        <f t="shared" si="14"/>
        <v>ー</v>
      </c>
      <c r="T20" s="292"/>
      <c r="V20" s="312"/>
      <c r="W20" s="312"/>
      <c r="X20" s="312"/>
      <c r="Y20" s="312"/>
      <c r="Z20" s="312"/>
      <c r="AG20" s="277">
        <v>17</v>
      </c>
      <c r="AH20" s="292" t="s">
        <v>56</v>
      </c>
      <c r="AI20" s="277" t="s">
        <v>4182</v>
      </c>
      <c r="AJ20" s="277">
        <f t="shared" si="0"/>
        <v>0</v>
      </c>
      <c r="AK20" s="277">
        <f t="shared" si="1"/>
        <v>0</v>
      </c>
      <c r="AM20" s="277">
        <v>17</v>
      </c>
      <c r="AN20" s="277" t="s">
        <v>4976</v>
      </c>
      <c r="AO20" s="277" t="s">
        <v>4182</v>
      </c>
      <c r="AP20" s="277">
        <f t="shared" si="2"/>
        <v>0</v>
      </c>
      <c r="AQ20" s="277">
        <f t="shared" si="3"/>
        <v>0</v>
      </c>
      <c r="AR20" s="277">
        <f t="shared" si="4"/>
        <v>0</v>
      </c>
    </row>
    <row r="21" spans="2:44" ht="19.350000000000001" customHeight="1" thickBot="1">
      <c r="C21" s="343"/>
      <c r="D21" s="345"/>
      <c r="E21" s="346" t="str">
        <f>"その他（"&amp;U35&amp;"）"</f>
        <v>その他（）</v>
      </c>
      <c r="F21" s="347"/>
      <c r="G21" s="347"/>
      <c r="H21" s="348"/>
      <c r="I21" s="165"/>
      <c r="J21" s="163"/>
      <c r="K21" s="349" t="str">
        <f>IF(AND(I21="",J21=""),"",SUM(I21)-SUM(J21))</f>
        <v/>
      </c>
      <c r="L21" s="166"/>
      <c r="M21" s="599"/>
      <c r="N21" s="236"/>
      <c r="O21" s="319"/>
      <c r="P21" s="327"/>
      <c r="Q21" s="327"/>
      <c r="R21" s="327"/>
      <c r="S21" s="350"/>
      <c r="T21" s="292"/>
      <c r="U21" s="339" t="s">
        <v>127</v>
      </c>
      <c r="V21" s="312"/>
      <c r="W21" s="312"/>
      <c r="X21" s="312"/>
      <c r="Y21" s="312"/>
      <c r="Z21" s="312"/>
      <c r="AG21" s="277">
        <v>18</v>
      </c>
      <c r="AH21" s="292" t="s">
        <v>57</v>
      </c>
      <c r="AI21" s="277" t="s">
        <v>4182</v>
      </c>
      <c r="AJ21" s="277">
        <f>SUMIFS($I$13:$I$19,$E$13:$E$19,$AV25)</f>
        <v>0</v>
      </c>
      <c r="AK21" s="277">
        <f>SUMIFS($J$13:$J$19,$E$13:$E$19,$AV25)</f>
        <v>0</v>
      </c>
      <c r="AM21" s="277">
        <v>18</v>
      </c>
      <c r="AN21" s="277" t="s">
        <v>4977</v>
      </c>
      <c r="AO21" s="277" t="s">
        <v>4182</v>
      </c>
      <c r="AP21" s="277">
        <f t="shared" si="2"/>
        <v>0</v>
      </c>
      <c r="AQ21" s="277">
        <f t="shared" si="3"/>
        <v>0</v>
      </c>
      <c r="AR21" s="277">
        <f t="shared" si="4"/>
        <v>0</v>
      </c>
    </row>
    <row r="22" spans="2:44" ht="19.350000000000001" customHeight="1" thickTop="1" thickBot="1">
      <c r="C22" s="714" t="s">
        <v>67</v>
      </c>
      <c r="D22" s="715"/>
      <c r="E22" s="715"/>
      <c r="F22" s="715"/>
      <c r="G22" s="715"/>
      <c r="H22" s="716"/>
      <c r="I22" s="352" t="s">
        <v>68</v>
      </c>
      <c r="J22" s="353" t="s">
        <v>68</v>
      </c>
      <c r="K22" s="353" t="s">
        <v>68</v>
      </c>
      <c r="L22" s="354" t="s">
        <v>68</v>
      </c>
      <c r="M22" s="580">
        <f>SUM(M6:M21)</f>
        <v>0</v>
      </c>
      <c r="N22" s="355">
        <f>SUM(N6:N21)</f>
        <v>0</v>
      </c>
      <c r="O22" s="319"/>
      <c r="P22" s="351"/>
      <c r="Q22" s="351"/>
      <c r="R22" s="351"/>
      <c r="S22" s="351"/>
      <c r="T22" s="292"/>
      <c r="U22" s="340" t="s">
        <v>154</v>
      </c>
      <c r="V22" s="356">
        <f>SUM(G66)</f>
        <v>0</v>
      </c>
      <c r="W22" s="342" t="s">
        <v>5160</v>
      </c>
      <c r="X22" s="312"/>
      <c r="Y22" s="312"/>
      <c r="Z22" s="312"/>
      <c r="AG22" s="277">
        <v>19</v>
      </c>
      <c r="AH22" s="292" t="s">
        <v>4985</v>
      </c>
      <c r="AI22" s="277" t="s">
        <v>4182</v>
      </c>
      <c r="AJ22" s="277">
        <f>SUMIFS($I$13:$I$19,$E$13:$E$19,$AV26)</f>
        <v>0</v>
      </c>
      <c r="AK22" s="277">
        <f>SUMIFS($J$13:$J$19,$E$13:$E$19,$AV26)</f>
        <v>0</v>
      </c>
      <c r="AM22" s="277">
        <v>19</v>
      </c>
      <c r="AN22" s="292" t="s">
        <v>4979</v>
      </c>
      <c r="AO22" s="277" t="s">
        <v>4182</v>
      </c>
      <c r="AP22" s="277">
        <f t="shared" si="2"/>
        <v>0</v>
      </c>
      <c r="AQ22" s="277">
        <f t="shared" si="3"/>
        <v>0</v>
      </c>
      <c r="AR22" s="277">
        <f t="shared" si="4"/>
        <v>0</v>
      </c>
    </row>
    <row r="23" spans="2:44" ht="19.350000000000001" customHeight="1" thickBot="1">
      <c r="C23" s="733" t="s">
        <v>5142</v>
      </c>
      <c r="D23" s="739"/>
      <c r="E23" s="740"/>
      <c r="F23" s="740"/>
      <c r="G23" s="740"/>
      <c r="H23" s="741"/>
      <c r="I23" s="168"/>
      <c r="J23" s="169"/>
      <c r="K23" s="357" t="str">
        <f t="shared" ref="K23:K29" si="16">IF(AND(I23="",J23=""),"",SUM(I23)-SUM(J23))</f>
        <v/>
      </c>
      <c r="L23" s="358" t="str">
        <f t="shared" ref="L23:L28" si="17">IF(D23="","",IF($T$1=2022,"----------",VLOOKUP(D23,係数2023,6,0)))</f>
        <v/>
      </c>
      <c r="M23" s="581" t="str">
        <f t="shared" ref="M23:M28" si="18">IFERROR(IF(K23="","",$K23*R23),"-------------")</f>
        <v/>
      </c>
      <c r="N23" s="359" t="str">
        <f t="shared" ref="N23:N28" si="19">IFERROR(IF(K23="","",$M23*S23*44/12),"----------")</f>
        <v/>
      </c>
      <c r="O23" s="319"/>
      <c r="P23" s="360"/>
      <c r="Q23" s="360"/>
      <c r="R23" s="361" t="e">
        <f t="shared" ref="R23:R28" si="20">IF($T$1=2022,VLOOKUP(D23,係数2022,7,0),VLOOKUP(D23,係数2023,7,0))</f>
        <v>#N/A</v>
      </c>
      <c r="S23" s="362" t="e">
        <f t="shared" ref="S23:S28" si="21">IF($T$1=2022,VLOOKUP(D23,係数2022,9,0),VLOOKUP(D23,係数2023,9,0))</f>
        <v>#N/A</v>
      </c>
      <c r="T23" s="12"/>
      <c r="V23" s="312"/>
      <c r="W23" s="312"/>
      <c r="X23" s="312"/>
      <c r="Y23" s="312"/>
      <c r="Z23" s="312"/>
      <c r="AG23" s="277">
        <v>20</v>
      </c>
      <c r="AH23" s="277" t="s">
        <v>58</v>
      </c>
      <c r="AI23" s="277" t="s">
        <v>4182</v>
      </c>
      <c r="AJ23" s="277">
        <f>SUMIFS($I$13:$I$19,$E$13:$E$19,$AN26)</f>
        <v>0</v>
      </c>
      <c r="AK23" s="277">
        <f>SUMIFS($J$13:$J$19,$E$13:$E$19,$AN26)</f>
        <v>0</v>
      </c>
      <c r="AM23" s="277">
        <v>20</v>
      </c>
      <c r="AN23" s="277" t="s">
        <v>4982</v>
      </c>
      <c r="AO23" s="277" t="s">
        <v>4182</v>
      </c>
      <c r="AP23" s="277">
        <f t="shared" si="2"/>
        <v>0</v>
      </c>
      <c r="AQ23" s="277">
        <f t="shared" si="3"/>
        <v>0</v>
      </c>
      <c r="AR23" s="277">
        <f t="shared" si="4"/>
        <v>0</v>
      </c>
    </row>
    <row r="24" spans="2:44" ht="19.350000000000001" customHeight="1" thickBot="1">
      <c r="C24" s="734"/>
      <c r="D24" s="736"/>
      <c r="E24" s="737"/>
      <c r="F24" s="737"/>
      <c r="G24" s="737"/>
      <c r="H24" s="738"/>
      <c r="I24" s="170"/>
      <c r="J24" s="171"/>
      <c r="K24" s="363" t="str">
        <f t="shared" si="16"/>
        <v/>
      </c>
      <c r="L24" s="305" t="str">
        <f t="shared" si="17"/>
        <v/>
      </c>
      <c r="M24" s="582" t="str">
        <f t="shared" si="18"/>
        <v/>
      </c>
      <c r="N24" s="338" t="str">
        <f t="shared" si="19"/>
        <v/>
      </c>
      <c r="O24" s="319"/>
      <c r="P24" s="364"/>
      <c r="Q24" s="364"/>
      <c r="R24" s="365" t="e">
        <f t="shared" si="20"/>
        <v>#N/A</v>
      </c>
      <c r="S24" s="366" t="e">
        <f t="shared" si="21"/>
        <v>#N/A</v>
      </c>
      <c r="T24" s="12"/>
      <c r="U24" s="340" t="s">
        <v>155</v>
      </c>
      <c r="V24" s="367">
        <f>V6+V19-V22</f>
        <v>0</v>
      </c>
      <c r="W24" s="342" t="s">
        <v>5160</v>
      </c>
      <c r="X24" s="312"/>
      <c r="Y24" s="312"/>
      <c r="Z24" s="312"/>
      <c r="AG24" s="277">
        <v>21</v>
      </c>
      <c r="AH24" s="277" t="s">
        <v>59</v>
      </c>
      <c r="AI24" s="277" t="s">
        <v>4182</v>
      </c>
      <c r="AJ24" s="277">
        <f>SUMIFS($I$13:$I$19,$E$13:$E$19,$AN27)</f>
        <v>0</v>
      </c>
      <c r="AK24" s="277">
        <f>SUMIFS($J$13:$J$19,$E$13:$E$19,$AN27)</f>
        <v>0</v>
      </c>
      <c r="AM24" s="277">
        <v>21</v>
      </c>
      <c r="AN24" s="277" t="s">
        <v>4984</v>
      </c>
      <c r="AO24" s="277" t="s">
        <v>4182</v>
      </c>
      <c r="AP24" s="277">
        <f t="shared" si="2"/>
        <v>0</v>
      </c>
      <c r="AQ24" s="277">
        <f t="shared" si="3"/>
        <v>0</v>
      </c>
      <c r="AR24" s="277">
        <f t="shared" si="4"/>
        <v>0</v>
      </c>
    </row>
    <row r="25" spans="2:44" ht="19.350000000000001" customHeight="1">
      <c r="C25" s="734"/>
      <c r="D25" s="736"/>
      <c r="E25" s="737"/>
      <c r="F25" s="737"/>
      <c r="G25" s="737"/>
      <c r="H25" s="738"/>
      <c r="I25" s="170"/>
      <c r="J25" s="171"/>
      <c r="K25" s="363" t="str">
        <f t="shared" si="16"/>
        <v/>
      </c>
      <c r="L25" s="305" t="str">
        <f t="shared" si="17"/>
        <v/>
      </c>
      <c r="M25" s="582" t="str">
        <f t="shared" si="18"/>
        <v/>
      </c>
      <c r="N25" s="338" t="str">
        <f t="shared" si="19"/>
        <v/>
      </c>
      <c r="O25" s="319"/>
      <c r="P25" s="364"/>
      <c r="Q25" s="364"/>
      <c r="R25" s="365" t="e">
        <f t="shared" si="20"/>
        <v>#N/A</v>
      </c>
      <c r="S25" s="366" t="e">
        <f t="shared" si="21"/>
        <v>#N/A</v>
      </c>
      <c r="T25" s="12"/>
      <c r="V25" s="312"/>
      <c r="W25" s="312"/>
      <c r="X25" s="312"/>
      <c r="Y25" s="312"/>
      <c r="Z25" s="312"/>
      <c r="AG25" s="277">
        <v>22</v>
      </c>
      <c r="AH25" s="277" t="s">
        <v>60</v>
      </c>
      <c r="AI25" s="277" t="s">
        <v>4182</v>
      </c>
      <c r="AJ25" s="277">
        <f>SUMIFS($I$13:$I$19,$E$13:$E$19,$AN28)</f>
        <v>0</v>
      </c>
      <c r="AK25" s="277">
        <f>SUMIFS($J$13:$J$19,$E$13:$E$19,$AN28)</f>
        <v>0</v>
      </c>
      <c r="AM25" s="277">
        <v>22</v>
      </c>
      <c r="AN25" s="277" t="s">
        <v>4986</v>
      </c>
      <c r="AO25" s="277" t="s">
        <v>4182</v>
      </c>
      <c r="AP25" s="277">
        <f t="shared" si="2"/>
        <v>0</v>
      </c>
      <c r="AQ25" s="277">
        <f t="shared" si="3"/>
        <v>0</v>
      </c>
      <c r="AR25" s="277">
        <f t="shared" si="4"/>
        <v>0</v>
      </c>
    </row>
    <row r="26" spans="2:44" ht="19.350000000000001" customHeight="1" thickBot="1">
      <c r="C26" s="734"/>
      <c r="D26" s="736"/>
      <c r="E26" s="737"/>
      <c r="F26" s="737"/>
      <c r="G26" s="737"/>
      <c r="H26" s="738"/>
      <c r="I26" s="170"/>
      <c r="J26" s="171"/>
      <c r="K26" s="363" t="str">
        <f t="shared" si="16"/>
        <v/>
      </c>
      <c r="L26" s="305" t="str">
        <f t="shared" si="17"/>
        <v/>
      </c>
      <c r="M26" s="582" t="str">
        <f t="shared" si="18"/>
        <v/>
      </c>
      <c r="N26" s="338" t="str">
        <f>IFERROR(IF(K26="","",$M26*S26*44/12),"----------")</f>
        <v/>
      </c>
      <c r="O26" s="319"/>
      <c r="P26" s="364"/>
      <c r="Q26" s="364"/>
      <c r="R26" s="365" t="e">
        <f t="shared" si="20"/>
        <v>#N/A</v>
      </c>
      <c r="S26" s="366" t="e">
        <f t="shared" si="21"/>
        <v>#N/A</v>
      </c>
      <c r="T26" s="12"/>
      <c r="U26" s="339" t="s">
        <v>129</v>
      </c>
      <c r="V26" s="312"/>
      <c r="W26" s="312"/>
      <c r="X26" s="312"/>
      <c r="Y26" s="312"/>
      <c r="Z26" s="312"/>
      <c r="AG26" s="277">
        <v>23</v>
      </c>
      <c r="AH26" s="277" t="s">
        <v>61</v>
      </c>
      <c r="AI26" s="277" t="s">
        <v>5086</v>
      </c>
      <c r="AJ26" s="277">
        <f>SUMIFS($I$13:$I$19,$E$13:$E$19,$AN29)</f>
        <v>0</v>
      </c>
      <c r="AK26" s="277">
        <f>SUMIFS($J$13:$J$19,$E$13:$E$19,$AN29)</f>
        <v>0</v>
      </c>
      <c r="AM26" s="277">
        <v>23</v>
      </c>
      <c r="AN26" s="277" t="s">
        <v>58</v>
      </c>
      <c r="AO26" s="277" t="s">
        <v>4182</v>
      </c>
      <c r="AP26" s="277">
        <f t="shared" si="2"/>
        <v>0</v>
      </c>
      <c r="AQ26" s="277">
        <f t="shared" si="3"/>
        <v>0</v>
      </c>
      <c r="AR26" s="277">
        <f t="shared" si="4"/>
        <v>0</v>
      </c>
    </row>
    <row r="27" spans="2:44" ht="19.350000000000001" customHeight="1" thickBot="1">
      <c r="C27" s="734"/>
      <c r="D27" s="736"/>
      <c r="E27" s="737"/>
      <c r="F27" s="737"/>
      <c r="G27" s="737"/>
      <c r="H27" s="738"/>
      <c r="I27" s="170"/>
      <c r="J27" s="171"/>
      <c r="K27" s="363" t="str">
        <f t="shared" si="16"/>
        <v/>
      </c>
      <c r="L27" s="305" t="str">
        <f t="shared" si="17"/>
        <v/>
      </c>
      <c r="M27" s="582" t="str">
        <f t="shared" si="18"/>
        <v/>
      </c>
      <c r="N27" s="338" t="str">
        <f t="shared" si="19"/>
        <v/>
      </c>
      <c r="O27" s="319"/>
      <c r="P27" s="364"/>
      <c r="Q27" s="364"/>
      <c r="R27" s="365" t="e">
        <f t="shared" si="20"/>
        <v>#N/A</v>
      </c>
      <c r="S27" s="366" t="e">
        <f t="shared" si="21"/>
        <v>#N/A</v>
      </c>
      <c r="U27" s="368" t="s">
        <v>3089</v>
      </c>
      <c r="V27" s="369">
        <f>IF(V24="","",IFERROR(ROUND(V24/G73,3-INT(LOG(V24/G73))),))</f>
        <v>0</v>
      </c>
      <c r="W27" s="909" t="str">
        <f>"t-CO2/"&amp;G72</f>
        <v>t-CO2/</v>
      </c>
      <c r="X27" s="910"/>
      <c r="Y27" s="312"/>
      <c r="Z27" s="312"/>
      <c r="AG27" s="277">
        <v>24</v>
      </c>
      <c r="AH27" s="277" t="s">
        <v>62</v>
      </c>
      <c r="AI27" s="277" t="s">
        <v>4991</v>
      </c>
      <c r="AJ27" s="277">
        <f>SUMIFS($I$13:$I$19,$E$13:$E$19,$AN31)</f>
        <v>0</v>
      </c>
      <c r="AK27" s="277">
        <f>SUMIFS($J$13:$J$19,$E$13:$E$19,$AN31)</f>
        <v>0</v>
      </c>
      <c r="AM27" s="277">
        <v>24</v>
      </c>
      <c r="AN27" s="277" t="s">
        <v>59</v>
      </c>
      <c r="AO27" s="277" t="s">
        <v>4182</v>
      </c>
      <c r="AP27" s="277">
        <f t="shared" si="2"/>
        <v>0</v>
      </c>
      <c r="AQ27" s="277">
        <f t="shared" si="3"/>
        <v>0</v>
      </c>
      <c r="AR27" s="277">
        <f t="shared" si="4"/>
        <v>0</v>
      </c>
    </row>
    <row r="28" spans="2:44" ht="19.350000000000001" customHeight="1">
      <c r="C28" s="734"/>
      <c r="D28" s="736"/>
      <c r="E28" s="737"/>
      <c r="F28" s="737"/>
      <c r="G28" s="737"/>
      <c r="H28" s="738"/>
      <c r="I28" s="170"/>
      <c r="J28" s="171"/>
      <c r="K28" s="363" t="str">
        <f t="shared" si="16"/>
        <v/>
      </c>
      <c r="L28" s="305" t="str">
        <f t="shared" si="17"/>
        <v/>
      </c>
      <c r="M28" s="582" t="str">
        <f t="shared" si="18"/>
        <v/>
      </c>
      <c r="N28" s="338" t="str">
        <f t="shared" si="19"/>
        <v/>
      </c>
      <c r="O28" s="319"/>
      <c r="P28" s="364"/>
      <c r="Q28" s="364"/>
      <c r="R28" s="365" t="e">
        <f t="shared" si="20"/>
        <v>#N/A</v>
      </c>
      <c r="S28" s="366" t="e">
        <f t="shared" si="21"/>
        <v>#N/A</v>
      </c>
      <c r="T28"/>
      <c r="U28" s="370"/>
      <c r="V28" s="370"/>
      <c r="W28" s="370"/>
      <c r="X28" s="370"/>
      <c r="Y28" s="312"/>
      <c r="Z28" s="312"/>
      <c r="AG28" s="277">
        <v>25</v>
      </c>
      <c r="AH28" s="277" t="s">
        <v>109</v>
      </c>
      <c r="AI28" s="277" t="s">
        <v>115</v>
      </c>
      <c r="AJ28" s="277">
        <f>SUMIFS($I$13:$I$19,$E$13:$E$19,$AN36)</f>
        <v>0</v>
      </c>
      <c r="AK28" s="277">
        <f>SUMIFS($J$13:$J$19,$E$13:$E$19,$AN36)</f>
        <v>0</v>
      </c>
      <c r="AM28" s="277">
        <v>25</v>
      </c>
      <c r="AN28" s="277" t="s">
        <v>60</v>
      </c>
      <c r="AO28" s="277" t="s">
        <v>4182</v>
      </c>
      <c r="AP28" s="277">
        <f t="shared" si="2"/>
        <v>0</v>
      </c>
      <c r="AQ28" s="277">
        <f t="shared" si="3"/>
        <v>0</v>
      </c>
      <c r="AR28" s="277">
        <f t="shared" si="4"/>
        <v>0</v>
      </c>
    </row>
    <row r="29" spans="2:44" ht="19.350000000000001" customHeight="1" thickBot="1">
      <c r="C29" s="735"/>
      <c r="D29" s="314" t="str">
        <f>"その他（"&amp;U38&amp;"）"</f>
        <v>その他（）</v>
      </c>
      <c r="E29" s="302"/>
      <c r="F29" s="302"/>
      <c r="G29" s="371"/>
      <c r="H29" s="372"/>
      <c r="I29" s="170"/>
      <c r="J29" s="171"/>
      <c r="K29" s="363" t="str">
        <f t="shared" si="16"/>
        <v/>
      </c>
      <c r="L29" s="523"/>
      <c r="M29" s="600"/>
      <c r="N29" s="373"/>
      <c r="O29" s="319"/>
      <c r="P29" s="374"/>
      <c r="Q29" s="374"/>
      <c r="R29" s="374"/>
      <c r="S29" s="375"/>
      <c r="T29" s="12"/>
      <c r="U29" s="320" t="s">
        <v>5139</v>
      </c>
      <c r="V29" s="376" t="s">
        <v>78</v>
      </c>
      <c r="W29" s="376" t="s">
        <v>5096</v>
      </c>
      <c r="X29" s="377"/>
      <c r="Y29" s="377"/>
      <c r="Z29" s="312"/>
      <c r="AG29" s="277">
        <v>26</v>
      </c>
      <c r="AH29" s="277" t="s">
        <v>119</v>
      </c>
      <c r="AI29" s="277" t="s">
        <v>115</v>
      </c>
      <c r="AJ29" s="277">
        <f>SUMIFS($I$13:$I$19,$E$13:$E$19,$AN37)</f>
        <v>0</v>
      </c>
      <c r="AK29" s="277">
        <f>SUMIFS($J$13:$J$19,$E$13:$E$19,$AN37)</f>
        <v>0</v>
      </c>
      <c r="AM29" s="277">
        <v>26</v>
      </c>
      <c r="AN29" s="277" t="s">
        <v>61</v>
      </c>
      <c r="AO29" s="277" t="s">
        <v>5086</v>
      </c>
      <c r="AP29" s="277">
        <f t="shared" si="2"/>
        <v>0</v>
      </c>
      <c r="AQ29" s="277">
        <f t="shared" si="3"/>
        <v>0</v>
      </c>
      <c r="AR29" s="277">
        <f t="shared" si="4"/>
        <v>0</v>
      </c>
    </row>
    <row r="30" spans="2:44" ht="19.350000000000001" customHeight="1" thickTop="1" thickBot="1">
      <c r="C30" s="714" t="s">
        <v>67</v>
      </c>
      <c r="D30" s="715"/>
      <c r="E30" s="715"/>
      <c r="F30" s="715"/>
      <c r="G30" s="715"/>
      <c r="H30" s="716"/>
      <c r="I30" s="378" t="s">
        <v>68</v>
      </c>
      <c r="J30" s="379" t="s">
        <v>68</v>
      </c>
      <c r="K30" s="379" t="s">
        <v>68</v>
      </c>
      <c r="L30" s="380" t="s">
        <v>68</v>
      </c>
      <c r="M30" s="584">
        <f>SUM(M23:M29)</f>
        <v>0</v>
      </c>
      <c r="N30" s="355">
        <f>SUM(N23:N29)</f>
        <v>0</v>
      </c>
      <c r="O30" s="319"/>
      <c r="P30"/>
      <c r="Q30"/>
      <c r="R30"/>
      <c r="S30"/>
      <c r="T30" s="381"/>
      <c r="U30" s="382" t="s">
        <v>4291</v>
      </c>
      <c r="V30" s="383"/>
      <c r="W30" s="216"/>
      <c r="X30" s="377"/>
      <c r="Y30" s="377"/>
      <c r="Z30" s="312"/>
      <c r="AG30" s="277">
        <v>27</v>
      </c>
      <c r="AH30" s="277" t="s">
        <v>65</v>
      </c>
      <c r="AI30" s="277" t="s">
        <v>115</v>
      </c>
      <c r="AJ30" s="277">
        <f>SUMIFS($I$13:$I$19,$E$13:$E$19,$AN38)</f>
        <v>0</v>
      </c>
      <c r="AK30" s="277">
        <f>SUMIFS($J$13:$J$19,$E$13:$E$19,$AN38)</f>
        <v>0</v>
      </c>
      <c r="AM30" s="277">
        <v>27</v>
      </c>
      <c r="AN30" s="277" t="s">
        <v>4987</v>
      </c>
      <c r="AO30" s="277" t="s">
        <v>5097</v>
      </c>
      <c r="AP30" s="277">
        <f t="shared" si="2"/>
        <v>0</v>
      </c>
      <c r="AQ30" s="277">
        <f t="shared" si="3"/>
        <v>0</v>
      </c>
      <c r="AR30" s="277">
        <f t="shared" si="4"/>
        <v>0</v>
      </c>
    </row>
    <row r="31" spans="2:44" ht="19.350000000000001" customHeight="1" thickBot="1">
      <c r="B31" s="312"/>
      <c r="C31" s="927" t="s">
        <v>5098</v>
      </c>
      <c r="D31" s="928"/>
      <c r="E31" s="928"/>
      <c r="F31" s="928"/>
      <c r="G31" s="928"/>
      <c r="H31" s="929"/>
      <c r="I31" s="923" t="s">
        <v>112</v>
      </c>
      <c r="J31" s="925" t="s">
        <v>40</v>
      </c>
      <c r="K31" s="657" t="s">
        <v>41</v>
      </c>
      <c r="L31" s="661" t="s">
        <v>42</v>
      </c>
      <c r="M31" s="663" t="s">
        <v>5083</v>
      </c>
      <c r="N31" s="665" t="s">
        <v>5084</v>
      </c>
      <c r="O31" s="319"/>
      <c r="P31"/>
      <c r="Q31"/>
      <c r="R31"/>
      <c r="S31"/>
      <c r="T31" s="381"/>
      <c r="U31" s="382" t="s">
        <v>4293</v>
      </c>
      <c r="V31" s="383"/>
      <c r="W31" s="216"/>
      <c r="X31" s="377"/>
      <c r="Y31" s="377"/>
      <c r="Z31" s="312"/>
      <c r="AG31" s="277">
        <v>28</v>
      </c>
      <c r="AH31" s="277" t="s">
        <v>66</v>
      </c>
      <c r="AI31" s="277" t="s">
        <v>115</v>
      </c>
      <c r="AJ31" s="277">
        <f>SUMIFS($I$13:$I$19,$E$13:$E$19,$AN39)</f>
        <v>0</v>
      </c>
      <c r="AK31" s="277">
        <f>SUMIFS($J$13:$J$19,$E$13:$E$19,$AN39)</f>
        <v>0</v>
      </c>
      <c r="AM31" s="277">
        <v>28</v>
      </c>
      <c r="AN31" s="277" t="s">
        <v>62</v>
      </c>
      <c r="AO31" s="277" t="s">
        <v>4991</v>
      </c>
      <c r="AP31" s="277">
        <f t="shared" si="2"/>
        <v>0</v>
      </c>
      <c r="AQ31" s="277">
        <f t="shared" si="3"/>
        <v>0</v>
      </c>
      <c r="AR31" s="277">
        <f t="shared" si="4"/>
        <v>0</v>
      </c>
    </row>
    <row r="32" spans="2:44" ht="19.350000000000001" customHeight="1">
      <c r="B32" s="312"/>
      <c r="C32" s="930"/>
      <c r="D32" s="931"/>
      <c r="E32" s="931"/>
      <c r="F32" s="931"/>
      <c r="G32" s="931"/>
      <c r="H32" s="932"/>
      <c r="I32" s="924"/>
      <c r="J32" s="926"/>
      <c r="K32" s="658"/>
      <c r="L32" s="662"/>
      <c r="M32" s="664"/>
      <c r="N32" s="666"/>
      <c r="O32" s="319"/>
      <c r="P32" s="296" t="s">
        <v>5080</v>
      </c>
      <c r="Q32" s="296" t="s">
        <v>5081</v>
      </c>
      <c r="R32" s="296" t="s">
        <v>4961</v>
      </c>
      <c r="S32" s="296" t="s">
        <v>4962</v>
      </c>
      <c r="T32" s="381"/>
      <c r="U32" s="180" t="s">
        <v>5140</v>
      </c>
      <c r="V32" s="324"/>
      <c r="W32" s="216"/>
      <c r="X32" s="312"/>
      <c r="Y32" s="312"/>
      <c r="Z32" s="312"/>
      <c r="AG32" s="277">
        <v>29</v>
      </c>
      <c r="AH32" s="384" t="s">
        <v>5111</v>
      </c>
      <c r="AM32" s="277">
        <v>29</v>
      </c>
      <c r="AN32" s="277" t="s">
        <v>5019</v>
      </c>
      <c r="AO32" s="277" t="s">
        <v>115</v>
      </c>
      <c r="AP32" s="277">
        <f t="shared" si="2"/>
        <v>0</v>
      </c>
      <c r="AQ32" s="277">
        <f t="shared" si="3"/>
        <v>0</v>
      </c>
      <c r="AR32" s="277">
        <f t="shared" si="4"/>
        <v>0</v>
      </c>
    </row>
    <row r="33" spans="2:44" ht="19.350000000000001" customHeight="1">
      <c r="B33" s="312"/>
      <c r="C33" s="385"/>
      <c r="D33" s="386" t="s">
        <v>5105</v>
      </c>
      <c r="E33" s="285"/>
      <c r="F33" s="387"/>
      <c r="G33" s="387"/>
      <c r="H33" s="388"/>
      <c r="I33" s="592" t="str">
        <f>IF(COUNTBLANK(V42:W46)=10,"",SUM(I34:I35))</f>
        <v/>
      </c>
      <c r="J33" s="389"/>
      <c r="K33" s="390" t="str">
        <f>I33</f>
        <v/>
      </c>
      <c r="L33" s="391" t="s">
        <v>5036</v>
      </c>
      <c r="M33" s="585" t="str">
        <f>IF(COUNTBLANK(V42:W46)=10,"",SUM(M34,M35))</f>
        <v/>
      </c>
      <c r="N33" s="392" t="str">
        <f>IF(COUNTBLANK(V42:W46)=10,"",SUM(N34,N35))</f>
        <v/>
      </c>
      <c r="O33" s="319"/>
      <c r="P33" s="393"/>
      <c r="Q33" s="393"/>
      <c r="R33" s="393"/>
      <c r="S33" s="393"/>
      <c r="T33" s="381"/>
      <c r="U33" s="312"/>
      <c r="V33" s="312"/>
      <c r="W33" s="312"/>
      <c r="X33" s="312"/>
      <c r="Y33" s="312"/>
      <c r="Z33" s="312"/>
      <c r="AM33" s="277">
        <v>30</v>
      </c>
      <c r="AN33" s="277" t="s">
        <v>5020</v>
      </c>
      <c r="AO33" s="277" t="s">
        <v>115</v>
      </c>
      <c r="AP33" s="277">
        <f t="shared" si="2"/>
        <v>0</v>
      </c>
      <c r="AQ33" s="277">
        <f t="shared" si="3"/>
        <v>0</v>
      </c>
      <c r="AR33" s="277">
        <f t="shared" si="4"/>
        <v>0</v>
      </c>
    </row>
    <row r="34" spans="2:44" ht="19.350000000000001" customHeight="1">
      <c r="B34" s="312"/>
      <c r="C34" s="385"/>
      <c r="D34" s="386"/>
      <c r="E34" s="285"/>
      <c r="F34" s="730" t="s">
        <v>5100</v>
      </c>
      <c r="G34" s="731"/>
      <c r="H34" s="732"/>
      <c r="I34" s="593" t="str">
        <f>IF(COUNTBLANK(V42:V46)=10,"",V47)</f>
        <v/>
      </c>
      <c r="J34" s="394"/>
      <c r="K34" s="395" t="str">
        <f t="shared" ref="K34:K35" si="22">I34</f>
        <v/>
      </c>
      <c r="L34" s="396" t="s">
        <v>5036</v>
      </c>
      <c r="M34" s="586" t="str">
        <f>IFERROR(IF(K34="","",$K34*R34),"-------------")</f>
        <v/>
      </c>
      <c r="N34" s="397" t="str">
        <f>IF(COUNTBLANK(V42:W46)=10,"",Z47)</f>
        <v/>
      </c>
      <c r="O34" s="319"/>
      <c r="P34" s="393" t="s">
        <v>5034</v>
      </c>
      <c r="Q34" s="393" t="s">
        <v>5034</v>
      </c>
      <c r="R34" s="393">
        <f t="shared" ref="R34:R38" si="23">IF($T$1=2022,VLOOKUP($P34,係数2022,7,0),VLOOKUP($Q34,係数2023,7,0))</f>
        <v>8.64</v>
      </c>
      <c r="S34" s="393"/>
      <c r="T34" s="381"/>
      <c r="U34" s="398" t="s">
        <v>5095</v>
      </c>
      <c r="V34" s="399" t="s">
        <v>78</v>
      </c>
      <c r="W34" s="399" t="s">
        <v>5096</v>
      </c>
      <c r="X34" s="312"/>
      <c r="Y34" s="312"/>
      <c r="Z34" s="312"/>
      <c r="AM34" s="277">
        <v>31</v>
      </c>
      <c r="AN34" s="277" t="s">
        <v>5021</v>
      </c>
      <c r="AO34" s="277" t="s">
        <v>115</v>
      </c>
      <c r="AP34" s="277">
        <f t="shared" si="2"/>
        <v>0</v>
      </c>
      <c r="AQ34" s="277">
        <f t="shared" si="3"/>
        <v>0</v>
      </c>
      <c r="AR34" s="277">
        <f t="shared" si="4"/>
        <v>0</v>
      </c>
    </row>
    <row r="35" spans="2:44" ht="19.350000000000001" customHeight="1">
      <c r="B35" s="312"/>
      <c r="C35" s="400" t="s">
        <v>5106</v>
      </c>
      <c r="D35" s="386"/>
      <c r="E35" s="285"/>
      <c r="F35" s="730" t="s">
        <v>5101</v>
      </c>
      <c r="G35" s="731"/>
      <c r="H35" s="732"/>
      <c r="I35" s="593" t="str">
        <f>IF(COUNTBLANK(V42:V46)=10,"",W47)</f>
        <v/>
      </c>
      <c r="J35" s="394"/>
      <c r="K35" s="395" t="str">
        <f t="shared" si="22"/>
        <v/>
      </c>
      <c r="L35" s="396" t="s">
        <v>5036</v>
      </c>
      <c r="M35" s="586" t="str">
        <f>IFERROR(IF(K35="","",$K35*R35),"-------------")</f>
        <v/>
      </c>
      <c r="N35" s="397" t="str">
        <f>IF(COUNTBLANK(V42:W46)=10,"",AA47)</f>
        <v/>
      </c>
      <c r="O35" s="319"/>
      <c r="P35" s="393" t="s">
        <v>5038</v>
      </c>
      <c r="Q35" s="393" t="s">
        <v>5038</v>
      </c>
      <c r="R35" s="393">
        <f t="shared" si="23"/>
        <v>8.64</v>
      </c>
      <c r="S35" s="393"/>
      <c r="T35" s="381"/>
      <c r="U35" s="167"/>
      <c r="V35" s="217"/>
      <c r="W35" s="218"/>
      <c r="X35" s="312"/>
      <c r="Y35" s="312"/>
      <c r="Z35" s="312"/>
      <c r="AM35" s="277">
        <v>32</v>
      </c>
      <c r="AN35" s="277" t="s">
        <v>5022</v>
      </c>
      <c r="AO35" s="277" t="s">
        <v>115</v>
      </c>
      <c r="AP35" s="277">
        <f t="shared" si="2"/>
        <v>0</v>
      </c>
      <c r="AQ35" s="277">
        <f t="shared" si="3"/>
        <v>0</v>
      </c>
      <c r="AR35" s="277">
        <f>COUNTIF($AT$4:$AT$10,AN35)</f>
        <v>0</v>
      </c>
    </row>
    <row r="36" spans="2:44" ht="19.350000000000001" customHeight="1">
      <c r="B36" s="312"/>
      <c r="C36" s="400"/>
      <c r="D36" s="401"/>
      <c r="E36" s="176"/>
      <c r="F36" s="402" t="s">
        <v>5108</v>
      </c>
      <c r="G36" s="403"/>
      <c r="H36" s="404"/>
      <c r="I36" s="594" t="str">
        <f>IF($T$1=2022,"----------",IF(COUNTBLANK(V42:W46)=10,"",SUMPRODUCT(V42:V46,X42:X46)+SUMPRODUCT(W42:W46,X42:X46)))</f>
        <v/>
      </c>
      <c r="J36" s="405"/>
      <c r="K36" s="406" t="str">
        <f>IF($T$1=2022,"----------",I36)</f>
        <v/>
      </c>
      <c r="L36" s="407" t="s">
        <v>5036</v>
      </c>
      <c r="M36" s="587" t="str">
        <f>IF($T$1=2022,"----------",IF(M33&lt;&gt;"",K36*R36,""))</f>
        <v/>
      </c>
      <c r="N36" s="408"/>
      <c r="O36" s="319"/>
      <c r="P36" s="393"/>
      <c r="Q36" s="393" t="s">
        <v>5107</v>
      </c>
      <c r="R36" s="393">
        <f t="shared" si="23"/>
        <v>8.64</v>
      </c>
      <c r="S36" s="393"/>
      <c r="T36" s="381"/>
      <c r="U36" s="312"/>
      <c r="V36" s="312"/>
      <c r="W36" s="312"/>
      <c r="X36" s="312"/>
      <c r="Y36" s="312"/>
      <c r="Z36" s="312"/>
      <c r="AM36" s="277">
        <v>33</v>
      </c>
      <c r="AN36" s="277" t="s">
        <v>4993</v>
      </c>
      <c r="AO36" s="277" t="s">
        <v>51</v>
      </c>
      <c r="AP36" s="277">
        <f t="shared" si="2"/>
        <v>0</v>
      </c>
      <c r="AQ36" s="277">
        <f t="shared" si="3"/>
        <v>0</v>
      </c>
      <c r="AR36" s="277">
        <f>COUNTIF($AT$4:$AT$10,AN36)</f>
        <v>0</v>
      </c>
    </row>
    <row r="37" spans="2:44" ht="19.350000000000001" customHeight="1">
      <c r="B37" s="312"/>
      <c r="C37" s="400"/>
      <c r="D37" s="386" t="s">
        <v>5110</v>
      </c>
      <c r="E37" s="285"/>
      <c r="F37" s="387"/>
      <c r="G37" s="387"/>
      <c r="H37" s="388"/>
      <c r="I37" s="592" t="str">
        <f>IF(COUNTBLANK(W51:W53)+COUNTBLANK(W57:W58)=5,"",W59)</f>
        <v/>
      </c>
      <c r="J37" s="389"/>
      <c r="K37" s="390" t="str">
        <f>I37</f>
        <v/>
      </c>
      <c r="L37" s="409" t="s">
        <v>5036</v>
      </c>
      <c r="M37" s="585" t="str">
        <f>IF(K37="","",K37*R37)</f>
        <v/>
      </c>
      <c r="N37" s="392" t="str">
        <f>IF(I37="","",SUMPRODUCT(W51:W53,Y51:Y53)+SUMPRODUCT(W57:W58,Y57:Y58))</f>
        <v/>
      </c>
      <c r="O37" s="319"/>
      <c r="P37" s="410" t="s">
        <v>5109</v>
      </c>
      <c r="Q37" s="410" t="s">
        <v>5109</v>
      </c>
      <c r="R37" s="393">
        <f t="shared" si="23"/>
        <v>8.64</v>
      </c>
      <c r="S37" s="411"/>
      <c r="T37" s="381"/>
      <c r="U37" s="398" t="s">
        <v>5095</v>
      </c>
      <c r="V37" s="399" t="s">
        <v>78</v>
      </c>
      <c r="W37" s="412"/>
      <c r="X37" s="312"/>
      <c r="Y37" s="312"/>
      <c r="Z37" s="312"/>
      <c r="AM37" s="277">
        <v>34</v>
      </c>
      <c r="AN37" s="277" t="s">
        <v>4996</v>
      </c>
      <c r="AO37" s="277" t="s">
        <v>4182</v>
      </c>
      <c r="AP37" s="277">
        <f t="shared" si="2"/>
        <v>0</v>
      </c>
      <c r="AQ37" s="277">
        <f t="shared" si="3"/>
        <v>0</v>
      </c>
      <c r="AR37" s="277">
        <f t="shared" ref="AR37:AR60" si="24">COUNTIF($AT$4:$AT$10,AN37)</f>
        <v>0</v>
      </c>
    </row>
    <row r="38" spans="2:44" ht="19.350000000000001" customHeight="1">
      <c r="B38" s="312"/>
      <c r="C38" s="400" t="s">
        <v>5112</v>
      </c>
      <c r="D38" s="401"/>
      <c r="E38" s="176"/>
      <c r="F38" s="413" t="s">
        <v>5108</v>
      </c>
      <c r="G38" s="414"/>
      <c r="H38" s="415"/>
      <c r="I38" s="594" t="str">
        <f>IF($T$1=2022,"----------",IF(COUNTBLANK(W51:W53)+COUNTBLANK(W57:W58)=5,"",SUMPRODUCT(W51:W58,X51:X58)))</f>
        <v/>
      </c>
      <c r="J38" s="405"/>
      <c r="K38" s="416" t="str">
        <f>IF($T$1=2022,"----------",I38)</f>
        <v/>
      </c>
      <c r="L38" s="417" t="s">
        <v>5036</v>
      </c>
      <c r="M38" s="587" t="str">
        <f>IF($T$1=2022,"----------",IF(COUNTBLANK(W51:W53)+COUNTBLANK(W57:W58)=5,"",SUM(AB59)*X59))</f>
        <v/>
      </c>
      <c r="N38" s="408"/>
      <c r="O38" s="319"/>
      <c r="P38" s="410"/>
      <c r="Q38" s="410" t="s">
        <v>5109</v>
      </c>
      <c r="R38" s="393">
        <f t="shared" si="23"/>
        <v>8.64</v>
      </c>
      <c r="S38" s="411"/>
      <c r="T38" s="381"/>
      <c r="U38" s="167"/>
      <c r="V38" s="217"/>
      <c r="W38" s="412"/>
      <c r="X38" s="312"/>
      <c r="Y38" s="312"/>
      <c r="Z38" s="312"/>
      <c r="AM38" s="277">
        <v>35</v>
      </c>
      <c r="AN38" s="277" t="s">
        <v>4997</v>
      </c>
      <c r="AO38" s="277" t="s">
        <v>4182</v>
      </c>
      <c r="AP38" s="277">
        <f t="shared" si="2"/>
        <v>0</v>
      </c>
      <c r="AQ38" s="277">
        <f t="shared" si="3"/>
        <v>0</v>
      </c>
      <c r="AR38" s="277">
        <f t="shared" si="24"/>
        <v>0</v>
      </c>
    </row>
    <row r="39" spans="2:44" ht="19.350000000000001" customHeight="1">
      <c r="B39" s="312"/>
      <c r="C39" s="400"/>
      <c r="D39" s="418" t="s">
        <v>5113</v>
      </c>
      <c r="E39" s="419"/>
      <c r="F39" s="420"/>
      <c r="G39" s="420"/>
      <c r="H39" s="421"/>
      <c r="I39" s="595"/>
      <c r="J39" s="422" t="str">
        <f>IF(V63="","",SUM(V63))</f>
        <v/>
      </c>
      <c r="K39" s="422" t="str">
        <f>IF(J39="","",-SUM(J39))</f>
        <v/>
      </c>
      <c r="L39" s="423" t="s">
        <v>5036</v>
      </c>
      <c r="M39" s="601" t="str">
        <f>IF(K39="","",$K39*W63)</f>
        <v/>
      </c>
      <c r="N39" s="424" t="str">
        <f>IF(J39="","",-SUM(Y63))</f>
        <v/>
      </c>
      <c r="O39" s="319"/>
      <c r="P39" s="393"/>
      <c r="Q39" s="393"/>
      <c r="R39" s="393"/>
      <c r="S39" s="411"/>
      <c r="T39" s="381"/>
      <c r="U39" s="312"/>
      <c r="V39" s="312"/>
      <c r="W39" s="412"/>
      <c r="X39" s="312"/>
      <c r="Y39" s="312"/>
      <c r="Z39" s="312"/>
      <c r="AM39" s="277">
        <v>36</v>
      </c>
      <c r="AN39" s="277" t="s">
        <v>4998</v>
      </c>
      <c r="AO39" s="277" t="s">
        <v>4181</v>
      </c>
      <c r="AP39" s="277">
        <f t="shared" si="2"/>
        <v>0</v>
      </c>
      <c r="AQ39" s="277">
        <f t="shared" si="3"/>
        <v>0</v>
      </c>
      <c r="AR39" s="277">
        <f t="shared" si="24"/>
        <v>0</v>
      </c>
    </row>
    <row r="40" spans="2:44" ht="19.350000000000001" customHeight="1" thickBot="1">
      <c r="B40" s="312"/>
      <c r="C40" s="425"/>
      <c r="D40" s="426" t="s">
        <v>5114</v>
      </c>
      <c r="E40" s="427"/>
      <c r="F40" s="427"/>
      <c r="G40" s="427"/>
      <c r="H40" s="428"/>
      <c r="I40" s="596" t="str">
        <f>IF($T$1=2022,"----------",IF(COUNTBLANK(V67:V70)=4,"",V71))</f>
        <v/>
      </c>
      <c r="J40" s="429"/>
      <c r="K40" s="430" t="str">
        <f>IF($T$1=2022,"----------",IF(I40="","",SUM(I40)))</f>
        <v/>
      </c>
      <c r="L40" s="431" t="s">
        <v>5036</v>
      </c>
      <c r="M40" s="589" t="str">
        <f>IF($T$1=2022,"----------",IF(COUNTBLANK(V67:V70)=4,"",K40*3.6))</f>
        <v/>
      </c>
      <c r="N40" s="432"/>
      <c r="O40" s="319"/>
      <c r="P40" s="433"/>
      <c r="Q40" s="433"/>
      <c r="R40" s="433"/>
      <c r="S40" s="433"/>
      <c r="T40" s="381"/>
      <c r="U40" s="684" t="s">
        <v>5099</v>
      </c>
      <c r="V40" s="659" t="s">
        <v>5100</v>
      </c>
      <c r="W40" s="659" t="s">
        <v>5101</v>
      </c>
      <c r="X40" s="659" t="s">
        <v>5134</v>
      </c>
      <c r="Y40" s="659" t="s">
        <v>5155</v>
      </c>
      <c r="Z40" s="659" t="s">
        <v>5156</v>
      </c>
      <c r="AA40" s="913" t="s">
        <v>5104</v>
      </c>
      <c r="AM40" s="277">
        <v>37</v>
      </c>
      <c r="AN40" s="277" t="s">
        <v>5509</v>
      </c>
      <c r="AO40" s="277" t="s">
        <v>4181</v>
      </c>
      <c r="AP40" s="277">
        <f t="shared" si="2"/>
        <v>0</v>
      </c>
      <c r="AQ40" s="277">
        <f t="shared" si="3"/>
        <v>0</v>
      </c>
      <c r="AR40" s="277">
        <f t="shared" ref="AR40" si="25">COUNTIF($AT$4:$AT$10,AN40)</f>
        <v>0</v>
      </c>
    </row>
    <row r="41" spans="2:44" ht="19.350000000000001" customHeight="1" thickTop="1">
      <c r="B41" s="312"/>
      <c r="C41" s="434"/>
      <c r="D41" s="435"/>
      <c r="E41" s="436"/>
      <c r="F41" s="437" t="s">
        <v>5115</v>
      </c>
      <c r="G41" s="438"/>
      <c r="H41" s="439"/>
      <c r="I41" s="597">
        <f>IF($T$1=2022,"----------",SUM(I36,I38,I40))</f>
        <v>0</v>
      </c>
      <c r="J41" s="440"/>
      <c r="K41" s="441">
        <f>IF($T$1=2022,"----------",SUM(K36,K38,K40))</f>
        <v>0</v>
      </c>
      <c r="L41" s="442" t="s">
        <v>5143</v>
      </c>
      <c r="M41" s="590">
        <f>IF($T$1=2022,"----------",IF(K41="","",SUM(M36,M38,M40)))</f>
        <v>0</v>
      </c>
      <c r="N41" s="443"/>
      <c r="O41" s="319"/>
      <c r="P41" s="444"/>
      <c r="Q41" s="444"/>
      <c r="R41" s="444"/>
      <c r="S41" s="444"/>
      <c r="T41" s="381"/>
      <c r="U41" s="685"/>
      <c r="V41" s="660"/>
      <c r="W41" s="660"/>
      <c r="X41" s="660"/>
      <c r="Y41" s="660"/>
      <c r="Z41" s="660"/>
      <c r="AA41" s="689"/>
      <c r="AM41" s="277">
        <v>38</v>
      </c>
      <c r="AN41" s="277" t="s">
        <v>5001</v>
      </c>
      <c r="AO41" s="277" t="s">
        <v>5002</v>
      </c>
      <c r="AP41" s="277">
        <f t="shared" si="2"/>
        <v>0</v>
      </c>
      <c r="AQ41" s="277">
        <f t="shared" si="3"/>
        <v>0</v>
      </c>
      <c r="AR41" s="277">
        <f t="shared" si="24"/>
        <v>0</v>
      </c>
    </row>
    <row r="42" spans="2:44" ht="19.350000000000001" customHeight="1" thickBot="1">
      <c r="B42" s="312"/>
      <c r="C42" s="771" t="s">
        <v>67</v>
      </c>
      <c r="D42" s="772"/>
      <c r="E42" s="772"/>
      <c r="F42" s="772"/>
      <c r="G42" s="772"/>
      <c r="H42" s="773"/>
      <c r="I42" s="598">
        <f>SUM(I33,I37,I39,I40)</f>
        <v>0</v>
      </c>
      <c r="J42" s="445">
        <f>SUM(J39)</f>
        <v>0</v>
      </c>
      <c r="K42" s="446">
        <f>SUM(K33,K37,K39,K40)</f>
        <v>0</v>
      </c>
      <c r="L42" s="447" t="s">
        <v>5143</v>
      </c>
      <c r="M42" s="591">
        <f>SUM(M33,M37,M39,M40)</f>
        <v>0</v>
      </c>
      <c r="N42" s="448">
        <f>SUM(N33,N37,N39)</f>
        <v>0</v>
      </c>
      <c r="O42" s="319"/>
      <c r="P42"/>
      <c r="Q42"/>
      <c r="R42"/>
      <c r="S42"/>
      <c r="T42" s="381"/>
      <c r="U42" s="219"/>
      <c r="V42" s="449" t="str">
        <f>'計算シート（第１～第３年度）'!Q57</f>
        <v/>
      </c>
      <c r="W42" s="449" t="str">
        <f>'計算シート（第１～第３年度）'!Q58</f>
        <v/>
      </c>
      <c r="X42" s="220"/>
      <c r="Y42" s="221"/>
      <c r="Z42" s="449" t="str">
        <f>IF(OR(U42="",V42=""),"",V42*Y42)</f>
        <v/>
      </c>
      <c r="AA42" s="450" t="str">
        <f>IF(OR(U42="",W42=""),"",W42*Y42)</f>
        <v/>
      </c>
      <c r="AM42" s="277">
        <v>39</v>
      </c>
      <c r="AN42" s="277" t="s">
        <v>5004</v>
      </c>
      <c r="AO42" s="277" t="s">
        <v>4182</v>
      </c>
      <c r="AP42" s="277">
        <f t="shared" si="2"/>
        <v>0</v>
      </c>
      <c r="AQ42" s="277">
        <f t="shared" si="3"/>
        <v>0</v>
      </c>
      <c r="AR42" s="277">
        <f t="shared" si="24"/>
        <v>0</v>
      </c>
    </row>
    <row r="43" spans="2:44" ht="19.350000000000001" customHeight="1">
      <c r="C43" s="451"/>
      <c r="D43" s="451"/>
      <c r="E43" s="451"/>
      <c r="F43" s="451"/>
      <c r="G43" s="451"/>
      <c r="H43" s="451"/>
      <c r="I43" s="451"/>
      <c r="J43" s="451"/>
      <c r="K43" s="451"/>
      <c r="L43" s="451"/>
      <c r="M43" s="451"/>
      <c r="N43" s="451"/>
      <c r="O43" s="319"/>
      <c r="P43"/>
      <c r="Q43"/>
      <c r="R43"/>
      <c r="S43"/>
      <c r="T43" s="381"/>
      <c r="U43" s="219"/>
      <c r="V43" s="449" t="str">
        <f>'計算シート（第１～第３年度）'!Q59</f>
        <v/>
      </c>
      <c r="W43" s="449" t="str">
        <f>'計算シート（第１～第３年度）'!Q60</f>
        <v/>
      </c>
      <c r="X43" s="220"/>
      <c r="Y43" s="221"/>
      <c r="Z43" s="449" t="str">
        <f t="shared" ref="Z43:Z46" si="26">IF(OR(U43="",V43=""),"",V43*Y43)</f>
        <v/>
      </c>
      <c r="AA43" s="450" t="str">
        <f t="shared" ref="AA43:AA46" si="27">IF(OR(U43="",W43=""),"",W43*Y43)</f>
        <v/>
      </c>
      <c r="AM43" s="277">
        <v>40</v>
      </c>
      <c r="AN43" s="277" t="s">
        <v>5005</v>
      </c>
      <c r="AO43" s="277" t="s">
        <v>4182</v>
      </c>
      <c r="AP43" s="277">
        <f t="shared" si="2"/>
        <v>0</v>
      </c>
      <c r="AQ43" s="277">
        <f t="shared" si="3"/>
        <v>0</v>
      </c>
      <c r="AR43" s="277">
        <f t="shared" si="24"/>
        <v>0</v>
      </c>
    </row>
    <row r="44" spans="2:44" ht="19.350000000000001" customHeight="1" thickBot="1">
      <c r="C44" s="339" t="s">
        <v>5087</v>
      </c>
      <c r="H44" s="292"/>
      <c r="I44" s="1"/>
      <c r="J44" s="1"/>
      <c r="K44" s="1"/>
      <c r="L44" s="1"/>
      <c r="M44" s="1"/>
      <c r="N44" s="1"/>
      <c r="O44" s="319"/>
      <c r="P44"/>
      <c r="Q44"/>
      <c r="R44"/>
      <c r="S44"/>
      <c r="T44" s="381"/>
      <c r="U44" s="222"/>
      <c r="V44" s="449" t="str">
        <f>'計算シート（第１～第３年度）'!Q61</f>
        <v/>
      </c>
      <c r="W44" s="449" t="str">
        <f>'計算シート（第１～第３年度）'!Q62</f>
        <v/>
      </c>
      <c r="X44" s="220"/>
      <c r="Y44" s="221"/>
      <c r="Z44" s="449" t="str">
        <f t="shared" si="26"/>
        <v/>
      </c>
      <c r="AA44" s="450" t="str">
        <f t="shared" si="27"/>
        <v/>
      </c>
      <c r="AM44" s="277">
        <v>41</v>
      </c>
      <c r="AN44" s="277" t="s">
        <v>5006</v>
      </c>
      <c r="AO44" s="277" t="s">
        <v>4182</v>
      </c>
      <c r="AP44" s="277">
        <f t="shared" si="2"/>
        <v>0</v>
      </c>
      <c r="AQ44" s="277">
        <f t="shared" si="3"/>
        <v>0</v>
      </c>
      <c r="AR44" s="277">
        <f t="shared" si="24"/>
        <v>0</v>
      </c>
    </row>
    <row r="45" spans="2:44" ht="19.350000000000001" customHeight="1">
      <c r="C45" s="748" t="s">
        <v>5121</v>
      </c>
      <c r="D45" s="749"/>
      <c r="E45" s="749"/>
      <c r="F45" s="758"/>
      <c r="G45" s="754" t="s">
        <v>5084</v>
      </c>
      <c r="H45" s="755"/>
      <c r="I45" s="1"/>
      <c r="J45" s="1"/>
      <c r="K45" s="1"/>
      <c r="L45" s="1"/>
      <c r="M45" s="1"/>
      <c r="N45" s="1"/>
      <c r="O45" s="319"/>
      <c r="P45"/>
      <c r="Q45"/>
      <c r="R45"/>
      <c r="S45"/>
      <c r="T45" s="381"/>
      <c r="U45" s="222"/>
      <c r="V45" s="449" t="str">
        <f>'計算シート（第１～第３年度）'!Q63</f>
        <v/>
      </c>
      <c r="W45" s="453" t="str">
        <f>'計算シート（第１～第３年度）'!Q64</f>
        <v/>
      </c>
      <c r="X45" s="220"/>
      <c r="Y45" s="221"/>
      <c r="Z45" s="449" t="str">
        <f t="shared" si="26"/>
        <v/>
      </c>
      <c r="AA45" s="450" t="str">
        <f t="shared" si="27"/>
        <v/>
      </c>
      <c r="AM45" s="277">
        <v>42</v>
      </c>
      <c r="AN45" s="277" t="s">
        <v>5007</v>
      </c>
      <c r="AO45" s="277" t="s">
        <v>4182</v>
      </c>
      <c r="AP45" s="277">
        <f t="shared" si="2"/>
        <v>0</v>
      </c>
      <c r="AQ45" s="277">
        <f t="shared" si="3"/>
        <v>0</v>
      </c>
      <c r="AR45" s="277">
        <f t="shared" si="24"/>
        <v>0</v>
      </c>
    </row>
    <row r="46" spans="2:44" ht="19.350000000000001" customHeight="1" thickBot="1">
      <c r="C46" s="776"/>
      <c r="D46" s="777"/>
      <c r="E46" s="777"/>
      <c r="F46" s="778"/>
      <c r="G46" s="774"/>
      <c r="H46" s="775"/>
      <c r="N46" s="1"/>
      <c r="O46" s="319"/>
      <c r="P46"/>
      <c r="Q46"/>
      <c r="R46"/>
      <c r="S46"/>
      <c r="T46" s="1"/>
      <c r="U46" s="223"/>
      <c r="V46" s="449" t="str">
        <f>'計算シート（第１～第３年度）'!Q65</f>
        <v/>
      </c>
      <c r="W46" s="453" t="str">
        <f>'計算シート（第１～第３年度）'!Q66</f>
        <v/>
      </c>
      <c r="X46" s="220"/>
      <c r="Y46" s="221"/>
      <c r="Z46" s="449" t="str">
        <f t="shared" si="26"/>
        <v/>
      </c>
      <c r="AA46" s="450" t="str">
        <f t="shared" si="27"/>
        <v/>
      </c>
      <c r="AM46" s="277">
        <v>43</v>
      </c>
      <c r="AN46" s="277" t="s">
        <v>5008</v>
      </c>
      <c r="AO46" s="277" t="s">
        <v>4182</v>
      </c>
      <c r="AP46" s="277">
        <f t="shared" si="2"/>
        <v>0</v>
      </c>
      <c r="AQ46" s="277">
        <f t="shared" si="3"/>
        <v>0</v>
      </c>
      <c r="AR46" s="277">
        <f t="shared" si="24"/>
        <v>0</v>
      </c>
    </row>
    <row r="47" spans="2:44" ht="19.350000000000001" customHeight="1" thickTop="1">
      <c r="C47" s="454" t="s">
        <v>5122</v>
      </c>
      <c r="D47" s="454"/>
      <c r="E47" s="302"/>
      <c r="F47" s="302"/>
      <c r="G47" s="767"/>
      <c r="H47" s="768"/>
      <c r="N47" s="1"/>
      <c r="O47" s="319"/>
      <c r="P47"/>
      <c r="Q47"/>
      <c r="R47"/>
      <c r="S47"/>
      <c r="T47" s="1"/>
      <c r="U47" s="455" t="s">
        <v>106</v>
      </c>
      <c r="V47" s="456" t="str">
        <f>IF(COUNTBLANK(V42:V46)=5,"",SUM(V42:V46))</f>
        <v/>
      </c>
      <c r="W47" s="456" t="str">
        <f>IF(COUNTBLANK(W42:W46)=5,"",SUM(W42:W46))</f>
        <v/>
      </c>
      <c r="X47" s="457">
        <f>IF(SUM(V47,W47)=0,0,SUM(SUMPRODUCT(V42:V46,X42:X46),SUMPRODUCT(W42:W46,X42:X46))/SUM(V47,W47))</f>
        <v>0</v>
      </c>
      <c r="Y47" s="458"/>
      <c r="Z47" s="459">
        <f>SUM(Z42:Z46)</f>
        <v>0</v>
      </c>
      <c r="AA47" s="460">
        <f>SUM(AA42:AA46)</f>
        <v>0</v>
      </c>
      <c r="AM47" s="277">
        <v>44</v>
      </c>
      <c r="AN47" s="277" t="s">
        <v>5011</v>
      </c>
      <c r="AO47" s="277" t="s">
        <v>4182</v>
      </c>
      <c r="AP47" s="277">
        <f t="shared" si="2"/>
        <v>0</v>
      </c>
      <c r="AQ47" s="277">
        <f t="shared" si="3"/>
        <v>0</v>
      </c>
      <c r="AR47" s="277">
        <f t="shared" si="24"/>
        <v>0</v>
      </c>
    </row>
    <row r="48" spans="2:44" ht="19.350000000000001" customHeight="1">
      <c r="C48" s="454" t="s">
        <v>5123</v>
      </c>
      <c r="D48" s="454"/>
      <c r="E48" s="302"/>
      <c r="F48" s="302"/>
      <c r="G48" s="710"/>
      <c r="H48" s="711"/>
      <c r="O48" s="319"/>
      <c r="P48"/>
      <c r="Q48"/>
      <c r="R48"/>
      <c r="S48"/>
      <c r="T48" s="1"/>
      <c r="U48" s="461"/>
      <c r="V48" s="462"/>
      <c r="W48" s="462"/>
      <c r="X48" s="463"/>
      <c r="Y48" s="462"/>
      <c r="Z48" s="464"/>
      <c r="AA48" s="464"/>
      <c r="AB48" s="312"/>
      <c r="AM48" s="277">
        <v>45</v>
      </c>
      <c r="AN48" s="277" t="s">
        <v>5013</v>
      </c>
      <c r="AO48" s="277" t="s">
        <v>4181</v>
      </c>
      <c r="AP48" s="277">
        <f t="shared" si="2"/>
        <v>0</v>
      </c>
      <c r="AQ48" s="277">
        <f t="shared" si="3"/>
        <v>0</v>
      </c>
      <c r="AR48" s="277">
        <f t="shared" si="24"/>
        <v>0</v>
      </c>
    </row>
    <row r="49" spans="3:44" ht="19.350000000000001" customHeight="1">
      <c r="C49" s="454" t="s">
        <v>5124</v>
      </c>
      <c r="D49" s="454"/>
      <c r="E49" s="302"/>
      <c r="F49" s="302"/>
      <c r="G49" s="710"/>
      <c r="H49" s="711"/>
      <c r="N49" s="1"/>
      <c r="O49" s="319"/>
      <c r="P49"/>
      <c r="Q49"/>
      <c r="R49"/>
      <c r="S49"/>
      <c r="T49" s="1"/>
      <c r="U49" s="678" t="s">
        <v>5116</v>
      </c>
      <c r="V49" s="679"/>
      <c r="W49" s="659" t="s">
        <v>3096</v>
      </c>
      <c r="X49" s="659" t="s">
        <v>5134</v>
      </c>
      <c r="Y49" s="659" t="s">
        <v>5155</v>
      </c>
      <c r="Z49" s="659" t="s">
        <v>5158</v>
      </c>
      <c r="AA49" s="659" t="s">
        <v>3094</v>
      </c>
      <c r="AB49" s="690" t="s">
        <v>5117</v>
      </c>
      <c r="AM49" s="277">
        <v>46</v>
      </c>
      <c r="AN49" s="277" t="s">
        <v>5014</v>
      </c>
      <c r="AO49" s="277" t="s">
        <v>5002</v>
      </c>
      <c r="AP49" s="277">
        <f t="shared" si="2"/>
        <v>0</v>
      </c>
      <c r="AQ49" s="277">
        <f t="shared" si="3"/>
        <v>0</v>
      </c>
      <c r="AR49" s="277">
        <f t="shared" si="24"/>
        <v>0</v>
      </c>
    </row>
    <row r="50" spans="3:44" ht="19.350000000000001" customHeight="1">
      <c r="C50" s="454" t="s">
        <v>123</v>
      </c>
      <c r="D50" s="454"/>
      <c r="E50" s="302"/>
      <c r="F50" s="302"/>
      <c r="G50" s="710"/>
      <c r="H50" s="711"/>
      <c r="N50" s="1"/>
      <c r="O50" s="319"/>
      <c r="P50"/>
      <c r="Q50"/>
      <c r="R50"/>
      <c r="S50"/>
      <c r="T50" s="1"/>
      <c r="U50" s="680"/>
      <c r="V50" s="681"/>
      <c r="W50" s="660"/>
      <c r="X50" s="660"/>
      <c r="Y50" s="660"/>
      <c r="Z50" s="660"/>
      <c r="AA50" s="660"/>
      <c r="AB50" s="691"/>
      <c r="AM50" s="277">
        <v>47</v>
      </c>
      <c r="AN50" s="277" t="s">
        <v>5015</v>
      </c>
      <c r="AO50" s="277" t="s">
        <v>4182</v>
      </c>
      <c r="AP50" s="277">
        <f t="shared" si="2"/>
        <v>0</v>
      </c>
      <c r="AQ50" s="277">
        <f t="shared" si="3"/>
        <v>0</v>
      </c>
      <c r="AR50" s="277">
        <f t="shared" si="24"/>
        <v>0</v>
      </c>
    </row>
    <row r="51" spans="3:44" ht="19.350000000000001" customHeight="1">
      <c r="C51" s="454" t="s">
        <v>124</v>
      </c>
      <c r="D51" s="454"/>
      <c r="E51" s="302"/>
      <c r="F51" s="302"/>
      <c r="G51" s="710"/>
      <c r="H51" s="711"/>
      <c r="N51" s="1"/>
      <c r="O51" s="319"/>
      <c r="P51"/>
      <c r="Q51"/>
      <c r="R51"/>
      <c r="S51"/>
      <c r="T51" s="1"/>
      <c r="U51" s="465" t="s">
        <v>5118</v>
      </c>
      <c r="V51" s="466"/>
      <c r="W51" s="224"/>
      <c r="X51" s="467">
        <v>1</v>
      </c>
      <c r="Y51" s="468"/>
      <c r="Z51" s="453" t="str">
        <f>IF(W51="","",W51*Y51)</f>
        <v/>
      </c>
      <c r="AA51" s="469">
        <v>3.6</v>
      </c>
      <c r="AB51" s="449" t="str">
        <f>IF(W51="","",W51*AA51)</f>
        <v/>
      </c>
      <c r="AM51" s="277">
        <v>48</v>
      </c>
      <c r="AN51" s="277" t="s">
        <v>5016</v>
      </c>
      <c r="AO51" s="277" t="s">
        <v>4182</v>
      </c>
      <c r="AP51" s="277">
        <f t="shared" si="2"/>
        <v>0</v>
      </c>
      <c r="AQ51" s="277">
        <f t="shared" si="3"/>
        <v>0</v>
      </c>
      <c r="AR51" s="277">
        <f t="shared" si="24"/>
        <v>0</v>
      </c>
    </row>
    <row r="52" spans="3:44" ht="19.350000000000001" customHeight="1">
      <c r="C52" s="454" t="s">
        <v>5125</v>
      </c>
      <c r="D52" s="454"/>
      <c r="E52" s="302"/>
      <c r="F52" s="302"/>
      <c r="G52" s="710"/>
      <c r="H52" s="711"/>
      <c r="N52" s="1"/>
      <c r="O52" s="319"/>
      <c r="P52"/>
      <c r="Q52"/>
      <c r="R52"/>
      <c r="S52"/>
      <c r="T52" s="1"/>
      <c r="U52" s="692" t="s">
        <v>5119</v>
      </c>
      <c r="V52" s="693"/>
      <c r="W52" s="224"/>
      <c r="X52" s="467">
        <v>1</v>
      </c>
      <c r="Y52" s="468"/>
      <c r="Z52" s="453" t="str">
        <f>IF(W52="","",W52*Y52)</f>
        <v/>
      </c>
      <c r="AA52" s="469">
        <v>3.6</v>
      </c>
      <c r="AB52" s="449" t="str">
        <f t="shared" ref="AB52:AB53" si="28">IF(W52="","",W52*AA52)</f>
        <v/>
      </c>
      <c r="AM52" s="277">
        <v>49</v>
      </c>
      <c r="AN52" s="277" t="s">
        <v>5017</v>
      </c>
      <c r="AO52" s="277" t="s">
        <v>4182</v>
      </c>
      <c r="AP52" s="277">
        <f t="shared" si="2"/>
        <v>0</v>
      </c>
      <c r="AQ52" s="277">
        <f t="shared" si="3"/>
        <v>0</v>
      </c>
      <c r="AR52" s="277">
        <f t="shared" si="24"/>
        <v>0</v>
      </c>
    </row>
    <row r="53" spans="3:44" ht="19.350000000000001" customHeight="1" thickBot="1">
      <c r="C53" s="470" t="s">
        <v>5126</v>
      </c>
      <c r="D53" s="470"/>
      <c r="E53" s="471"/>
      <c r="F53" s="471"/>
      <c r="G53" s="717"/>
      <c r="H53" s="718"/>
      <c r="N53" s="1"/>
      <c r="O53" s="319"/>
      <c r="P53"/>
      <c r="Q53"/>
      <c r="R53"/>
      <c r="S53"/>
      <c r="T53" s="1"/>
      <c r="U53" s="472" t="s">
        <v>5120</v>
      </c>
      <c r="V53" s="466"/>
      <c r="W53" s="225"/>
      <c r="X53" s="220"/>
      <c r="Y53" s="217"/>
      <c r="Z53" s="453" t="str">
        <f>IF(W53="","",W53*Y53)</f>
        <v/>
      </c>
      <c r="AA53" s="469">
        <v>8.64</v>
      </c>
      <c r="AB53" s="449" t="str">
        <f t="shared" si="28"/>
        <v/>
      </c>
      <c r="AM53" s="277">
        <v>50</v>
      </c>
      <c r="AN53" s="277" t="s">
        <v>5130</v>
      </c>
      <c r="AO53" s="277" t="s">
        <v>115</v>
      </c>
      <c r="AP53" s="277">
        <f t="shared" si="2"/>
        <v>0</v>
      </c>
      <c r="AQ53" s="277">
        <f t="shared" si="3"/>
        <v>0</v>
      </c>
      <c r="AR53" s="277">
        <f t="shared" si="24"/>
        <v>0</v>
      </c>
    </row>
    <row r="54" spans="3:44" ht="19.350000000000001" customHeight="1" thickTop="1" thickBot="1">
      <c r="C54" s="714" t="s">
        <v>126</v>
      </c>
      <c r="D54" s="715"/>
      <c r="E54" s="715"/>
      <c r="F54" s="716"/>
      <c r="G54" s="769" t="str">
        <f t="shared" ref="G54" si="29">IF(COUNTBLANK(G47:G53)=7,"",SUM(G47:G53))</f>
        <v/>
      </c>
      <c r="H54" s="770"/>
      <c r="I54" s="1"/>
      <c r="J54" s="1"/>
      <c r="K54" s="1"/>
      <c r="L54" s="1"/>
      <c r="M54" s="1"/>
      <c r="N54" s="1"/>
      <c r="O54" s="319"/>
      <c r="P54"/>
      <c r="Q54"/>
      <c r="R54"/>
      <c r="S54"/>
      <c r="T54" s="381"/>
      <c r="U54" s="473"/>
      <c r="V54" s="474"/>
      <c r="W54" s="475"/>
      <c r="X54" s="476"/>
      <c r="Y54" s="477"/>
      <c r="Z54" s="475"/>
      <c r="AA54" s="475"/>
      <c r="AB54" s="478"/>
      <c r="AC54" s="381"/>
      <c r="AM54" s="277">
        <v>51</v>
      </c>
      <c r="AN54" s="277" t="s">
        <v>5024</v>
      </c>
      <c r="AO54" s="277" t="s">
        <v>115</v>
      </c>
      <c r="AP54" s="277">
        <f t="shared" si="2"/>
        <v>0</v>
      </c>
      <c r="AQ54" s="277">
        <f t="shared" si="3"/>
        <v>0</v>
      </c>
      <c r="AR54" s="277">
        <f t="shared" si="24"/>
        <v>0</v>
      </c>
    </row>
    <row r="55" spans="3:44" ht="19.350000000000001" customHeight="1">
      <c r="I55" s="1"/>
      <c r="J55" s="1"/>
      <c r="K55" s="1"/>
      <c r="L55" s="1"/>
      <c r="M55" s="1"/>
      <c r="N55" s="1"/>
      <c r="O55" s="319"/>
      <c r="P55"/>
      <c r="Q55"/>
      <c r="R55"/>
      <c r="S55"/>
      <c r="T55" s="381"/>
      <c r="U55" s="479"/>
      <c r="V55" s="694" t="s">
        <v>73</v>
      </c>
      <c r="W55" s="659" t="s">
        <v>3096</v>
      </c>
      <c r="X55" s="659" t="s">
        <v>5134</v>
      </c>
      <c r="Y55" s="659" t="s">
        <v>5155</v>
      </c>
      <c r="Z55" s="659" t="s">
        <v>5158</v>
      </c>
      <c r="AA55" s="659" t="s">
        <v>3094</v>
      </c>
      <c r="AB55" s="690" t="s">
        <v>5117</v>
      </c>
      <c r="AM55" s="277">
        <v>52</v>
      </c>
      <c r="AN55" s="277" t="s">
        <v>5025</v>
      </c>
      <c r="AO55" s="277" t="s">
        <v>115</v>
      </c>
      <c r="AP55" s="277">
        <f t="shared" si="2"/>
        <v>0</v>
      </c>
      <c r="AQ55" s="277">
        <f t="shared" si="3"/>
        <v>0</v>
      </c>
      <c r="AR55" s="277">
        <f t="shared" si="24"/>
        <v>0</v>
      </c>
    </row>
    <row r="56" spans="3:44" ht="19.350000000000001" customHeight="1" thickBot="1">
      <c r="C56" s="339" t="s">
        <v>127</v>
      </c>
      <c r="D56" s="339"/>
      <c r="E56" s="381"/>
      <c r="F56" s="381"/>
      <c r="G56" s="381"/>
      <c r="H56" s="381"/>
      <c r="I56" s="381"/>
      <c r="J56" s="381"/>
      <c r="K56" s="381"/>
      <c r="L56" s="381"/>
      <c r="M56" s="381"/>
      <c r="N56" s="381"/>
      <c r="O56" s="319"/>
      <c r="P56"/>
      <c r="Q56"/>
      <c r="R56"/>
      <c r="S56"/>
      <c r="T56" s="381"/>
      <c r="U56" s="479" t="s">
        <v>111</v>
      </c>
      <c r="V56" s="695"/>
      <c r="W56" s="660"/>
      <c r="X56" s="660"/>
      <c r="Y56" s="660"/>
      <c r="Z56" s="660"/>
      <c r="AA56" s="660"/>
      <c r="AB56" s="691"/>
      <c r="AM56" s="277">
        <v>53</v>
      </c>
      <c r="AN56" s="277" t="s">
        <v>5026</v>
      </c>
      <c r="AO56" s="277" t="s">
        <v>116</v>
      </c>
      <c r="AP56" s="277">
        <f t="shared" si="2"/>
        <v>0</v>
      </c>
      <c r="AQ56" s="277">
        <f t="shared" si="3"/>
        <v>0</v>
      </c>
      <c r="AR56" s="277">
        <f t="shared" si="24"/>
        <v>0</v>
      </c>
    </row>
    <row r="57" spans="3:44" ht="19.350000000000001" customHeight="1">
      <c r="C57" s="748" t="s">
        <v>5131</v>
      </c>
      <c r="D57" s="749"/>
      <c r="E57" s="749"/>
      <c r="F57" s="758"/>
      <c r="G57" s="754" t="s">
        <v>5084</v>
      </c>
      <c r="H57" s="755"/>
      <c r="I57" s="381"/>
      <c r="J57" s="381"/>
      <c r="K57" s="381"/>
      <c r="L57" s="381"/>
      <c r="M57" s="381"/>
      <c r="N57" s="381"/>
      <c r="O57" s="319"/>
      <c r="P57"/>
      <c r="Q57"/>
      <c r="R57"/>
      <c r="S57"/>
      <c r="T57" s="381"/>
      <c r="U57" s="480"/>
      <c r="V57" s="225"/>
      <c r="W57" s="225"/>
      <c r="X57" s="220"/>
      <c r="Y57" s="221"/>
      <c r="Z57" s="449" t="str">
        <f t="shared" ref="Z57:Z58" si="30">IF(W57="","",W57*Y57)</f>
        <v/>
      </c>
      <c r="AA57" s="469">
        <v>8.64</v>
      </c>
      <c r="AB57" s="481">
        <f>W57*AA57</f>
        <v>0</v>
      </c>
      <c r="AC57" s="1"/>
      <c r="AM57" s="277">
        <v>54</v>
      </c>
      <c r="AN57" s="277" t="s">
        <v>5029</v>
      </c>
      <c r="AO57" s="277" t="s">
        <v>116</v>
      </c>
      <c r="AP57" s="277">
        <f t="shared" si="2"/>
        <v>0</v>
      </c>
      <c r="AQ57" s="277">
        <f t="shared" si="3"/>
        <v>0</v>
      </c>
      <c r="AR57" s="277">
        <f t="shared" si="24"/>
        <v>0</v>
      </c>
    </row>
    <row r="58" spans="3:44" ht="19.350000000000001" customHeight="1" thickBot="1">
      <c r="C58" s="759"/>
      <c r="D58" s="760"/>
      <c r="E58" s="760"/>
      <c r="F58" s="761"/>
      <c r="G58" s="756"/>
      <c r="H58" s="757"/>
      <c r="I58" s="381"/>
      <c r="J58" s="381"/>
      <c r="K58" s="381"/>
      <c r="L58" s="381"/>
      <c r="M58" s="381"/>
      <c r="N58" s="381"/>
      <c r="O58" s="319"/>
      <c r="P58"/>
      <c r="Q58"/>
      <c r="R58"/>
      <c r="S58"/>
      <c r="T58" s="381"/>
      <c r="U58" s="482"/>
      <c r="V58" s="225"/>
      <c r="W58" s="225"/>
      <c r="X58" s="220"/>
      <c r="Y58" s="221"/>
      <c r="Z58" s="449" t="str">
        <f t="shared" si="30"/>
        <v/>
      </c>
      <c r="AA58" s="469">
        <v>8.64</v>
      </c>
      <c r="AB58" s="483">
        <f t="shared" ref="AB58" si="31">W58*AA58</f>
        <v>0</v>
      </c>
      <c r="AM58" s="277">
        <v>55</v>
      </c>
      <c r="AN58" s="277" t="s">
        <v>5030</v>
      </c>
      <c r="AO58" s="277" t="s">
        <v>116</v>
      </c>
      <c r="AP58" s="277">
        <f t="shared" si="2"/>
        <v>0</v>
      </c>
      <c r="AQ58" s="277">
        <f t="shared" si="3"/>
        <v>0</v>
      </c>
      <c r="AR58" s="277">
        <f t="shared" si="24"/>
        <v>0</v>
      </c>
    </row>
    <row r="59" spans="3:44" ht="19.350000000000001" customHeight="1" thickTop="1">
      <c r="C59" s="764"/>
      <c r="D59" s="765"/>
      <c r="E59" s="765"/>
      <c r="F59" s="766"/>
      <c r="G59" s="762"/>
      <c r="H59" s="763"/>
      <c r="I59" s="381"/>
      <c r="J59" s="381"/>
      <c r="K59" s="381"/>
      <c r="L59" s="381"/>
      <c r="M59" s="381"/>
      <c r="N59" s="381"/>
      <c r="O59" s="319"/>
      <c r="P59"/>
      <c r="Q59"/>
      <c r="R59"/>
      <c r="S59"/>
      <c r="T59" s="1"/>
      <c r="U59" s="455" t="s">
        <v>106</v>
      </c>
      <c r="V59" s="458"/>
      <c r="W59" s="456">
        <f>SUM(W51:W53,W57:W58)</f>
        <v>0</v>
      </c>
      <c r="X59" s="457">
        <f>IF(W59=0,0,(SUMPRODUCT(W57:W58,X57:X58)+SUMPRODUCT(X51:X53,W51:W53))/W59)</f>
        <v>0</v>
      </c>
      <c r="Y59" s="458"/>
      <c r="Z59" s="456">
        <f>SUM(Z51:Z53,Z57:Z58)</f>
        <v>0</v>
      </c>
      <c r="AA59" s="458"/>
      <c r="AB59" s="456">
        <f>SUM(AB51:AB53,AB57:AB58)</f>
        <v>0</v>
      </c>
      <c r="AM59" s="277">
        <v>56</v>
      </c>
      <c r="AN59" s="277" t="s">
        <v>5031</v>
      </c>
      <c r="AO59" s="277" t="s">
        <v>116</v>
      </c>
      <c r="AP59" s="277">
        <f t="shared" si="2"/>
        <v>0</v>
      </c>
      <c r="AQ59" s="277">
        <f t="shared" si="3"/>
        <v>0</v>
      </c>
      <c r="AR59" s="277">
        <f t="shared" si="24"/>
        <v>0</v>
      </c>
    </row>
    <row r="60" spans="3:44" ht="19.350000000000001" customHeight="1">
      <c r="C60" s="707"/>
      <c r="D60" s="708"/>
      <c r="E60" s="708"/>
      <c r="F60" s="709"/>
      <c r="G60" s="710"/>
      <c r="H60" s="711"/>
      <c r="I60" s="381"/>
      <c r="J60" s="381"/>
      <c r="K60" s="381"/>
      <c r="L60" s="381"/>
      <c r="M60" s="381"/>
      <c r="N60" s="381"/>
      <c r="O60" s="319"/>
      <c r="P60"/>
      <c r="Q60"/>
      <c r="R60"/>
      <c r="S60"/>
      <c r="T60" s="1"/>
      <c r="U60" s="377"/>
      <c r="V60" s="377"/>
      <c r="W60" s="377"/>
      <c r="X60" s="377"/>
      <c r="Y60" s="484"/>
      <c r="Z60" s="312"/>
      <c r="AA60" s="312"/>
      <c r="AB60" s="312"/>
      <c r="AM60" s="277">
        <v>57</v>
      </c>
      <c r="AN60" s="277" t="s">
        <v>5032</v>
      </c>
      <c r="AO60" s="277" t="s">
        <v>116</v>
      </c>
      <c r="AP60" s="277">
        <f t="shared" si="2"/>
        <v>0</v>
      </c>
      <c r="AQ60" s="277">
        <f t="shared" si="3"/>
        <v>0</v>
      </c>
      <c r="AR60" s="277">
        <f t="shared" si="24"/>
        <v>0</v>
      </c>
    </row>
    <row r="61" spans="3:44" ht="19.350000000000001" customHeight="1">
      <c r="C61" s="707"/>
      <c r="D61" s="708"/>
      <c r="E61" s="708"/>
      <c r="F61" s="709"/>
      <c r="G61" s="710"/>
      <c r="H61" s="711"/>
      <c r="I61" s="381"/>
      <c r="J61" s="381"/>
      <c r="K61" s="381"/>
      <c r="L61" s="381"/>
      <c r="M61" s="381"/>
      <c r="N61" s="381"/>
      <c r="O61" s="319"/>
      <c r="P61"/>
      <c r="Q61"/>
      <c r="R61"/>
      <c r="S61"/>
      <c r="T61" s="1"/>
      <c r="U61" s="686"/>
      <c r="V61" s="659" t="s">
        <v>3095</v>
      </c>
      <c r="W61" s="659" t="s">
        <v>3094</v>
      </c>
      <c r="X61" s="659" t="s">
        <v>5155</v>
      </c>
      <c r="Y61" s="659" t="s">
        <v>5159</v>
      </c>
      <c r="Z61" s="312"/>
      <c r="AA61" s="312"/>
      <c r="AB61" s="312"/>
      <c r="AD61" s="381"/>
    </row>
    <row r="62" spans="3:44" ht="19.350000000000001" customHeight="1">
      <c r="C62" s="707"/>
      <c r="D62" s="708"/>
      <c r="E62" s="708"/>
      <c r="F62" s="709"/>
      <c r="G62" s="710"/>
      <c r="H62" s="711"/>
      <c r="I62" s="381"/>
      <c r="J62" s="381"/>
      <c r="K62" s="381"/>
      <c r="L62" s="381"/>
      <c r="M62" s="381"/>
      <c r="N62" s="381"/>
      <c r="O62" s="319"/>
      <c r="P62"/>
      <c r="Q62"/>
      <c r="R62"/>
      <c r="S62"/>
      <c r="T62" s="1"/>
      <c r="U62" s="687"/>
      <c r="V62" s="660"/>
      <c r="W62" s="660"/>
      <c r="X62" s="660"/>
      <c r="Y62" s="660"/>
      <c r="Z62" s="312"/>
      <c r="AA62" s="312"/>
      <c r="AB62" s="312"/>
      <c r="AD62" s="381"/>
    </row>
    <row r="63" spans="3:44" ht="19.350000000000001" customHeight="1">
      <c r="C63" s="707"/>
      <c r="D63" s="708"/>
      <c r="E63" s="708"/>
      <c r="F63" s="709"/>
      <c r="G63" s="710"/>
      <c r="H63" s="711"/>
      <c r="I63" s="381"/>
      <c r="J63" s="381"/>
      <c r="K63" s="381"/>
      <c r="L63" s="381"/>
      <c r="M63" s="381"/>
      <c r="N63" s="381"/>
      <c r="O63" s="381"/>
      <c r="P63"/>
      <c r="Q63"/>
      <c r="R63"/>
      <c r="S63"/>
      <c r="T63" s="1"/>
      <c r="U63" s="485" t="s">
        <v>5127</v>
      </c>
      <c r="V63" s="224"/>
      <c r="W63" s="217"/>
      <c r="X63" s="218"/>
      <c r="Y63" s="449" t="str">
        <f>IF(V63="","",V63*X63)</f>
        <v/>
      </c>
      <c r="Z63" s="312"/>
      <c r="AA63" s="312"/>
      <c r="AB63" s="312"/>
      <c r="AD63" s="381"/>
    </row>
    <row r="64" spans="3:44" ht="19.350000000000001" customHeight="1">
      <c r="C64" s="707"/>
      <c r="D64" s="708"/>
      <c r="E64" s="708"/>
      <c r="F64" s="709"/>
      <c r="G64" s="710"/>
      <c r="H64" s="711"/>
      <c r="I64" s="381"/>
      <c r="J64" s="381"/>
      <c r="K64" s="381"/>
      <c r="L64" s="381"/>
      <c r="M64" s="381"/>
      <c r="N64" s="381"/>
      <c r="O64" s="381"/>
      <c r="P64"/>
      <c r="Q64"/>
      <c r="R64"/>
      <c r="S64"/>
      <c r="T64" s="1"/>
      <c r="U64" s="377"/>
      <c r="V64" s="377"/>
      <c r="W64" s="377"/>
      <c r="X64" s="377"/>
      <c r="Y64" s="484"/>
      <c r="Z64" s="312"/>
      <c r="AA64" s="312"/>
      <c r="AB64" s="484"/>
      <c r="AD64" s="381"/>
    </row>
    <row r="65" spans="3:43" ht="19.350000000000001" customHeight="1" thickBot="1">
      <c r="C65" s="719"/>
      <c r="D65" s="720"/>
      <c r="E65" s="720"/>
      <c r="F65" s="721"/>
      <c r="G65" s="717"/>
      <c r="H65" s="718"/>
      <c r="I65" s="381"/>
      <c r="J65" s="381"/>
      <c r="K65" s="381"/>
      <c r="L65" s="381"/>
      <c r="M65" s="381"/>
      <c r="N65" s="381"/>
      <c r="O65" s="381"/>
      <c r="P65"/>
      <c r="Q65"/>
      <c r="R65"/>
      <c r="S65"/>
      <c r="T65" s="1"/>
      <c r="U65" s="686" t="s">
        <v>5128</v>
      </c>
      <c r="V65" s="918" t="s">
        <v>5129</v>
      </c>
      <c r="W65" s="659" t="s">
        <v>3094</v>
      </c>
      <c r="X65" s="312"/>
      <c r="Y65" s="484"/>
      <c r="Z65" s="312"/>
      <c r="AA65" s="312"/>
      <c r="AB65" s="312"/>
      <c r="AD65" s="381"/>
    </row>
    <row r="66" spans="3:43" ht="19.350000000000001" customHeight="1" thickTop="1" thickBot="1">
      <c r="C66" s="714" t="s">
        <v>126</v>
      </c>
      <c r="D66" s="715"/>
      <c r="E66" s="715"/>
      <c r="F66" s="716"/>
      <c r="G66" s="712" t="str">
        <f t="shared" ref="G66" si="32">IF(COUNTBLANK(G59:G65)=7,"",SUM(G59:G65))</f>
        <v/>
      </c>
      <c r="H66" s="713"/>
      <c r="I66" s="381"/>
      <c r="J66" s="381"/>
      <c r="K66" s="381"/>
      <c r="L66" s="381"/>
      <c r="M66" s="381"/>
      <c r="N66" s="381"/>
      <c r="O66" s="381"/>
      <c r="P66"/>
      <c r="Q66"/>
      <c r="R66"/>
      <c r="S66"/>
      <c r="T66" s="1"/>
      <c r="U66" s="687"/>
      <c r="V66" s="660"/>
      <c r="W66" s="660"/>
      <c r="X66" s="312"/>
      <c r="Y66" s="312"/>
      <c r="Z66" s="312"/>
      <c r="AA66" s="312"/>
      <c r="AB66" s="312"/>
      <c r="AD66" s="381"/>
    </row>
    <row r="67" spans="3:43" ht="19.350000000000001" customHeight="1">
      <c r="C67" s="381"/>
      <c r="D67" s="381"/>
      <c r="E67" s="381"/>
      <c r="F67" s="381"/>
      <c r="G67" s="381"/>
      <c r="H67" s="381"/>
      <c r="I67" s="381"/>
      <c r="J67" s="381"/>
      <c r="K67" s="381"/>
      <c r="L67" s="381"/>
      <c r="M67" s="381"/>
      <c r="N67" s="381"/>
      <c r="O67" s="381"/>
      <c r="P67"/>
      <c r="Q67"/>
      <c r="R67"/>
      <c r="S67"/>
      <c r="T67" s="1"/>
      <c r="U67" s="486" t="s">
        <v>5064</v>
      </c>
      <c r="V67" s="224"/>
      <c r="W67" s="487">
        <v>3.6</v>
      </c>
      <c r="X67" s="312"/>
      <c r="Y67" s="312"/>
      <c r="Z67" s="312"/>
      <c r="AA67" s="312"/>
      <c r="AB67" s="312"/>
      <c r="AD67" s="381"/>
    </row>
    <row r="68" spans="3:43" ht="19.350000000000001" customHeight="1" thickBot="1">
      <c r="C68" s="339" t="s">
        <v>129</v>
      </c>
      <c r="D68" s="339"/>
      <c r="E68" s="381"/>
      <c r="F68" s="381"/>
      <c r="G68" s="381"/>
      <c r="H68" s="381"/>
      <c r="I68" s="381"/>
      <c r="J68" s="381"/>
      <c r="K68" s="381"/>
      <c r="L68" s="381"/>
      <c r="M68" s="381"/>
      <c r="N68" s="381"/>
      <c r="O68" s="381"/>
      <c r="P68"/>
      <c r="Q68"/>
      <c r="R68"/>
      <c r="S68"/>
      <c r="T68" s="1"/>
      <c r="U68" s="486" t="s">
        <v>5069</v>
      </c>
      <c r="V68" s="224"/>
      <c r="W68" s="487">
        <v>3.6</v>
      </c>
      <c r="X68" s="312"/>
      <c r="Y68" s="312"/>
      <c r="Z68" s="312"/>
      <c r="AA68" s="312"/>
      <c r="AB68" s="312"/>
      <c r="AD68" s="381"/>
    </row>
    <row r="69" spans="3:43" ht="19.350000000000001" customHeight="1">
      <c r="C69" s="748" t="s">
        <v>128</v>
      </c>
      <c r="D69" s="749"/>
      <c r="E69" s="749"/>
      <c r="F69" s="749"/>
      <c r="G69" s="749"/>
      <c r="H69" s="750"/>
      <c r="I69" s="381"/>
      <c r="J69" s="381"/>
      <c r="K69" s="381"/>
      <c r="L69" s="381"/>
      <c r="M69" s="381"/>
      <c r="N69" s="381"/>
      <c r="O69" s="381"/>
      <c r="P69"/>
      <c r="Q69"/>
      <c r="R69"/>
      <c r="S69"/>
      <c r="T69" s="1"/>
      <c r="U69" s="486" t="s">
        <v>5066</v>
      </c>
      <c r="V69" s="224"/>
      <c r="W69" s="487">
        <v>3.6</v>
      </c>
      <c r="X69" s="312"/>
      <c r="Y69" s="484"/>
      <c r="Z69" s="312"/>
      <c r="AA69" s="312"/>
      <c r="AB69" s="312"/>
    </row>
    <row r="70" spans="3:43" ht="19.350000000000001" customHeight="1" thickBot="1">
      <c r="C70" s="751"/>
      <c r="D70" s="752"/>
      <c r="E70" s="752"/>
      <c r="F70" s="752"/>
      <c r="G70" s="752"/>
      <c r="H70" s="753"/>
      <c r="I70" s="381"/>
      <c r="J70" s="381"/>
      <c r="K70" s="381"/>
      <c r="L70" s="381"/>
      <c r="M70" s="381"/>
      <c r="N70" s="381"/>
      <c r="O70" s="381"/>
      <c r="P70"/>
      <c r="Q70"/>
      <c r="R70"/>
      <c r="S70"/>
      <c r="T70" s="1"/>
      <c r="U70" s="486" t="s">
        <v>5132</v>
      </c>
      <c r="V70" s="224"/>
      <c r="W70" s="487">
        <v>3.6</v>
      </c>
      <c r="X70" s="312"/>
      <c r="Y70" s="484"/>
      <c r="Z70" s="312"/>
      <c r="AA70" s="312"/>
      <c r="AB70" s="312"/>
    </row>
    <row r="71" spans="3:43" ht="19.350000000000001" customHeight="1" thickTop="1">
      <c r="C71" s="745" t="s">
        <v>71</v>
      </c>
      <c r="D71" s="746"/>
      <c r="E71" s="746"/>
      <c r="F71" s="747"/>
      <c r="G71" s="914" t="str">
        <f>'事業所排出量内訳 (基準年度)'!G71&amp;""</f>
        <v/>
      </c>
      <c r="H71" s="915"/>
      <c r="I71" s="381"/>
      <c r="J71" s="381"/>
      <c r="K71" s="381"/>
      <c r="L71" s="381"/>
      <c r="M71" s="381"/>
      <c r="N71" s="381"/>
      <c r="O71" s="381"/>
      <c r="P71"/>
      <c r="Q71"/>
      <c r="R71"/>
      <c r="S71"/>
      <c r="T71" s="1"/>
      <c r="U71" s="455" t="s">
        <v>106</v>
      </c>
      <c r="V71" s="456">
        <f>SUM(V67:V70)</f>
        <v>0</v>
      </c>
      <c r="W71" s="458"/>
      <c r="X71" s="312"/>
      <c r="Y71" s="484"/>
      <c r="Z71" s="312"/>
      <c r="AA71" s="312"/>
      <c r="AB71" s="312"/>
    </row>
    <row r="72" spans="3:43" ht="19.350000000000001" customHeight="1">
      <c r="C72" s="727" t="s">
        <v>147</v>
      </c>
      <c r="D72" s="728"/>
      <c r="E72" s="728"/>
      <c r="F72" s="729"/>
      <c r="G72" s="916" t="str">
        <f>'事業所排出量内訳 (基準年度)'!G72&amp;""</f>
        <v/>
      </c>
      <c r="H72" s="917"/>
      <c r="I72" s="381"/>
      <c r="J72" s="381"/>
      <c r="K72" s="381"/>
      <c r="L72" s="381"/>
      <c r="M72" s="381"/>
      <c r="N72" s="1"/>
      <c r="O72" s="381"/>
      <c r="P72"/>
      <c r="Q72"/>
      <c r="R72"/>
      <c r="S72"/>
      <c r="T72" s="1"/>
      <c r="U72" s="312"/>
      <c r="V72" s="312"/>
      <c r="W72" s="312"/>
      <c r="X72" s="312"/>
      <c r="Y72" s="312"/>
      <c r="Z72" s="312"/>
      <c r="AA72" s="312"/>
      <c r="AB72" s="312"/>
    </row>
    <row r="73" spans="3:43" ht="19.350000000000001" customHeight="1" thickBot="1">
      <c r="C73" s="724" t="s">
        <v>146</v>
      </c>
      <c r="D73" s="725"/>
      <c r="E73" s="725"/>
      <c r="F73" s="726"/>
      <c r="G73" s="703"/>
      <c r="H73" s="704"/>
      <c r="I73" s="381"/>
      <c r="J73" s="381"/>
      <c r="K73" s="381"/>
      <c r="L73" s="1"/>
      <c r="M73" s="1"/>
      <c r="N73" s="1"/>
      <c r="O73" s="381"/>
      <c r="P73"/>
      <c r="Q73"/>
      <c r="R73"/>
      <c r="S73"/>
      <c r="T73" s="1"/>
    </row>
    <row r="74" spans="3:43" ht="19.350000000000001" customHeight="1">
      <c r="I74" s="1"/>
      <c r="J74" s="1"/>
      <c r="K74" s="1"/>
      <c r="L74" s="1"/>
      <c r="M74" s="1"/>
      <c r="N74" s="1"/>
      <c r="O74" s="381"/>
      <c r="P74"/>
      <c r="Q74"/>
      <c r="R74"/>
      <c r="S74"/>
      <c r="T74" s="1"/>
      <c r="AH74" s="12"/>
      <c r="AI74" s="12"/>
      <c r="AJ74" s="12"/>
    </row>
    <row r="75" spans="3:43" ht="19.350000000000001" customHeight="1">
      <c r="I75" s="1"/>
      <c r="J75" s="1"/>
      <c r="K75" s="1"/>
      <c r="L75" s="1"/>
      <c r="M75" s="1"/>
      <c r="N75" s="1"/>
      <c r="O75" s="1"/>
      <c r="T75" s="1"/>
      <c r="AG75" s="12"/>
      <c r="AH75" s="12"/>
      <c r="AI75" s="12"/>
      <c r="AJ75" s="12"/>
    </row>
    <row r="76" spans="3:43" ht="19.350000000000001" customHeight="1">
      <c r="I76" s="1"/>
      <c r="J76" s="1"/>
      <c r="K76" s="1"/>
      <c r="L76" s="1"/>
      <c r="M76" s="1"/>
      <c r="N76" s="1"/>
      <c r="O76" s="1"/>
      <c r="T76" s="1"/>
      <c r="AG76" s="12"/>
    </row>
    <row r="77" spans="3:43" ht="19.350000000000001" customHeight="1">
      <c r="I77" s="1"/>
      <c r="J77" s="1"/>
      <c r="K77" s="1"/>
      <c r="L77" s="1"/>
      <c r="M77" s="1"/>
      <c r="N77" s="1"/>
      <c r="O77" s="1"/>
      <c r="T77" s="1"/>
      <c r="AK77" s="12"/>
    </row>
    <row r="78" spans="3:43" ht="19.350000000000001" customHeight="1">
      <c r="I78" s="1"/>
      <c r="J78" s="1"/>
      <c r="K78" s="1"/>
      <c r="L78" s="1"/>
      <c r="M78" s="1"/>
      <c r="N78" s="1"/>
      <c r="O78" s="1"/>
      <c r="T78" s="1"/>
      <c r="AK78" s="12"/>
      <c r="AL78" s="12"/>
    </row>
    <row r="79" spans="3:43" ht="19.350000000000001" customHeight="1">
      <c r="I79" s="1"/>
      <c r="J79" s="1"/>
      <c r="K79" s="1"/>
      <c r="L79" s="1"/>
      <c r="M79" s="1"/>
      <c r="N79" s="1"/>
      <c r="O79" s="1"/>
      <c r="T79" s="1"/>
      <c r="AL79" s="12"/>
      <c r="AQ79" s="12"/>
    </row>
    <row r="80" spans="3:43" ht="23.25" customHeight="1">
      <c r="I80" s="1"/>
      <c r="J80" s="1"/>
      <c r="K80" s="1"/>
      <c r="L80" s="1"/>
      <c r="M80" s="1"/>
      <c r="N80" s="1"/>
      <c r="O80" s="1"/>
      <c r="T80" s="1"/>
      <c r="AQ80" s="12"/>
    </row>
    <row r="81" spans="1:50" ht="23.25" customHeight="1">
      <c r="I81" s="1"/>
      <c r="J81" s="1"/>
      <c r="K81" s="1"/>
      <c r="L81" s="1"/>
      <c r="M81" s="1"/>
      <c r="N81" s="1"/>
      <c r="O81" s="1"/>
      <c r="T81" s="1"/>
      <c r="AR81" s="12"/>
    </row>
    <row r="82" spans="1:50" ht="23.25" customHeight="1">
      <c r="I82" s="1"/>
      <c r="J82" s="1"/>
      <c r="K82" s="1"/>
      <c r="L82" s="1"/>
      <c r="M82" s="1"/>
      <c r="N82" s="1"/>
      <c r="O82" s="1"/>
      <c r="T82" s="1"/>
      <c r="AH82" s="12"/>
      <c r="AI82" s="12"/>
      <c r="AJ82" s="12"/>
      <c r="AR82" s="12"/>
    </row>
    <row r="83" spans="1:50" ht="23.25" customHeight="1">
      <c r="I83" s="1"/>
      <c r="J83" s="1"/>
      <c r="K83" s="1"/>
      <c r="L83" s="1"/>
      <c r="M83" s="1"/>
      <c r="N83" s="1"/>
      <c r="O83" s="1"/>
      <c r="T83" s="1"/>
      <c r="AG83" s="12"/>
      <c r="AM83" s="12"/>
      <c r="AN83" s="12"/>
      <c r="AO83" s="12"/>
      <c r="AP83" s="12"/>
    </row>
    <row r="84" spans="1:50" ht="23.25" customHeight="1">
      <c r="I84" s="1"/>
      <c r="J84" s="1"/>
      <c r="K84" s="1"/>
      <c r="L84" s="1"/>
      <c r="M84" s="1"/>
      <c r="N84" s="1"/>
      <c r="O84" s="1"/>
      <c r="T84" s="1"/>
      <c r="AM84" s="12"/>
      <c r="AN84" s="12"/>
      <c r="AO84" s="12"/>
      <c r="AP84" s="12"/>
    </row>
    <row r="85" spans="1:50" ht="19.5" customHeight="1">
      <c r="I85" s="1"/>
      <c r="J85" s="1"/>
      <c r="K85" s="1"/>
      <c r="L85" s="1"/>
      <c r="M85" s="1"/>
      <c r="N85" s="1"/>
      <c r="O85" s="1"/>
      <c r="T85" s="1"/>
      <c r="U85" s="1"/>
      <c r="V85" s="1"/>
      <c r="AF85" s="12"/>
      <c r="AK85" s="12"/>
    </row>
    <row r="86" spans="1:50" s="12" customFormat="1" ht="27.6" customHeight="1">
      <c r="A86" s="277"/>
      <c r="B86" s="277"/>
      <c r="C86" s="277"/>
      <c r="D86" s="277"/>
      <c r="E86" s="277"/>
      <c r="F86" s="277"/>
      <c r="G86" s="277"/>
      <c r="H86" s="277"/>
      <c r="I86" s="1"/>
      <c r="J86" s="1"/>
      <c r="K86" s="1"/>
      <c r="L86" s="1"/>
      <c r="M86" s="1"/>
      <c r="N86" s="1"/>
      <c r="O86" s="1"/>
      <c r="P86" s="277"/>
      <c r="Q86" s="277"/>
      <c r="R86" s="277"/>
      <c r="S86" s="277"/>
      <c r="T86" s="1"/>
      <c r="U86" s="1"/>
      <c r="V86" s="1"/>
      <c r="W86" s="277"/>
      <c r="X86" s="277"/>
      <c r="Y86" s="277"/>
      <c r="Z86" s="277"/>
      <c r="AA86" s="277"/>
      <c r="AB86" s="277"/>
      <c r="AC86" s="277"/>
      <c r="AD86" s="277"/>
      <c r="AE86" s="277"/>
      <c r="AG86" s="277"/>
      <c r="AH86" s="277"/>
      <c r="AI86" s="277"/>
      <c r="AJ86" s="277"/>
      <c r="AK86" s="277"/>
      <c r="AM86" s="277"/>
      <c r="AN86" s="277"/>
      <c r="AO86" s="277"/>
      <c r="AP86" s="277"/>
      <c r="AQ86" s="277"/>
      <c r="AR86" s="277"/>
      <c r="AS86" s="277"/>
      <c r="AT86" s="277"/>
      <c r="AU86" s="277"/>
      <c r="AV86" s="277"/>
      <c r="AW86" s="277"/>
      <c r="AX86" s="277"/>
    </row>
    <row r="87" spans="1:50" s="12" customFormat="1" ht="27" customHeight="1">
      <c r="A87" s="277"/>
      <c r="B87" s="277"/>
      <c r="C87" s="277"/>
      <c r="D87" s="277"/>
      <c r="E87" s="277"/>
      <c r="F87" s="277"/>
      <c r="G87" s="277"/>
      <c r="H87" s="277"/>
      <c r="I87" s="1"/>
      <c r="J87" s="1"/>
      <c r="K87" s="1"/>
      <c r="L87" s="1"/>
      <c r="M87" s="1"/>
      <c r="N87" s="1"/>
      <c r="O87" s="1"/>
      <c r="P87" s="277"/>
      <c r="Q87" s="277"/>
      <c r="R87" s="277"/>
      <c r="S87" s="277"/>
      <c r="T87" s="1"/>
      <c r="U87" s="1"/>
      <c r="V87" s="1"/>
      <c r="W87" s="277"/>
      <c r="X87" s="277"/>
      <c r="Y87" s="277"/>
      <c r="Z87" s="277"/>
      <c r="AA87" s="277"/>
      <c r="AB87" s="277"/>
      <c r="AD87" s="277"/>
      <c r="AE87" s="277"/>
      <c r="AG87" s="277"/>
      <c r="AH87" s="277"/>
      <c r="AI87" s="277"/>
      <c r="AJ87" s="277"/>
      <c r="AK87" s="277"/>
      <c r="AL87" s="277"/>
      <c r="AM87" s="277"/>
      <c r="AN87" s="277"/>
      <c r="AO87" s="277"/>
      <c r="AP87" s="277"/>
      <c r="AR87" s="277"/>
      <c r="AS87" s="277"/>
    </row>
    <row r="88" spans="1:50" ht="22.5" customHeight="1">
      <c r="I88" s="1"/>
      <c r="J88" s="1"/>
      <c r="K88" s="1"/>
      <c r="L88" s="1"/>
      <c r="M88" s="1"/>
      <c r="N88" s="1"/>
      <c r="O88" s="1"/>
      <c r="T88" s="1"/>
      <c r="U88" s="1"/>
      <c r="V88" s="1"/>
      <c r="AC88" s="12"/>
      <c r="AF88" s="12"/>
      <c r="AT88" s="12"/>
      <c r="AU88" s="12"/>
      <c r="AV88" s="12"/>
      <c r="AW88" s="12"/>
      <c r="AX88" s="12"/>
    </row>
    <row r="89" spans="1:50" ht="22.5" customHeight="1">
      <c r="I89" s="1"/>
      <c r="J89" s="1"/>
      <c r="K89" s="1"/>
      <c r="L89" s="1"/>
      <c r="M89" s="1"/>
      <c r="N89" s="1"/>
      <c r="O89" s="1"/>
      <c r="T89" s="1"/>
      <c r="U89" s="489"/>
      <c r="V89" s="1"/>
      <c r="AD89" s="12"/>
      <c r="AE89" s="12"/>
      <c r="AR89" s="12"/>
      <c r="AS89" s="12"/>
    </row>
    <row r="90" spans="1:50" ht="22.5" customHeight="1">
      <c r="I90" s="1"/>
      <c r="J90" s="1"/>
      <c r="K90" s="1"/>
      <c r="N90" s="1"/>
      <c r="O90" s="1"/>
      <c r="T90" s="1"/>
      <c r="U90" s="1"/>
      <c r="AD90" s="12"/>
      <c r="AE90" s="12"/>
      <c r="AS90" s="12"/>
    </row>
    <row r="91" spans="1:50" ht="22.5" customHeight="1">
      <c r="N91" s="1"/>
      <c r="O91" s="1"/>
      <c r="T91" s="1"/>
      <c r="U91" s="1"/>
      <c r="V91" s="1"/>
      <c r="AM91" s="12"/>
      <c r="AN91" s="12"/>
      <c r="AO91" s="12"/>
      <c r="AP91" s="12"/>
    </row>
    <row r="92" spans="1:50" ht="22.5" customHeight="1">
      <c r="N92" s="1"/>
      <c r="O92" s="1"/>
      <c r="T92" s="1"/>
      <c r="U92" s="1"/>
      <c r="V92" s="1"/>
    </row>
    <row r="93" spans="1:50" ht="22.5" customHeight="1">
      <c r="A93" s="12"/>
      <c r="B93" s="12"/>
      <c r="N93" s="1"/>
      <c r="O93" s="1"/>
      <c r="T93" s="1"/>
      <c r="U93" s="1"/>
      <c r="V93" s="1"/>
    </row>
    <row r="94" spans="1:50" s="12" customFormat="1" ht="22.5" customHeight="1">
      <c r="C94" s="277"/>
      <c r="D94" s="277"/>
      <c r="E94" s="277"/>
      <c r="F94" s="277"/>
      <c r="G94" s="277"/>
      <c r="H94" s="277"/>
      <c r="I94" s="277"/>
      <c r="J94" s="277"/>
      <c r="K94" s="277"/>
      <c r="L94" s="277"/>
      <c r="M94" s="277"/>
      <c r="N94" s="1"/>
      <c r="O94" s="1"/>
      <c r="P94" s="277"/>
      <c r="Q94" s="277"/>
      <c r="R94" s="277"/>
      <c r="S94" s="277"/>
      <c r="T94" s="1"/>
      <c r="U94" s="1"/>
      <c r="V94" s="1"/>
      <c r="W94" s="277"/>
      <c r="X94" s="277"/>
      <c r="Y94" s="277"/>
      <c r="Z94" s="277"/>
      <c r="AA94" s="277"/>
      <c r="AB94" s="277"/>
      <c r="AC94" s="277"/>
      <c r="AD94" s="277"/>
      <c r="AE94" s="277"/>
      <c r="AF94" s="277"/>
      <c r="AG94" s="277"/>
      <c r="AH94" s="277"/>
      <c r="AI94" s="277"/>
      <c r="AJ94" s="277"/>
      <c r="AK94" s="277"/>
      <c r="AL94" s="277"/>
      <c r="AM94" s="277"/>
      <c r="AN94" s="277"/>
      <c r="AO94" s="277"/>
      <c r="AP94" s="277"/>
      <c r="AQ94" s="277"/>
      <c r="AR94" s="277"/>
      <c r="AS94" s="277"/>
      <c r="AT94" s="277"/>
      <c r="AU94" s="277"/>
      <c r="AV94" s="277"/>
      <c r="AW94" s="277"/>
      <c r="AX94" s="277"/>
    </row>
    <row r="95" spans="1:50" ht="22.5" customHeight="1">
      <c r="N95" s="1"/>
      <c r="O95" s="1"/>
      <c r="T95" s="1"/>
      <c r="U95" s="1"/>
      <c r="V95" s="1"/>
      <c r="AB95" s="12"/>
      <c r="AF95" s="12"/>
      <c r="AT95" s="12"/>
      <c r="AU95" s="12"/>
      <c r="AV95" s="12"/>
      <c r="AW95" s="12"/>
      <c r="AX95" s="12"/>
    </row>
    <row r="96" spans="1:50" ht="21" customHeight="1">
      <c r="N96" s="1"/>
      <c r="O96" s="1"/>
      <c r="T96" s="1"/>
      <c r="U96" s="1"/>
      <c r="V96" s="1"/>
      <c r="AC96" s="12"/>
    </row>
    <row r="97" spans="1:45" ht="21" customHeight="1">
      <c r="N97" s="1"/>
      <c r="O97" s="1"/>
      <c r="T97" s="1"/>
      <c r="U97" s="1"/>
      <c r="V97" s="1"/>
      <c r="AD97" s="12"/>
      <c r="AE97" s="12"/>
      <c r="AS97" s="12"/>
    </row>
    <row r="98" spans="1:45" ht="22.5" customHeight="1">
      <c r="N98" s="1"/>
      <c r="O98" s="1"/>
      <c r="T98" s="1"/>
      <c r="U98" s="1"/>
      <c r="V98" s="1"/>
    </row>
    <row r="99" spans="1:45" ht="22.5" customHeight="1">
      <c r="N99" s="1"/>
      <c r="O99" s="1"/>
      <c r="T99" s="1"/>
      <c r="U99" s="1"/>
      <c r="V99" s="1"/>
      <c r="Z99" s="12"/>
    </row>
    <row r="100" spans="1:45" ht="22.5" customHeight="1">
      <c r="N100" s="1"/>
      <c r="O100" s="1"/>
      <c r="T100" s="1"/>
      <c r="U100" s="1"/>
      <c r="V100" s="1"/>
      <c r="W100" s="12"/>
      <c r="X100" s="12"/>
      <c r="Y100" s="12"/>
      <c r="Z100" s="12"/>
    </row>
    <row r="101" spans="1:45" ht="22.5" customHeight="1">
      <c r="A101" s="12"/>
      <c r="B101" s="12"/>
      <c r="N101" s="1"/>
      <c r="O101" s="1"/>
      <c r="T101" s="1"/>
      <c r="U101" s="1"/>
      <c r="V101" s="1"/>
      <c r="W101" s="12"/>
      <c r="X101" s="12"/>
      <c r="Y101" s="12"/>
      <c r="AA101" s="12"/>
    </row>
    <row r="102" spans="1:45" ht="23.25" customHeight="1">
      <c r="N102" s="1"/>
      <c r="O102" s="1"/>
      <c r="T102" s="1"/>
      <c r="U102" s="1"/>
      <c r="V102" s="1"/>
      <c r="AA102" s="12"/>
    </row>
    <row r="103" spans="1:45" ht="27.75" customHeight="1">
      <c r="N103" s="1"/>
      <c r="O103" s="1"/>
      <c r="T103" s="1"/>
      <c r="U103" s="1"/>
      <c r="V103" s="1"/>
    </row>
    <row r="104" spans="1:45" ht="21" customHeight="1">
      <c r="N104" s="1"/>
      <c r="O104" s="1"/>
      <c r="T104" s="1"/>
      <c r="U104" s="1"/>
      <c r="V104" s="1"/>
    </row>
    <row r="105" spans="1:45" ht="21" customHeight="1">
      <c r="N105" s="1"/>
      <c r="O105" s="1"/>
      <c r="T105" s="1"/>
      <c r="U105" s="1"/>
      <c r="V105" s="1"/>
    </row>
    <row r="106" spans="1:45" ht="21" customHeight="1">
      <c r="N106" s="1"/>
      <c r="O106" s="1"/>
      <c r="T106" s="1"/>
      <c r="U106" s="1"/>
      <c r="V106" s="1"/>
    </row>
    <row r="107" spans="1:45" ht="21" customHeight="1">
      <c r="N107" s="1"/>
      <c r="O107" s="1"/>
      <c r="T107" s="1"/>
      <c r="U107" s="1"/>
      <c r="V107" s="1"/>
      <c r="Z107" s="12"/>
    </row>
    <row r="108" spans="1:45" ht="21" customHeight="1">
      <c r="N108" s="1"/>
      <c r="O108" s="1"/>
      <c r="T108" s="1"/>
      <c r="U108" s="1"/>
      <c r="V108" s="1"/>
      <c r="W108" s="12"/>
      <c r="X108" s="12"/>
      <c r="Y108" s="12"/>
    </row>
    <row r="109" spans="1:45" ht="21" customHeight="1">
      <c r="N109" s="1"/>
      <c r="O109" s="1"/>
      <c r="T109" s="1"/>
      <c r="U109" s="1"/>
      <c r="V109" s="1"/>
      <c r="AA109" s="12"/>
    </row>
    <row r="110" spans="1:45" ht="21" customHeight="1">
      <c r="O110" s="1"/>
      <c r="T110" s="1"/>
      <c r="U110" s="1"/>
      <c r="V110" s="1"/>
    </row>
    <row r="111" spans="1:45" ht="22.5" customHeight="1">
      <c r="O111" s="1"/>
      <c r="T111" s="1"/>
      <c r="U111" s="1"/>
      <c r="V111" s="1"/>
    </row>
    <row r="112" spans="1:45" ht="22.5" customHeight="1">
      <c r="O112" s="1"/>
      <c r="T112" s="1"/>
      <c r="U112" s="1"/>
      <c r="V112" s="1"/>
    </row>
    <row r="113" spans="15:22" ht="22.5" customHeight="1">
      <c r="O113" s="1"/>
      <c r="T113" s="1"/>
      <c r="U113" s="1"/>
      <c r="V113" s="1"/>
    </row>
    <row r="114" spans="15:22" ht="27.75" customHeight="1">
      <c r="O114" s="1"/>
      <c r="T114" s="1"/>
      <c r="U114" s="1"/>
      <c r="V114" s="1"/>
    </row>
    <row r="115" spans="15:22" ht="21" customHeight="1">
      <c r="O115" s="1"/>
      <c r="T115" s="1"/>
      <c r="U115" s="1"/>
      <c r="V115" s="1"/>
    </row>
    <row r="116" spans="15:22" ht="21" customHeight="1">
      <c r="O116" s="1"/>
      <c r="T116" s="1"/>
      <c r="U116" s="1"/>
      <c r="V116" s="1"/>
    </row>
    <row r="117" spans="15:22" ht="21" customHeight="1">
      <c r="O117" s="1"/>
      <c r="T117" s="1"/>
      <c r="U117" s="1"/>
      <c r="V117" s="1"/>
    </row>
    <row r="118" spans="15:22" ht="21" customHeight="1">
      <c r="O118" s="1"/>
      <c r="T118" s="1"/>
      <c r="U118" s="1"/>
      <c r="V118" s="1"/>
    </row>
    <row r="119" spans="15:22" ht="21" customHeight="1">
      <c r="O119" s="1"/>
      <c r="T119" s="1"/>
      <c r="U119" s="1"/>
      <c r="V119" s="1"/>
    </row>
    <row r="120" spans="15:22" ht="21" customHeight="1">
      <c r="O120" s="1"/>
      <c r="T120" s="1"/>
      <c r="U120" s="1"/>
      <c r="V120" s="1"/>
    </row>
    <row r="121" spans="15:22" ht="21" customHeight="1">
      <c r="O121" s="1"/>
      <c r="T121" s="1"/>
      <c r="U121" s="1"/>
      <c r="V121" s="1"/>
    </row>
    <row r="122" spans="15:22" ht="23.25" customHeight="1">
      <c r="O122" s="1"/>
      <c r="T122" s="1"/>
      <c r="U122" s="1"/>
      <c r="V122" s="1"/>
    </row>
    <row r="123" spans="15:22" ht="22.5" customHeight="1">
      <c r="O123" s="1"/>
      <c r="T123" s="1"/>
      <c r="U123" s="1"/>
      <c r="V123" s="1"/>
    </row>
    <row r="124" spans="15:22" ht="22.5" customHeight="1">
      <c r="O124" s="1"/>
      <c r="T124" s="1"/>
      <c r="U124" s="1"/>
      <c r="V124" s="1"/>
    </row>
    <row r="125" spans="15:22" ht="27" customHeight="1">
      <c r="T125" s="1"/>
      <c r="U125" s="702"/>
      <c r="V125" s="702"/>
    </row>
    <row r="126" spans="15:22" ht="21" customHeight="1">
      <c r="T126" s="1"/>
      <c r="U126" s="702"/>
      <c r="V126" s="702"/>
    </row>
    <row r="127" spans="15:22" ht="21" customHeight="1">
      <c r="U127" s="1"/>
      <c r="V127" s="1"/>
    </row>
    <row r="128" spans="15:22" ht="21" customHeight="1">
      <c r="U128" s="1"/>
      <c r="V128" s="1"/>
    </row>
    <row r="129" spans="21:22" ht="22.5" customHeight="1">
      <c r="U129" s="1"/>
      <c r="V129" s="1"/>
    </row>
    <row r="130" spans="21:22" ht="17.399999999999999">
      <c r="U130" s="1"/>
      <c r="V130" s="1"/>
    </row>
    <row r="131" spans="21:22" ht="17.399999999999999">
      <c r="U131" s="1"/>
      <c r="V131" s="1"/>
    </row>
    <row r="132" spans="21:22" ht="17.399999999999999">
      <c r="U132" s="1"/>
      <c r="V132" s="1"/>
    </row>
    <row r="133" spans="21:22" ht="17.399999999999999">
      <c r="U133" s="1"/>
      <c r="V133" s="1"/>
    </row>
    <row r="134" spans="21:22" ht="17.399999999999999">
      <c r="U134" s="1"/>
      <c r="V134" s="1"/>
    </row>
    <row r="135" spans="21:22" ht="17.399999999999999">
      <c r="U135" s="1"/>
      <c r="V135" s="1"/>
    </row>
    <row r="136" spans="21:22" ht="17.399999999999999">
      <c r="U136" s="1"/>
      <c r="V136" s="1"/>
    </row>
    <row r="137" spans="21:22" ht="17.399999999999999">
      <c r="U137" s="1"/>
      <c r="V137" s="1"/>
    </row>
  </sheetData>
  <sheetProtection algorithmName="SHA-512" hashValue="vtgZHg3tbQ2p5rnahf71FVFLXcXKcbnIj1hU5Nid70kfpBU8ioiPC+FUQDmlMnWAyulU3aTOqL1XKEey3Q8F6g==" saltValue="wVDnV/2pQbC1eM620OdKJA==" spinCount="100000" sheet="1" objects="1" scenarios="1" selectLockedCells="1"/>
  <mergeCells count="109">
    <mergeCell ref="U125:V126"/>
    <mergeCell ref="C69:H70"/>
    <mergeCell ref="C71:F71"/>
    <mergeCell ref="G71:H71"/>
    <mergeCell ref="C72:F72"/>
    <mergeCell ref="G72:H72"/>
    <mergeCell ref="C73:F73"/>
    <mergeCell ref="G73:H73"/>
    <mergeCell ref="C65:F65"/>
    <mergeCell ref="G65:H65"/>
    <mergeCell ref="U65:U66"/>
    <mergeCell ref="V65:V66"/>
    <mergeCell ref="W65:W66"/>
    <mergeCell ref="C66:F66"/>
    <mergeCell ref="G66:H66"/>
    <mergeCell ref="Y61:Y62"/>
    <mergeCell ref="C62:F62"/>
    <mergeCell ref="G62:H62"/>
    <mergeCell ref="C63:F63"/>
    <mergeCell ref="G63:H63"/>
    <mergeCell ref="C64:F64"/>
    <mergeCell ref="G64:H64"/>
    <mergeCell ref="C61:F61"/>
    <mergeCell ref="G61:H61"/>
    <mergeCell ref="U61:U62"/>
    <mergeCell ref="V61:V62"/>
    <mergeCell ref="X61:X62"/>
    <mergeCell ref="W61:W62"/>
    <mergeCell ref="C57:F58"/>
    <mergeCell ref="G57:H58"/>
    <mergeCell ref="C59:F59"/>
    <mergeCell ref="G59:H59"/>
    <mergeCell ref="C60:F60"/>
    <mergeCell ref="G60:H60"/>
    <mergeCell ref="W55:W56"/>
    <mergeCell ref="X55:X56"/>
    <mergeCell ref="Y55:Y56"/>
    <mergeCell ref="Z55:Z56"/>
    <mergeCell ref="AA55:AA56"/>
    <mergeCell ref="AB55:AB56"/>
    <mergeCell ref="G52:H52"/>
    <mergeCell ref="U52:V52"/>
    <mergeCell ref="G53:H53"/>
    <mergeCell ref="C54:F54"/>
    <mergeCell ref="G54:H54"/>
    <mergeCell ref="V55:V56"/>
    <mergeCell ref="Y49:Y50"/>
    <mergeCell ref="Z49:Z50"/>
    <mergeCell ref="AA49:AA50"/>
    <mergeCell ref="AB49:AB50"/>
    <mergeCell ref="G50:H50"/>
    <mergeCell ref="G51:H51"/>
    <mergeCell ref="G47:H47"/>
    <mergeCell ref="G48:H48"/>
    <mergeCell ref="G49:H49"/>
    <mergeCell ref="U49:V50"/>
    <mergeCell ref="W49:W50"/>
    <mergeCell ref="X49:X50"/>
    <mergeCell ref="Y40:Y41"/>
    <mergeCell ref="Z40:Z41"/>
    <mergeCell ref="AA40:AA41"/>
    <mergeCell ref="C42:H42"/>
    <mergeCell ref="C45:F46"/>
    <mergeCell ref="G45:H46"/>
    <mergeCell ref="F34:H34"/>
    <mergeCell ref="F35:H35"/>
    <mergeCell ref="U40:U41"/>
    <mergeCell ref="V40:V41"/>
    <mergeCell ref="W40:W41"/>
    <mergeCell ref="X40:X41"/>
    <mergeCell ref="W27:X27"/>
    <mergeCell ref="D28:H28"/>
    <mergeCell ref="C30:H30"/>
    <mergeCell ref="I31:I32"/>
    <mergeCell ref="J31:J32"/>
    <mergeCell ref="K31:K32"/>
    <mergeCell ref="L31:L32"/>
    <mergeCell ref="M31:M32"/>
    <mergeCell ref="N31:N32"/>
    <mergeCell ref="C31:H32"/>
    <mergeCell ref="E18:H18"/>
    <mergeCell ref="E19:H19"/>
    <mergeCell ref="E20:H20"/>
    <mergeCell ref="C22:H22"/>
    <mergeCell ref="C23:C29"/>
    <mergeCell ref="D23:H23"/>
    <mergeCell ref="D24:H24"/>
    <mergeCell ref="D25:H25"/>
    <mergeCell ref="D26:H26"/>
    <mergeCell ref="D27:H27"/>
    <mergeCell ref="X15:Y15"/>
    <mergeCell ref="E16:H16"/>
    <mergeCell ref="N4:N5"/>
    <mergeCell ref="U8:U9"/>
    <mergeCell ref="V8:W9"/>
    <mergeCell ref="X9:Y9"/>
    <mergeCell ref="X10:Y10"/>
    <mergeCell ref="E13:H13"/>
    <mergeCell ref="E17:H17"/>
    <mergeCell ref="J1:K1"/>
    <mergeCell ref="I4:I5"/>
    <mergeCell ref="J4:J5"/>
    <mergeCell ref="K4:K5"/>
    <mergeCell ref="L4:L5"/>
    <mergeCell ref="M4:M5"/>
    <mergeCell ref="E14:H14"/>
    <mergeCell ref="U14:U15"/>
    <mergeCell ref="V14:W15"/>
    <mergeCell ref="E15:H15"/>
  </mergeCells>
  <phoneticPr fontId="1"/>
  <conditionalFormatting sqref="AA51:AA53">
    <cfRule type="expression" dxfId="8" priority="4">
      <formula>$AX$1=2022</formula>
    </cfRule>
  </conditionalFormatting>
  <dataValidations count="4">
    <dataValidation type="list" allowBlank="1" showInputMessage="1" showErrorMessage="1" sqref="D23:D28" xr:uid="{F58ACC99-92A3-4A0E-A9B5-7C620D932340}">
      <formula1>INDIRECT($AX$1)</formula1>
    </dataValidation>
    <dataValidation type="list" allowBlank="1" showInputMessage="1" showErrorMessage="1" sqref="E13:E17" xr:uid="{89302C4C-6C16-41F7-817B-0D0B121085DD}">
      <formula1>INDIRECT($AW$1)</formula1>
    </dataValidation>
    <dataValidation imeMode="halfAlpha" allowBlank="1" showInputMessage="1" showErrorMessage="1" sqref="G73 Y51:Y53 V35:W35 W57:X58 V63:X63 G47:G53 V38 V30:W32 I13:I21 J6:J21 V67:W70 G59:G65 L21:M21 V42:X46 W51:X54" xr:uid="{22A48EF7-60C3-412F-B4EC-6C66D22FDE12}"/>
    <dataValidation imeMode="hiragana" allowBlank="1" showInputMessage="1" showErrorMessage="1" sqref="U67:U70 V57:V58 U35 U38 V55 U30:U32 U42:U46 C59:C65 G71:G72" xr:uid="{F5D096E5-EB3A-4522-90FD-9CDD55EB5757}"/>
  </dataValidations>
  <pageMargins left="0.70866141732283472" right="0.51181102362204722" top="0.55118110236220474" bottom="0.55118110236220474" header="0.31496062992125984" footer="0.31496062992125984"/>
  <pageSetup paperSize="8" scale="49" orientation="portrait" r:id="rId1"/>
  <headerFooter>
    <oddHeader>&amp;L様式第２号</oddHeader>
    <oddFooter>&amp;R&amp;8（一般事業所等用）</oddFooter>
  </headerFooter>
  <rowBreaks count="1" manualBreakCount="1">
    <brk id="92" min="2" max="33" man="1"/>
  </row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 id="{8D3E2C5B-7E77-4700-AE4F-2809FF76D300}">
            <xm:f>はじめに!$S$3=TRUE</xm:f>
            <x14:dxf>
              <fill>
                <patternFill>
                  <bgColor theme="9" tint="0.59996337778862885"/>
                </patternFill>
              </fill>
            </x14:dxf>
          </x14:cfRule>
          <xm:sqref>N18:N20</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2">
    <tabColor rgb="FF00B050"/>
  </sheetPr>
  <dimension ref="A1:Q35"/>
  <sheetViews>
    <sheetView showGridLines="0" view="pageBreakPreview" topLeftCell="A2" zoomScaleNormal="100" zoomScaleSheetLayoutView="100" workbookViewId="0"/>
  </sheetViews>
  <sheetFormatPr defaultColWidth="8.88671875" defaultRowHeight="17.399999999999999"/>
  <cols>
    <col min="1" max="8" width="5.6640625" style="1" customWidth="1"/>
    <col min="9" max="9" width="0.88671875" style="1" customWidth="1"/>
    <col min="10" max="38" width="5.6640625" style="1" customWidth="1"/>
    <col min="39" max="16384" width="8.88671875" style="1"/>
  </cols>
  <sheetData>
    <row r="1" spans="1:17" ht="21" customHeight="1"/>
    <row r="2" spans="1:17" ht="17.100000000000001" customHeight="1"/>
    <row r="3" spans="1:17" ht="25.5" customHeight="1">
      <c r="B3" s="638" t="s">
        <v>4082</v>
      </c>
      <c r="C3" s="638"/>
      <c r="D3" s="638"/>
      <c r="E3" s="638"/>
      <c r="F3" s="638"/>
      <c r="G3" s="638"/>
      <c r="H3" s="638"/>
      <c r="I3" s="638"/>
      <c r="J3" s="638"/>
      <c r="K3" s="638"/>
      <c r="L3" s="638"/>
      <c r="M3" s="638"/>
      <c r="N3" s="638"/>
      <c r="O3" s="638"/>
      <c r="P3" s="638"/>
    </row>
    <row r="4" spans="1:17" s="12" customFormat="1" ht="16.2"/>
    <row r="5" spans="1:17" s="12" customFormat="1" ht="16.2">
      <c r="L5" s="12" t="str">
        <f>IF(はじめに!E30="","",はじめに!E30)</f>
        <v/>
      </c>
      <c r="M5" s="19" t="s">
        <v>2</v>
      </c>
      <c r="N5" s="12" t="str">
        <f>IF(はじめに!G30="","",はじめに!G30)</f>
        <v/>
      </c>
      <c r="O5" s="19" t="s">
        <v>1</v>
      </c>
      <c r="P5" s="12" t="str">
        <f>IF(はじめに!I30="","",はじめに!I30)</f>
        <v/>
      </c>
      <c r="Q5" s="19" t="s">
        <v>0</v>
      </c>
    </row>
    <row r="6" spans="1:17" s="12" customFormat="1" ht="16.2">
      <c r="A6" s="12" t="s">
        <v>3</v>
      </c>
    </row>
    <row r="7" spans="1:17" s="12" customFormat="1" ht="16.2"/>
    <row r="8" spans="1:17" s="12" customFormat="1" ht="27" customHeight="1">
      <c r="G8" s="794" t="s">
        <v>4</v>
      </c>
      <c r="H8" s="794"/>
      <c r="J8" s="780" t="str">
        <f>IF(はじめに!E7="","",はじめに!E7)</f>
        <v/>
      </c>
      <c r="K8" s="780"/>
      <c r="L8" s="780"/>
      <c r="M8" s="780"/>
      <c r="N8" s="780"/>
      <c r="O8" s="780"/>
      <c r="P8" s="780"/>
    </row>
    <row r="9" spans="1:17" s="12" customFormat="1" ht="27" customHeight="1">
      <c r="G9" s="794" t="s">
        <v>20</v>
      </c>
      <c r="H9" s="794"/>
      <c r="J9" s="780" t="str">
        <f>IF(はじめに!E6="","",はじめに!E6)</f>
        <v/>
      </c>
      <c r="K9" s="780"/>
      <c r="L9" s="780"/>
      <c r="M9" s="780"/>
      <c r="N9" s="780"/>
      <c r="O9" s="780"/>
      <c r="P9" s="780"/>
    </row>
    <row r="10" spans="1:17" s="12" customFormat="1" ht="27" customHeight="1">
      <c r="G10" s="794" t="s">
        <v>38</v>
      </c>
      <c r="H10" s="794"/>
      <c r="J10" s="780" t="str">
        <f>IF(はじめに!E8="","",はじめに!E8)</f>
        <v/>
      </c>
      <c r="K10" s="780"/>
      <c r="L10" s="780"/>
      <c r="M10" s="780"/>
      <c r="N10" s="780"/>
      <c r="O10" s="780"/>
      <c r="P10" s="780"/>
      <c r="Q10" s="525"/>
    </row>
    <row r="11" spans="1:17" s="12" customFormat="1" ht="16.2"/>
    <row r="12" spans="1:17" s="12" customFormat="1" ht="16.2">
      <c r="A12" s="779" t="s">
        <v>4083</v>
      </c>
      <c r="B12" s="779"/>
      <c r="C12" s="779"/>
      <c r="D12" s="779"/>
      <c r="E12" s="779"/>
      <c r="F12" s="779"/>
      <c r="G12" s="779"/>
      <c r="H12" s="779"/>
      <c r="I12" s="779"/>
      <c r="J12" s="779"/>
      <c r="K12" s="779"/>
      <c r="L12" s="779"/>
      <c r="M12" s="779"/>
      <c r="N12" s="779"/>
      <c r="O12" s="779"/>
      <c r="P12" s="779"/>
      <c r="Q12" s="779"/>
    </row>
    <row r="13" spans="1:17" s="12" customFormat="1" ht="16.2">
      <c r="A13" s="779"/>
      <c r="B13" s="779"/>
      <c r="C13" s="779"/>
      <c r="D13" s="779"/>
      <c r="E13" s="779"/>
      <c r="F13" s="779"/>
      <c r="G13" s="779"/>
      <c r="H13" s="779"/>
      <c r="I13" s="779"/>
      <c r="J13" s="779"/>
      <c r="K13" s="779"/>
      <c r="L13" s="779"/>
      <c r="M13" s="779"/>
      <c r="N13" s="779"/>
      <c r="O13" s="779"/>
      <c r="P13" s="779"/>
      <c r="Q13" s="779"/>
    </row>
    <row r="14" spans="1:17" s="12" customFormat="1" ht="16.2"/>
    <row r="15" spans="1:17" s="12" customFormat="1" ht="27" customHeight="1">
      <c r="A15" s="639" t="s">
        <v>5</v>
      </c>
      <c r="B15" s="639"/>
      <c r="C15" s="639"/>
      <c r="D15" s="640" t="str">
        <f>IF(J9="","",J9)</f>
        <v/>
      </c>
      <c r="E15" s="640"/>
      <c r="F15" s="640"/>
      <c r="G15" s="640"/>
      <c r="H15" s="640"/>
      <c r="I15" s="640"/>
      <c r="J15" s="640"/>
      <c r="K15" s="640"/>
      <c r="L15" s="640"/>
      <c r="M15" s="640"/>
      <c r="N15" s="640"/>
      <c r="O15" s="640"/>
      <c r="P15" s="640"/>
      <c r="Q15" s="640"/>
    </row>
    <row r="16" spans="1:17" s="12" customFormat="1" ht="27" customHeight="1">
      <c r="A16" s="639" t="s">
        <v>6</v>
      </c>
      <c r="B16" s="639"/>
      <c r="C16" s="639"/>
      <c r="D16" s="640" t="str">
        <f>IF(はじめに!E14="","",はじめに!E14)</f>
        <v/>
      </c>
      <c r="E16" s="640"/>
      <c r="F16" s="640"/>
      <c r="G16" s="640"/>
      <c r="H16" s="640"/>
      <c r="I16" s="640"/>
      <c r="J16" s="640"/>
      <c r="K16" s="640"/>
      <c r="L16" s="640"/>
      <c r="M16" s="640"/>
      <c r="N16" s="640"/>
      <c r="O16" s="640"/>
      <c r="P16" s="640"/>
      <c r="Q16" s="640"/>
    </row>
    <row r="17" spans="1:17" s="12" customFormat="1" ht="27" customHeight="1">
      <c r="A17" s="639" t="s">
        <v>7</v>
      </c>
      <c r="B17" s="639"/>
      <c r="C17" s="639"/>
      <c r="D17" s="640" t="str">
        <f>IF(はじめに!E16="","",はじめに!E16)</f>
        <v/>
      </c>
      <c r="E17" s="640"/>
      <c r="F17" s="640"/>
      <c r="G17" s="640"/>
      <c r="H17" s="640"/>
      <c r="I17" s="640"/>
      <c r="J17" s="640"/>
      <c r="K17" s="640"/>
      <c r="L17" s="640"/>
      <c r="M17" s="640"/>
      <c r="N17" s="640"/>
      <c r="O17" s="640"/>
      <c r="P17" s="640"/>
      <c r="Q17" s="640"/>
    </row>
    <row r="18" spans="1:17" s="12" customFormat="1" ht="18.75" customHeight="1">
      <c r="A18" s="527"/>
      <c r="B18" s="527"/>
      <c r="C18" s="527"/>
      <c r="D18" s="526"/>
      <c r="E18" s="526"/>
      <c r="F18" s="526"/>
      <c r="G18" s="526"/>
      <c r="H18" s="526"/>
      <c r="I18" s="526"/>
      <c r="J18" s="526"/>
      <c r="K18" s="526"/>
      <c r="L18" s="526"/>
      <c r="M18" s="526"/>
      <c r="N18" s="526"/>
      <c r="O18" s="526"/>
      <c r="P18" s="526"/>
    </row>
    <row r="19" spans="1:17" s="12" customFormat="1" ht="33.75" customHeight="1">
      <c r="A19" s="621" t="s">
        <v>3097</v>
      </c>
      <c r="B19" s="622"/>
      <c r="C19" s="623"/>
      <c r="D19" s="15" t="str">
        <f>IF(はじめに!S10=TRUE,"〇","")</f>
        <v/>
      </c>
      <c r="E19" s="640" t="s">
        <v>4048</v>
      </c>
      <c r="F19" s="640"/>
      <c r="G19" s="640"/>
      <c r="H19" s="640"/>
      <c r="I19" s="640"/>
      <c r="J19" s="640"/>
      <c r="K19" s="640"/>
      <c r="L19" s="640"/>
      <c r="M19" s="640"/>
      <c r="N19" s="640"/>
      <c r="O19" s="640"/>
      <c r="P19" s="640"/>
      <c r="Q19" s="640"/>
    </row>
    <row r="20" spans="1:17" s="12" customFormat="1" ht="33.75" customHeight="1">
      <c r="A20" s="784"/>
      <c r="B20" s="785"/>
      <c r="C20" s="786"/>
      <c r="D20" s="15" t="str">
        <f>IF(はじめに!S11=TRUE,"〇","")</f>
        <v/>
      </c>
      <c r="E20" s="640" t="s">
        <v>4084</v>
      </c>
      <c r="F20" s="640"/>
      <c r="G20" s="640"/>
      <c r="H20" s="640"/>
      <c r="I20" s="640"/>
      <c r="J20" s="640"/>
      <c r="K20" s="640"/>
      <c r="L20" s="640"/>
      <c r="M20" s="640"/>
      <c r="N20" s="640"/>
      <c r="O20" s="640"/>
      <c r="P20" s="640"/>
      <c r="Q20" s="640"/>
    </row>
    <row r="21" spans="1:17" s="12" customFormat="1" ht="33.75" customHeight="1">
      <c r="A21" s="784"/>
      <c r="B21" s="785"/>
      <c r="C21" s="786"/>
      <c r="D21" s="15" t="str">
        <f>IF(はじめに!S12=TRUE,"〇","")</f>
        <v/>
      </c>
      <c r="E21" s="640" t="s">
        <v>4085</v>
      </c>
      <c r="F21" s="640"/>
      <c r="G21" s="640"/>
      <c r="H21" s="640"/>
      <c r="I21" s="640"/>
      <c r="J21" s="640"/>
      <c r="K21" s="640"/>
      <c r="L21" s="640"/>
      <c r="M21" s="640"/>
      <c r="N21" s="640"/>
      <c r="O21" s="640"/>
      <c r="P21" s="640"/>
      <c r="Q21" s="640"/>
    </row>
    <row r="22" spans="1:17" s="12" customFormat="1" ht="33.75" customHeight="1">
      <c r="A22" s="624"/>
      <c r="B22" s="625"/>
      <c r="C22" s="626"/>
      <c r="D22" s="15" t="str">
        <f>IF(はじめに!S13=TRUE,"〇","")</f>
        <v>〇</v>
      </c>
      <c r="E22" s="640" t="s">
        <v>4050</v>
      </c>
      <c r="F22" s="640"/>
      <c r="G22" s="640"/>
      <c r="H22" s="640"/>
      <c r="I22" s="640"/>
      <c r="J22" s="640"/>
      <c r="K22" s="640"/>
      <c r="L22" s="640"/>
      <c r="M22" s="640"/>
      <c r="N22" s="640"/>
      <c r="O22" s="640"/>
      <c r="P22" s="640"/>
      <c r="Q22" s="640"/>
    </row>
    <row r="23" spans="1:17" s="12" customFormat="1" ht="18.75" customHeight="1"/>
    <row r="24" spans="1:17" s="12" customFormat="1" ht="27" customHeight="1">
      <c r="A24" s="933" t="s">
        <v>4086</v>
      </c>
      <c r="B24" s="933"/>
      <c r="C24" s="933"/>
      <c r="D24" s="790" t="s">
        <v>12</v>
      </c>
      <c r="E24" s="791"/>
      <c r="F24" s="789" t="s">
        <v>13</v>
      </c>
      <c r="G24" s="618"/>
      <c r="H24" s="640" t="str">
        <f>IF(はじめに!E21="","",はじめに!E21)</f>
        <v/>
      </c>
      <c r="I24" s="640"/>
      <c r="J24" s="640"/>
      <c r="K24" s="640"/>
      <c r="L24" s="640"/>
      <c r="M24" s="640"/>
      <c r="N24" s="640"/>
      <c r="O24" s="640"/>
      <c r="P24" s="640"/>
      <c r="Q24" s="640"/>
    </row>
    <row r="25" spans="1:17" s="12" customFormat="1" ht="27" customHeight="1">
      <c r="A25" s="933"/>
      <c r="B25" s="933"/>
      <c r="C25" s="933"/>
      <c r="D25" s="792"/>
      <c r="E25" s="793"/>
      <c r="F25" s="789" t="s">
        <v>14</v>
      </c>
      <c r="G25" s="618"/>
      <c r="H25" s="640" t="str">
        <f>IF(はじめに!E24="","",はじめに!E24)</f>
        <v/>
      </c>
      <c r="I25" s="640"/>
      <c r="J25" s="640"/>
      <c r="K25" s="640"/>
      <c r="L25" s="640"/>
      <c r="M25" s="640"/>
      <c r="N25" s="640"/>
      <c r="O25" s="640"/>
      <c r="P25" s="640"/>
      <c r="Q25" s="640"/>
    </row>
    <row r="26" spans="1:17" s="12" customFormat="1" ht="27" customHeight="1">
      <c r="A26" s="933"/>
      <c r="B26" s="933"/>
      <c r="C26" s="933"/>
      <c r="D26" s="789" t="s">
        <v>3106</v>
      </c>
      <c r="E26" s="617"/>
      <c r="F26" s="617"/>
      <c r="G26" s="618"/>
      <c r="H26" s="640" t="str">
        <f>IF(はじめに!F22="","",はじめに!F22 &amp; "-")  &amp; IF(はじめに!H22="","",はじめに!H22)</f>
        <v/>
      </c>
      <c r="I26" s="640"/>
      <c r="J26" s="640"/>
      <c r="K26" s="640"/>
      <c r="L26" s="640"/>
      <c r="M26" s="640"/>
      <c r="N26" s="640"/>
      <c r="O26" s="640"/>
      <c r="P26" s="640"/>
      <c r="Q26" s="640"/>
    </row>
    <row r="27" spans="1:17" s="12" customFormat="1" ht="27" customHeight="1">
      <c r="A27" s="933"/>
      <c r="B27" s="933"/>
      <c r="C27" s="933"/>
      <c r="D27" s="789" t="s">
        <v>4087</v>
      </c>
      <c r="E27" s="617"/>
      <c r="F27" s="617"/>
      <c r="G27" s="618"/>
      <c r="H27" s="640" t="str">
        <f>IF(はじめに!E23="","",はじめに!E23)</f>
        <v/>
      </c>
      <c r="I27" s="640"/>
      <c r="J27" s="640"/>
      <c r="K27" s="640"/>
      <c r="L27" s="640"/>
      <c r="M27" s="640"/>
      <c r="N27" s="640"/>
      <c r="O27" s="640"/>
      <c r="P27" s="640"/>
      <c r="Q27" s="640"/>
    </row>
    <row r="28" spans="1:17" s="12" customFormat="1" ht="27" customHeight="1">
      <c r="A28" s="933"/>
      <c r="B28" s="933"/>
      <c r="C28" s="933"/>
      <c r="D28" s="789" t="s">
        <v>4088</v>
      </c>
      <c r="E28" s="617"/>
      <c r="F28" s="617"/>
      <c r="G28" s="618"/>
      <c r="H28" s="640" t="str">
        <f>IF(はじめに!E25="","",はじめに!E25)</f>
        <v/>
      </c>
      <c r="I28" s="640"/>
      <c r="J28" s="640"/>
      <c r="K28" s="640"/>
      <c r="L28" s="640"/>
      <c r="M28" s="640"/>
      <c r="N28" s="640"/>
      <c r="O28" s="640"/>
      <c r="P28" s="640"/>
      <c r="Q28" s="640"/>
    </row>
    <row r="29" spans="1:17" s="12" customFormat="1" ht="27" customHeight="1">
      <c r="A29" s="933"/>
      <c r="B29" s="933"/>
      <c r="C29" s="933"/>
      <c r="D29" s="789" t="s">
        <v>4089</v>
      </c>
      <c r="E29" s="617"/>
      <c r="F29" s="617"/>
      <c r="G29" s="618"/>
      <c r="H29" s="640" t="str">
        <f>IF(はじめに!E26="","",はじめに!E26)</f>
        <v/>
      </c>
      <c r="I29" s="640"/>
      <c r="J29" s="640"/>
      <c r="K29" s="640"/>
      <c r="L29" s="640"/>
      <c r="M29" s="640"/>
      <c r="N29" s="640"/>
      <c r="O29" s="640"/>
      <c r="P29" s="640"/>
      <c r="Q29" s="640"/>
    </row>
    <row r="30" spans="1:17" s="12" customFormat="1" ht="27" customHeight="1">
      <c r="A30" s="933"/>
      <c r="B30" s="933"/>
      <c r="C30" s="933"/>
      <c r="D30" s="789" t="s">
        <v>4090</v>
      </c>
      <c r="E30" s="617"/>
      <c r="F30" s="617"/>
      <c r="G30" s="618"/>
      <c r="H30" s="640" t="str">
        <f>IF(はじめに!E27="","",はじめに!E27)</f>
        <v/>
      </c>
      <c r="I30" s="640"/>
      <c r="J30" s="640"/>
      <c r="K30" s="640"/>
      <c r="L30" s="640"/>
      <c r="M30" s="640"/>
      <c r="N30" s="640"/>
      <c r="O30" s="640"/>
      <c r="P30" s="640"/>
      <c r="Q30" s="640"/>
    </row>
    <row r="31" spans="1:17" s="12" customFormat="1" ht="16.2"/>
    <row r="32" spans="1:17" s="12" customFormat="1" ht="16.2"/>
    <row r="33" spans="1:17" s="12" customFormat="1" ht="55.5" customHeight="1">
      <c r="A33" s="907" t="s">
        <v>15</v>
      </c>
      <c r="B33" s="809"/>
      <c r="C33" s="809"/>
      <c r="D33" s="809"/>
      <c r="E33" s="809"/>
      <c r="F33" s="529" t="s">
        <v>16</v>
      </c>
      <c r="G33" s="271"/>
      <c r="H33" s="808"/>
      <c r="I33" s="808"/>
      <c r="J33" s="808"/>
      <c r="K33" s="808"/>
      <c r="L33" s="808"/>
      <c r="M33" s="808"/>
      <c r="N33" s="808"/>
      <c r="O33" s="808"/>
      <c r="P33" s="808"/>
      <c r="Q33" s="808"/>
    </row>
    <row r="34" spans="1:17" s="12" customFormat="1" ht="55.5" customHeight="1">
      <c r="A34" s="907"/>
      <c r="B34" s="809"/>
      <c r="C34" s="809"/>
      <c r="D34" s="809"/>
      <c r="E34" s="809"/>
      <c r="F34" s="789" t="s">
        <v>17</v>
      </c>
      <c r="G34" s="618"/>
      <c r="H34" s="809"/>
      <c r="I34" s="809"/>
      <c r="J34" s="809"/>
      <c r="K34" s="809"/>
      <c r="L34" s="809"/>
      <c r="M34" s="809"/>
      <c r="N34" s="809"/>
      <c r="O34" s="809"/>
      <c r="P34" s="809"/>
      <c r="Q34" s="809"/>
    </row>
    <row r="35" spans="1:17" s="12" customFormat="1" ht="16.2"/>
  </sheetData>
  <sheetProtection algorithmName="SHA-512" hashValue="diwwhyvq/ZWMRT+BCl1s3eTjJW5rVLZ8HZSRb+gYKM0cCecHZS5GpF96mj/yQaGmaaxUoxpEd1jI96P7HWVIPw==" saltValue="j57+vwrTH3ta5eTRpZB3DA==" spinCount="100000" sheet="1" objects="1" scenarios="1" selectLockedCells="1"/>
  <mergeCells count="40">
    <mergeCell ref="A33:A34"/>
    <mergeCell ref="B33:E34"/>
    <mergeCell ref="H33:Q33"/>
    <mergeCell ref="F34:G34"/>
    <mergeCell ref="H34:Q34"/>
    <mergeCell ref="A19:C22"/>
    <mergeCell ref="E19:Q19"/>
    <mergeCell ref="E20:Q20"/>
    <mergeCell ref="E21:Q21"/>
    <mergeCell ref="E22:Q22"/>
    <mergeCell ref="A24:C30"/>
    <mergeCell ref="D24:E25"/>
    <mergeCell ref="F24:G24"/>
    <mergeCell ref="H24:Q24"/>
    <mergeCell ref="F25:G25"/>
    <mergeCell ref="H25:Q25"/>
    <mergeCell ref="D26:G26"/>
    <mergeCell ref="H26:Q26"/>
    <mergeCell ref="D27:G27"/>
    <mergeCell ref="H27:Q27"/>
    <mergeCell ref="D29:G29"/>
    <mergeCell ref="H29:Q29"/>
    <mergeCell ref="D30:G30"/>
    <mergeCell ref="H30:Q30"/>
    <mergeCell ref="D28:G28"/>
    <mergeCell ref="H28:Q28"/>
    <mergeCell ref="A17:C17"/>
    <mergeCell ref="D17:Q17"/>
    <mergeCell ref="B3:P3"/>
    <mergeCell ref="G8:H8"/>
    <mergeCell ref="J8:P8"/>
    <mergeCell ref="G9:H9"/>
    <mergeCell ref="J9:P9"/>
    <mergeCell ref="G10:H10"/>
    <mergeCell ref="J10:P10"/>
    <mergeCell ref="A12:Q13"/>
    <mergeCell ref="A15:C15"/>
    <mergeCell ref="D15:Q15"/>
    <mergeCell ref="A16:C16"/>
    <mergeCell ref="D16:Q16"/>
  </mergeCells>
  <phoneticPr fontId="1"/>
  <printOptions horizontalCentered="1" verticalCentered="1"/>
  <pageMargins left="0.70866141732283472" right="0.51181102362204722" top="0.55118110236220474" bottom="0.55118110236220474" header="0.31496062992125984" footer="0.31496062992125984"/>
  <pageSetup paperSize="9" scale="98" orientation="portrait" r:id="rId1"/>
  <headerFooter>
    <oddHeader>&amp;L様式第４号</oddHeader>
    <oddFooter>&amp;R&amp;8（一般事業所等用）</oddFooter>
  </headerFooter>
  <rowBreaks count="1" manualBreakCount="1">
    <brk id="34" max="16"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3">
    <tabColor rgb="FF00B050"/>
  </sheetPr>
  <dimension ref="A1:R58"/>
  <sheetViews>
    <sheetView showGridLines="0" view="pageBreakPreview" topLeftCell="A2" zoomScaleNormal="100" zoomScaleSheetLayoutView="100" workbookViewId="0">
      <selection activeCell="A2" sqref="A2"/>
    </sheetView>
  </sheetViews>
  <sheetFormatPr defaultColWidth="8.88671875" defaultRowHeight="17.399999999999999"/>
  <cols>
    <col min="1" max="4" width="4.33203125" style="1" customWidth="1"/>
    <col min="5" max="6" width="5.6640625" style="1" customWidth="1"/>
    <col min="7" max="17" width="7.109375" style="1" customWidth="1"/>
    <col min="18" max="38" width="5.6640625" style="1" customWidth="1"/>
    <col min="39" max="16384" width="8.88671875" style="1"/>
  </cols>
  <sheetData>
    <row r="1" spans="1:17" ht="8.4" customHeight="1"/>
    <row r="2" spans="1:17" ht="15.6" customHeight="1"/>
    <row r="3" spans="1:17" ht="25.5" customHeight="1">
      <c r="B3" s="934" t="s">
        <v>4911</v>
      </c>
      <c r="C3" s="934"/>
      <c r="D3" s="934"/>
      <c r="E3" s="934"/>
      <c r="F3" s="934"/>
      <c r="G3" s="934"/>
      <c r="H3" s="934"/>
      <c r="I3" s="934"/>
      <c r="J3" s="934"/>
      <c r="K3" s="934"/>
      <c r="L3" s="934"/>
      <c r="M3" s="934"/>
      <c r="N3" s="935" t="str">
        <f>" 第 "&amp;はじめに!F29&amp;" 年度分"</f>
        <v xml:space="preserve"> 第  年度分</v>
      </c>
      <c r="O3" s="935"/>
      <c r="P3" s="935"/>
    </row>
    <row r="4" spans="1:17" s="12" customFormat="1" ht="16.2"/>
    <row r="5" spans="1:17" s="12" customFormat="1" ht="17.25" customHeight="1">
      <c r="A5" s="61" t="s">
        <v>75</v>
      </c>
    </row>
    <row r="6" spans="1:17" s="12" customFormat="1" ht="19.5" customHeight="1">
      <c r="A6" s="822" t="s">
        <v>5</v>
      </c>
      <c r="B6" s="822"/>
      <c r="C6" s="822"/>
      <c r="D6" s="822"/>
      <c r="E6" s="640" t="str">
        <f>IF(はじめに!E6="","",はじめに!E6)</f>
        <v/>
      </c>
      <c r="F6" s="640"/>
      <c r="G6" s="640"/>
      <c r="H6" s="640"/>
      <c r="I6" s="640"/>
      <c r="J6" s="640"/>
      <c r="K6" s="640"/>
      <c r="L6" s="640"/>
      <c r="M6" s="640"/>
      <c r="N6" s="640"/>
      <c r="O6" s="640"/>
      <c r="P6" s="640"/>
      <c r="Q6" s="640"/>
    </row>
    <row r="7" spans="1:17" s="12" customFormat="1" ht="19.5" customHeight="1">
      <c r="A7" s="822" t="s">
        <v>6</v>
      </c>
      <c r="B7" s="822"/>
      <c r="C7" s="822"/>
      <c r="D7" s="822"/>
      <c r="E7" s="640" t="str">
        <f>IF(はじめに!E14="","",はじめに!E14)</f>
        <v/>
      </c>
      <c r="F7" s="640"/>
      <c r="G7" s="640"/>
      <c r="H7" s="640"/>
      <c r="I7" s="640"/>
      <c r="J7" s="640"/>
      <c r="K7" s="640"/>
      <c r="L7" s="640"/>
      <c r="M7" s="640"/>
      <c r="N7" s="640"/>
      <c r="O7" s="640"/>
      <c r="P7" s="640"/>
      <c r="Q7" s="640"/>
    </row>
    <row r="8" spans="1:17" s="12" customFormat="1" ht="19.5" customHeight="1">
      <c r="A8" s="822" t="s">
        <v>7</v>
      </c>
      <c r="B8" s="822"/>
      <c r="C8" s="822"/>
      <c r="D8" s="822"/>
      <c r="E8" s="640" t="str">
        <f>IF(はじめに!E16="","",はじめに!E16)</f>
        <v/>
      </c>
      <c r="F8" s="640"/>
      <c r="G8" s="640"/>
      <c r="H8" s="640"/>
      <c r="I8" s="640"/>
      <c r="J8" s="640"/>
      <c r="K8" s="640"/>
      <c r="L8" s="640"/>
      <c r="M8" s="640"/>
      <c r="N8" s="640"/>
      <c r="O8" s="640"/>
      <c r="P8" s="640"/>
      <c r="Q8" s="640"/>
    </row>
    <row r="9" spans="1:17" s="12" customFormat="1" ht="19.5" customHeight="1">
      <c r="A9" s="834" t="s">
        <v>4091</v>
      </c>
      <c r="B9" s="835"/>
      <c r="C9" s="835"/>
      <c r="D9" s="836"/>
      <c r="E9" s="810" t="str">
        <f>IF(はじめに!S17="","",はじめに!S17)</f>
        <v/>
      </c>
      <c r="F9" s="810"/>
      <c r="G9" s="810"/>
      <c r="H9" s="810"/>
      <c r="I9" s="810"/>
      <c r="J9" s="810"/>
      <c r="K9" s="810"/>
      <c r="L9" s="810"/>
      <c r="M9" s="810"/>
      <c r="N9" s="810"/>
      <c r="O9" s="810"/>
      <c r="P9" s="810"/>
      <c r="Q9" s="810"/>
    </row>
    <row r="10" spans="1:17" s="12" customFormat="1" ht="19.5" customHeight="1">
      <c r="A10" s="823" t="s">
        <v>4064</v>
      </c>
      <c r="B10" s="824"/>
      <c r="C10" s="824"/>
      <c r="D10" s="825"/>
      <c r="E10" s="22" t="str">
        <f>IF(報告書提出書!D19="","",報告書提出書!D19)</f>
        <v/>
      </c>
      <c r="F10" s="811" t="s">
        <v>4062</v>
      </c>
      <c r="G10" s="812"/>
      <c r="H10" s="812"/>
      <c r="I10" s="812"/>
      <c r="J10" s="812"/>
      <c r="K10" s="812"/>
      <c r="L10" s="812"/>
      <c r="M10" s="812"/>
      <c r="N10" s="812"/>
      <c r="O10" s="812"/>
      <c r="P10" s="812"/>
      <c r="Q10" s="813"/>
    </row>
    <row r="11" spans="1:17" s="12" customFormat="1" ht="19.5" customHeight="1">
      <c r="A11" s="826"/>
      <c r="B11" s="827"/>
      <c r="C11" s="827"/>
      <c r="D11" s="828"/>
      <c r="E11" s="22" t="str">
        <f>IF(報告書提出書!D20="","",報告書提出書!D20)</f>
        <v/>
      </c>
      <c r="F11" s="811" t="s">
        <v>4065</v>
      </c>
      <c r="G11" s="812"/>
      <c r="H11" s="812"/>
      <c r="I11" s="812"/>
      <c r="J11" s="812"/>
      <c r="K11" s="812"/>
      <c r="L11" s="812"/>
      <c r="M11" s="812"/>
      <c r="N11" s="812"/>
      <c r="O11" s="812"/>
      <c r="P11" s="812"/>
      <c r="Q11" s="813"/>
    </row>
    <row r="12" spans="1:17" s="12" customFormat="1" ht="19.5" customHeight="1">
      <c r="A12" s="826"/>
      <c r="B12" s="827"/>
      <c r="C12" s="827"/>
      <c r="D12" s="828"/>
      <c r="E12" s="22" t="str">
        <f>IF(報告書提出書!D21="","",報告書提出書!D21)</f>
        <v/>
      </c>
      <c r="F12" s="811" t="s">
        <v>4066</v>
      </c>
      <c r="G12" s="812"/>
      <c r="H12" s="812"/>
      <c r="I12" s="812"/>
      <c r="J12" s="812"/>
      <c r="K12" s="812"/>
      <c r="L12" s="812"/>
      <c r="M12" s="812"/>
      <c r="N12" s="812"/>
      <c r="O12" s="812"/>
      <c r="P12" s="812"/>
      <c r="Q12" s="813"/>
    </row>
    <row r="13" spans="1:17" s="12" customFormat="1" ht="19.5" customHeight="1">
      <c r="A13" s="829"/>
      <c r="B13" s="830"/>
      <c r="C13" s="830"/>
      <c r="D13" s="831"/>
      <c r="E13" s="22" t="str">
        <f>IF(報告書提出書!D22="","",報告書提出書!D22)</f>
        <v>〇</v>
      </c>
      <c r="F13" s="811" t="s">
        <v>4063</v>
      </c>
      <c r="G13" s="812"/>
      <c r="H13" s="812"/>
      <c r="I13" s="812"/>
      <c r="J13" s="812"/>
      <c r="K13" s="812"/>
      <c r="L13" s="812"/>
      <c r="M13" s="812"/>
      <c r="N13" s="812"/>
      <c r="O13" s="812"/>
      <c r="P13" s="812"/>
      <c r="Q13" s="813"/>
    </row>
    <row r="14" spans="1:17" s="12" customFormat="1" ht="8.25" customHeight="1">
      <c r="A14" s="74"/>
      <c r="B14" s="74"/>
      <c r="C14" s="74"/>
      <c r="D14" s="74"/>
      <c r="E14" s="75"/>
      <c r="F14" s="75"/>
      <c r="G14" s="75"/>
      <c r="H14" s="75"/>
      <c r="I14" s="75"/>
      <c r="J14" s="75"/>
      <c r="K14" s="75"/>
      <c r="L14" s="75"/>
      <c r="M14" s="75"/>
      <c r="N14" s="75"/>
      <c r="O14" s="75"/>
      <c r="P14" s="75"/>
    </row>
    <row r="15" spans="1:17" s="12" customFormat="1" ht="17.25" customHeight="1">
      <c r="A15" s="61" t="s">
        <v>4092</v>
      </c>
    </row>
    <row r="16" spans="1:17" s="12" customFormat="1" ht="19.5" customHeight="1">
      <c r="A16" s="837" t="s">
        <v>4093</v>
      </c>
      <c r="B16" s="838"/>
      <c r="C16" s="838"/>
      <c r="D16" s="839"/>
      <c r="E16" s="851" t="s">
        <v>77</v>
      </c>
      <c r="F16" s="853"/>
      <c r="G16" s="76" t="str">
        <f>IF(はじめに!E4="","",はじめに!E4)</f>
        <v/>
      </c>
      <c r="H16" s="270" t="s">
        <v>85</v>
      </c>
      <c r="I16" s="820" t="s">
        <v>4045</v>
      </c>
      <c r="J16" s="821"/>
      <c r="K16" s="832" t="str">
        <f>IF('報告書①（事業所概要・実績）'!H22="","",'報告書①（事業所概要・実績）'!H22)</f>
        <v/>
      </c>
      <c r="L16" s="833"/>
      <c r="M16" s="78" t="s">
        <v>4956</v>
      </c>
      <c r="N16" s="820" t="s">
        <v>4047</v>
      </c>
      <c r="O16" s="821"/>
      <c r="P16" s="936" t="str">
        <f>IF('報告書①（事業所概要・実績）'!M22="","",'報告書①（事業所概要・実績）'!M22)</f>
        <v/>
      </c>
      <c r="Q16" s="937"/>
    </row>
    <row r="17" spans="1:18" s="12" customFormat="1" ht="19.5" customHeight="1">
      <c r="A17" s="840"/>
      <c r="B17" s="841"/>
      <c r="C17" s="841"/>
      <c r="D17" s="842"/>
      <c r="E17" s="860" t="s">
        <v>150</v>
      </c>
      <c r="F17" s="861"/>
      <c r="G17" s="940">
        <f>IF(はじめに!H3="","",はじめに!H3)</f>
        <v>2025</v>
      </c>
      <c r="H17" s="942" t="s">
        <v>85</v>
      </c>
      <c r="I17" s="820" t="s">
        <v>4046</v>
      </c>
      <c r="J17" s="821"/>
      <c r="K17" s="832" t="str">
        <f>IF('報告書①（事業所概要・実績）'!H23="","",'報告書①（事業所概要・実績）'!H23)</f>
        <v/>
      </c>
      <c r="L17" s="833"/>
      <c r="M17" s="78" t="s">
        <v>4956</v>
      </c>
      <c r="N17" s="820" t="s">
        <v>156</v>
      </c>
      <c r="O17" s="821"/>
      <c r="P17" s="936" t="str">
        <f>IF('報告書①（事業所概要・実績）'!M23="","",'報告書①（事業所概要・実績）'!M23)</f>
        <v/>
      </c>
      <c r="Q17" s="937"/>
    </row>
    <row r="18" spans="1:18" s="12" customFormat="1" ht="19.5" customHeight="1">
      <c r="A18" s="840"/>
      <c r="B18" s="841"/>
      <c r="C18" s="841"/>
      <c r="D18" s="842"/>
      <c r="E18" s="862"/>
      <c r="F18" s="863"/>
      <c r="G18" s="780"/>
      <c r="H18" s="943"/>
      <c r="I18" s="851" t="s">
        <v>4043</v>
      </c>
      <c r="J18" s="854"/>
      <c r="K18" s="938" t="str">
        <f>IF('報告書①（事業所概要・実績）'!H24="","",'報告書①（事業所概要・実績）'!H24)</f>
        <v/>
      </c>
      <c r="L18" s="939"/>
      <c r="M18" s="73" t="s">
        <v>151</v>
      </c>
      <c r="N18" s="851" t="s">
        <v>4043</v>
      </c>
      <c r="O18" s="854"/>
      <c r="P18" s="80" t="str">
        <f>IF('報告書①（事業所概要・実績）'!M24="","",'報告書①（事業所概要・実績）'!M24)</f>
        <v/>
      </c>
      <c r="Q18" s="84" t="s">
        <v>4094</v>
      </c>
    </row>
    <row r="19" spans="1:18" s="12" customFormat="1" ht="38.1" customHeight="1">
      <c r="A19" s="843"/>
      <c r="B19" s="844"/>
      <c r="C19" s="844"/>
      <c r="D19" s="845"/>
      <c r="E19" s="864"/>
      <c r="F19" s="865"/>
      <c r="G19" s="941"/>
      <c r="H19" s="944"/>
      <c r="I19" s="849" t="s">
        <v>5163</v>
      </c>
      <c r="J19" s="850"/>
      <c r="K19" s="858" t="str">
        <f>IF('計画書①（事業所概要・目標）'!H27="","",'計画書①（事業所概要・目標）'!H27)</f>
        <v/>
      </c>
      <c r="L19" s="859"/>
      <c r="M19" s="232" t="s">
        <v>151</v>
      </c>
      <c r="N19" s="849" t="s">
        <v>5164</v>
      </c>
      <c r="O19" s="850"/>
      <c r="P19" s="233" t="str">
        <f>IF('計画書①（事業所概要・目標）'!M27="","",'計画書①（事業所概要・目標）'!M27)</f>
        <v/>
      </c>
      <c r="Q19" s="234" t="s">
        <v>151</v>
      </c>
      <c r="R19"/>
    </row>
    <row r="20" spans="1:18" s="12" customFormat="1" ht="19.5" customHeight="1">
      <c r="A20" s="837" t="s">
        <v>4095</v>
      </c>
      <c r="B20" s="838"/>
      <c r="C20" s="838"/>
      <c r="D20" s="839"/>
      <c r="E20" s="860" t="s">
        <v>4096</v>
      </c>
      <c r="F20" s="861"/>
      <c r="G20" s="940" t="str">
        <f>IF('報告書①（事業所概要・実績）'!C26="","",'報告書①（事業所概要・実績）'!C26)</f>
        <v/>
      </c>
      <c r="H20" s="942" t="s">
        <v>85</v>
      </c>
      <c r="I20" s="852" t="s">
        <v>4097</v>
      </c>
      <c r="J20" s="821"/>
      <c r="K20" s="832" t="str">
        <f>IF('報告書①（事業所概要・実績）'!H26="","",'報告書①（事業所概要・実績）'!H26)</f>
        <v/>
      </c>
      <c r="L20" s="833"/>
      <c r="M20" s="78" t="s">
        <v>4956</v>
      </c>
      <c r="N20" s="820" t="s">
        <v>4098</v>
      </c>
      <c r="O20" s="821"/>
      <c r="P20" s="936" t="str">
        <f>IF('報告書①（事業所概要・実績）'!M26="","",'報告書①（事業所概要・実績）'!M26)</f>
        <v/>
      </c>
      <c r="Q20" s="937"/>
    </row>
    <row r="21" spans="1:18" s="12" customFormat="1" ht="19.5" customHeight="1">
      <c r="A21" s="840"/>
      <c r="B21" s="841"/>
      <c r="C21" s="841"/>
      <c r="D21" s="842"/>
      <c r="E21" s="862"/>
      <c r="F21" s="863"/>
      <c r="G21" s="780"/>
      <c r="H21" s="943"/>
      <c r="I21" s="851" t="s">
        <v>4043</v>
      </c>
      <c r="J21" s="853"/>
      <c r="K21" s="938" t="str">
        <f>IF('報告書①（事業所概要・実績）'!H27="","",'報告書①（事業所概要・実績）'!H27)</f>
        <v/>
      </c>
      <c r="L21" s="939"/>
      <c r="M21" s="72" t="s">
        <v>4094</v>
      </c>
      <c r="N21" s="851" t="s">
        <v>4043</v>
      </c>
      <c r="O21" s="854"/>
      <c r="P21" s="80" t="str">
        <f>IF('報告書①（事業所概要・実績）'!M27="","",'報告書①（事業所概要・実績）'!M27)</f>
        <v/>
      </c>
      <c r="Q21" s="73" t="s">
        <v>4094</v>
      </c>
    </row>
    <row r="22" spans="1:18" s="12" customFormat="1" ht="35.4" customHeight="1">
      <c r="A22" s="840"/>
      <c r="B22" s="841"/>
      <c r="C22" s="841"/>
      <c r="D22" s="842"/>
      <c r="E22" s="864"/>
      <c r="F22" s="865"/>
      <c r="G22" s="941"/>
      <c r="H22" s="944"/>
      <c r="I22" s="849" t="s">
        <v>5163</v>
      </c>
      <c r="J22" s="850"/>
      <c r="K22" s="858" t="str">
        <f>IF('報告書①（事業所概要・実績）'!H28="","",'報告書①（事業所概要・実績）'!H28)</f>
        <v/>
      </c>
      <c r="L22" s="859"/>
      <c r="M22" s="232" t="s">
        <v>151</v>
      </c>
      <c r="N22" s="849" t="s">
        <v>5164</v>
      </c>
      <c r="O22" s="850"/>
      <c r="P22" s="233" t="str">
        <f>IF('報告書①（事業所概要・実績）'!M28="","",'報告書①（事業所概要・実績）'!M28)</f>
        <v/>
      </c>
      <c r="Q22" s="234" t="s">
        <v>151</v>
      </c>
    </row>
    <row r="23" spans="1:18" s="12" customFormat="1" ht="39" customHeight="1">
      <c r="A23" s="840"/>
      <c r="B23" s="841"/>
      <c r="C23" s="841"/>
      <c r="D23" s="842"/>
      <c r="E23" s="851" t="s">
        <v>4100</v>
      </c>
      <c r="F23" s="853"/>
      <c r="G23" s="812" t="str">
        <f>IF('報告書①（事業所概要・実績）'!C29="","",'報告書①（事業所概要・実績）'!C29)</f>
        <v/>
      </c>
      <c r="H23" s="812"/>
      <c r="I23" s="812"/>
      <c r="J23" s="812"/>
      <c r="K23" s="812"/>
      <c r="L23" s="812"/>
      <c r="M23" s="812"/>
      <c r="N23" s="812"/>
      <c r="O23" s="812"/>
      <c r="P23" s="812"/>
      <c r="Q23" s="813"/>
    </row>
    <row r="24" spans="1:18" s="12" customFormat="1" ht="19.5" customHeight="1">
      <c r="A24" s="840"/>
      <c r="B24" s="841"/>
      <c r="C24" s="841"/>
      <c r="D24" s="842"/>
      <c r="E24" s="860" t="s">
        <v>4101</v>
      </c>
      <c r="F24" s="861"/>
      <c r="G24" s="940" t="str">
        <f>IF('報告書①（事業所概要・実績）'!C30="","",'報告書①（事業所概要・実績）'!C30)</f>
        <v/>
      </c>
      <c r="H24" s="942" t="s">
        <v>85</v>
      </c>
      <c r="I24" s="852" t="s">
        <v>4097</v>
      </c>
      <c r="J24" s="821"/>
      <c r="K24" s="832" t="str">
        <f>IF('報告書①（事業所概要・実績）'!H30="","",'報告書①（事業所概要・実績）'!H30)</f>
        <v/>
      </c>
      <c r="L24" s="833"/>
      <c r="M24" s="78" t="s">
        <v>4956</v>
      </c>
      <c r="N24" s="820" t="s">
        <v>4098</v>
      </c>
      <c r="O24" s="821"/>
      <c r="P24" s="936" t="str">
        <f>IF('報告書①（事業所概要・実績）'!M30="","",'報告書①（事業所概要・実績）'!M30)</f>
        <v/>
      </c>
      <c r="Q24" s="937"/>
    </row>
    <row r="25" spans="1:18" s="12" customFormat="1" ht="19.5" customHeight="1">
      <c r="A25" s="840"/>
      <c r="B25" s="841"/>
      <c r="C25" s="841"/>
      <c r="D25" s="842"/>
      <c r="E25" s="862"/>
      <c r="F25" s="863"/>
      <c r="G25" s="780"/>
      <c r="H25" s="943"/>
      <c r="I25" s="851" t="s">
        <v>4043</v>
      </c>
      <c r="J25" s="853"/>
      <c r="K25" s="938" t="str">
        <f>IF('報告書①（事業所概要・実績）'!H31="","",'報告書①（事業所概要・実績）'!H31)</f>
        <v/>
      </c>
      <c r="L25" s="939"/>
      <c r="M25" s="72" t="s">
        <v>4094</v>
      </c>
      <c r="N25" s="851" t="s">
        <v>4043</v>
      </c>
      <c r="O25" s="854"/>
      <c r="P25" s="80" t="str">
        <f>IF('報告書①（事業所概要・実績）'!M31="","",'報告書①（事業所概要・実績）'!M31)</f>
        <v/>
      </c>
      <c r="Q25" s="73" t="s">
        <v>151</v>
      </c>
    </row>
    <row r="26" spans="1:18" s="12" customFormat="1" ht="45.6" customHeight="1">
      <c r="A26" s="840"/>
      <c r="B26" s="841"/>
      <c r="C26" s="841"/>
      <c r="D26" s="842"/>
      <c r="E26" s="864"/>
      <c r="F26" s="865"/>
      <c r="G26" s="941"/>
      <c r="H26" s="944"/>
      <c r="I26" s="849" t="s">
        <v>5163</v>
      </c>
      <c r="J26" s="850"/>
      <c r="K26" s="858" t="str">
        <f>IF('報告書①（事業所概要・実績）'!H32="","",'報告書①（事業所概要・実績）'!H32)</f>
        <v/>
      </c>
      <c r="L26" s="859"/>
      <c r="M26" s="232" t="s">
        <v>151</v>
      </c>
      <c r="N26" s="849" t="s">
        <v>5164</v>
      </c>
      <c r="O26" s="850"/>
      <c r="P26" s="233" t="str">
        <f>IF('報告書①（事業所概要・実績）'!M32="","",'報告書①（事業所概要・実績）'!M32)</f>
        <v/>
      </c>
      <c r="Q26" s="234" t="s">
        <v>151</v>
      </c>
    </row>
    <row r="27" spans="1:18" s="12" customFormat="1" ht="39" customHeight="1">
      <c r="A27" s="840"/>
      <c r="B27" s="841"/>
      <c r="C27" s="841"/>
      <c r="D27" s="842"/>
      <c r="E27" s="851" t="s">
        <v>4099</v>
      </c>
      <c r="F27" s="853"/>
      <c r="G27" s="812" t="str">
        <f>IF('報告書①（事業所概要・実績）'!C33="","",'報告書①（事業所概要・実績）'!C33)</f>
        <v/>
      </c>
      <c r="H27" s="812"/>
      <c r="I27" s="812"/>
      <c r="J27" s="812"/>
      <c r="K27" s="812"/>
      <c r="L27" s="812"/>
      <c r="M27" s="812"/>
      <c r="N27" s="812"/>
      <c r="O27" s="812"/>
      <c r="P27" s="812"/>
      <c r="Q27" s="813"/>
    </row>
    <row r="28" spans="1:18" s="12" customFormat="1" ht="19.5" customHeight="1">
      <c r="A28" s="840"/>
      <c r="B28" s="841"/>
      <c r="C28" s="841"/>
      <c r="D28" s="842"/>
      <c r="E28" s="860" t="s">
        <v>4102</v>
      </c>
      <c r="F28" s="861"/>
      <c r="G28" s="940" t="str">
        <f>IF('報告書①（事業所概要・実績）'!C34="","",'報告書①（事業所概要・実績）'!C34)</f>
        <v/>
      </c>
      <c r="H28" s="942" t="s">
        <v>85</v>
      </c>
      <c r="I28" s="852" t="s">
        <v>4097</v>
      </c>
      <c r="J28" s="821"/>
      <c r="K28" s="832" t="str">
        <f>IF('報告書①（事業所概要・実績）'!H34="","",'報告書①（事業所概要・実績）'!H34)</f>
        <v/>
      </c>
      <c r="L28" s="833"/>
      <c r="M28" s="78" t="s">
        <v>4956</v>
      </c>
      <c r="N28" s="820" t="s">
        <v>4098</v>
      </c>
      <c r="O28" s="821"/>
      <c r="P28" s="936" t="str">
        <f>IF('報告書①（事業所概要・実績）'!M34="","",'報告書①（事業所概要・実績）'!M34)</f>
        <v/>
      </c>
      <c r="Q28" s="937"/>
    </row>
    <row r="29" spans="1:18" s="12" customFormat="1" ht="19.5" customHeight="1">
      <c r="A29" s="840"/>
      <c r="B29" s="841"/>
      <c r="C29" s="841"/>
      <c r="D29" s="842"/>
      <c r="E29" s="862"/>
      <c r="F29" s="863"/>
      <c r="G29" s="780"/>
      <c r="H29" s="943"/>
      <c r="I29" s="851" t="s">
        <v>4043</v>
      </c>
      <c r="J29" s="853"/>
      <c r="K29" s="938" t="str">
        <f>IF('報告書①（事業所概要・実績）'!H35="","",'報告書①（事業所概要・実績）'!H35)</f>
        <v/>
      </c>
      <c r="L29" s="939"/>
      <c r="M29" s="73" t="s">
        <v>4094</v>
      </c>
      <c r="N29" s="851" t="s">
        <v>4043</v>
      </c>
      <c r="O29" s="854"/>
      <c r="P29" s="80" t="str">
        <f>IF('報告書①（事業所概要・実績）'!M35="","",'報告書①（事業所概要・実績）'!M35)</f>
        <v/>
      </c>
      <c r="Q29" s="73" t="s">
        <v>151</v>
      </c>
    </row>
    <row r="30" spans="1:18" s="12" customFormat="1" ht="40.35" customHeight="1">
      <c r="A30" s="840"/>
      <c r="B30" s="841"/>
      <c r="C30" s="841"/>
      <c r="D30" s="842"/>
      <c r="E30" s="864"/>
      <c r="F30" s="865"/>
      <c r="G30" s="941"/>
      <c r="H30" s="944"/>
      <c r="I30" s="849" t="s">
        <v>5163</v>
      </c>
      <c r="J30" s="850"/>
      <c r="K30" s="858" t="str">
        <f>IF('報告書①（事業所概要・実績）'!H36="","",'報告書①（事業所概要・実績）'!H36)</f>
        <v/>
      </c>
      <c r="L30" s="859"/>
      <c r="M30" s="232" t="s">
        <v>151</v>
      </c>
      <c r="N30" s="849" t="s">
        <v>5164</v>
      </c>
      <c r="O30" s="850"/>
      <c r="P30" s="233" t="str">
        <f>IF('報告書①（事業所概要・実績）'!M36="","",'報告書①（事業所概要・実績）'!M36)</f>
        <v/>
      </c>
      <c r="Q30" s="234" t="s">
        <v>151</v>
      </c>
    </row>
    <row r="31" spans="1:18" s="12" customFormat="1" ht="39" customHeight="1">
      <c r="A31" s="843"/>
      <c r="B31" s="844"/>
      <c r="C31" s="844"/>
      <c r="D31" s="845"/>
      <c r="E31" s="851" t="s">
        <v>4100</v>
      </c>
      <c r="F31" s="853"/>
      <c r="G31" s="812" t="str">
        <f>IF('報告書①（事業所概要・実績）'!C37="","",'報告書①（事業所概要・実績）'!C37)</f>
        <v/>
      </c>
      <c r="H31" s="812"/>
      <c r="I31" s="812"/>
      <c r="J31" s="812"/>
      <c r="K31" s="812"/>
      <c r="L31" s="812"/>
      <c r="M31" s="812"/>
      <c r="N31" s="812"/>
      <c r="O31" s="812"/>
      <c r="P31" s="812"/>
      <c r="Q31" s="813"/>
    </row>
    <row r="32" spans="1:18" s="12" customFormat="1" ht="8.25" customHeight="1"/>
    <row r="33" spans="1:17" s="12" customFormat="1" ht="17.25" customHeight="1">
      <c r="A33" s="61" t="s">
        <v>3100</v>
      </c>
    </row>
    <row r="34" spans="1:17" s="12" customFormat="1" ht="22.5" customHeight="1">
      <c r="A34" s="823" t="s">
        <v>4103</v>
      </c>
      <c r="B34" s="824"/>
      <c r="C34" s="824"/>
      <c r="D34" s="825"/>
      <c r="E34" s="820" t="s">
        <v>4104</v>
      </c>
      <c r="F34" s="821"/>
      <c r="G34" s="85" t="str">
        <f>IF('計画書② (取組）'!J9="","",'計画書② (取組）'!J9*100)</f>
        <v/>
      </c>
      <c r="H34" s="73" t="s">
        <v>4094</v>
      </c>
      <c r="I34" s="815" t="s">
        <v>4150</v>
      </c>
      <c r="J34" s="815"/>
      <c r="K34" s="85" t="str">
        <f>IF('計画書② (取組）'!J10="","",'計画書② (取組）'!J10*100)</f>
        <v/>
      </c>
      <c r="L34" s="73" t="s">
        <v>151</v>
      </c>
      <c r="M34" s="945"/>
      <c r="N34" s="945"/>
    </row>
    <row r="35" spans="1:17" s="12" customFormat="1" ht="45" customHeight="1">
      <c r="A35" s="826"/>
      <c r="B35" s="827"/>
      <c r="C35" s="827"/>
      <c r="D35" s="828"/>
      <c r="E35" s="855" t="s">
        <v>4105</v>
      </c>
      <c r="F35" s="857"/>
      <c r="G35" s="86" t="str">
        <f>IF('報告書② 第3年度(取組）'!T6="","",'報告書② 第3年度(取組）'!T6*100)</f>
        <v/>
      </c>
      <c r="H35" s="81" t="s">
        <v>4094</v>
      </c>
      <c r="I35" s="946" t="s">
        <v>4106</v>
      </c>
      <c r="J35" s="947"/>
      <c r="K35" s="810" t="str">
        <f>IF('報告書② 第3年度(取組）'!D38="","",'報告書② 第3年度(取組）'!D38)</f>
        <v/>
      </c>
      <c r="L35" s="810"/>
      <c r="M35" s="810"/>
      <c r="N35" s="810"/>
      <c r="O35" s="810"/>
      <c r="P35" s="810"/>
      <c r="Q35" s="810"/>
    </row>
    <row r="36" spans="1:17" s="12" customFormat="1" ht="45" customHeight="1">
      <c r="A36" s="826"/>
      <c r="B36" s="827"/>
      <c r="C36" s="827"/>
      <c r="D36" s="828"/>
      <c r="E36" s="855" t="s">
        <v>4107</v>
      </c>
      <c r="F36" s="857"/>
      <c r="G36" s="86" t="str">
        <f>IF('報告書② 第3年度(取組）'!T7="","",'報告書② 第3年度(取組）'!T7*100)</f>
        <v/>
      </c>
      <c r="H36" s="81" t="s">
        <v>4094</v>
      </c>
      <c r="I36" s="946" t="s">
        <v>4106</v>
      </c>
      <c r="J36" s="947"/>
      <c r="K36" s="810" t="str">
        <f>IF('報告書② 第2年度(取組）'!D39="","",'報告書② 第2年度(取組）'!D39)</f>
        <v/>
      </c>
      <c r="L36" s="810"/>
      <c r="M36" s="810"/>
      <c r="N36" s="810"/>
      <c r="O36" s="810"/>
      <c r="P36" s="810"/>
      <c r="Q36" s="810"/>
    </row>
    <row r="37" spans="1:17" s="12" customFormat="1" ht="45" customHeight="1">
      <c r="A37" s="829"/>
      <c r="B37" s="830"/>
      <c r="C37" s="830"/>
      <c r="D37" s="831"/>
      <c r="E37" s="820" t="s">
        <v>4108</v>
      </c>
      <c r="F37" s="821"/>
      <c r="G37" s="87" t="str">
        <f>IF('報告書② 第3年度(取組）'!T8="","",'報告書② 第3年度(取組）'!T8*100)</f>
        <v/>
      </c>
      <c r="H37" s="73" t="s">
        <v>4094</v>
      </c>
      <c r="I37" s="851" t="s">
        <v>4106</v>
      </c>
      <c r="J37" s="854"/>
      <c r="K37" s="810" t="str">
        <f>IF('報告書② 第3年度(取組）'!D40="","",'報告書② 第3年度(取組）'!D40)</f>
        <v/>
      </c>
      <c r="L37" s="810"/>
      <c r="M37" s="810"/>
      <c r="N37" s="810"/>
      <c r="O37" s="810"/>
      <c r="P37" s="810"/>
      <c r="Q37" s="810"/>
    </row>
    <row r="38" spans="1:17" s="12" customFormat="1" ht="22.5" customHeight="1"/>
    <row r="39" spans="1:17" s="12" customFormat="1" ht="22.5" customHeight="1"/>
    <row r="40" spans="1:17" s="12" customFormat="1" ht="22.5" customHeight="1"/>
    <row r="41" spans="1:17" s="12" customFormat="1" ht="22.5" customHeight="1">
      <c r="A41" s="823" t="s">
        <v>4109</v>
      </c>
      <c r="B41" s="824"/>
      <c r="C41" s="824"/>
      <c r="D41" s="825"/>
      <c r="E41" s="815" t="s">
        <v>89</v>
      </c>
      <c r="F41" s="815"/>
      <c r="G41" s="815"/>
      <c r="H41" s="815"/>
      <c r="I41" s="815"/>
      <c r="J41" s="815"/>
      <c r="K41" s="815"/>
      <c r="L41" s="815"/>
      <c r="M41" s="815"/>
      <c r="N41" s="815"/>
      <c r="O41" s="815"/>
      <c r="P41" s="815" t="s">
        <v>4110</v>
      </c>
      <c r="Q41" s="815"/>
    </row>
    <row r="42" spans="1:17" s="12" customFormat="1" ht="32.25" customHeight="1">
      <c r="A42" s="826"/>
      <c r="B42" s="827"/>
      <c r="C42" s="827"/>
      <c r="D42" s="828"/>
      <c r="E42" s="811" t="str">
        <f>IF(はじめに!$F$29=1,'報告書② 第1年度(取組）'!C45&amp;"",IF(はじめに!$F$29=2,'報告書② 第2年度(取組）'!C45&amp;"",'報告書② 第3年度(取組）'!C45&amp;""))</f>
        <v/>
      </c>
      <c r="F42" s="812"/>
      <c r="G42" s="812"/>
      <c r="H42" s="812"/>
      <c r="I42" s="812"/>
      <c r="J42" s="812"/>
      <c r="K42" s="812"/>
      <c r="L42" s="812"/>
      <c r="M42" s="812"/>
      <c r="N42" s="812"/>
      <c r="O42" s="813"/>
      <c r="P42" s="936" t="str">
        <f>IF(はじめに!$F$29=1,'報告書② 第1年度(取組）'!F45&amp;"",IF(はじめに!$F$29=2,'報告書② 第2年度(取組）'!G45&amp;"",'報告書② 第3年度(取組）'!H45&amp;""))</f>
        <v/>
      </c>
      <c r="Q42" s="937"/>
    </row>
    <row r="43" spans="1:17" s="12" customFormat="1" ht="32.25" customHeight="1">
      <c r="A43" s="826"/>
      <c r="B43" s="827"/>
      <c r="C43" s="827"/>
      <c r="D43" s="828"/>
      <c r="E43" s="811" t="str">
        <f>IF(はじめに!$F$29=1,'報告書② 第1年度(取組）'!C46&amp;"",IF(はじめに!$F$29=2,'報告書② 第2年度(取組）'!C46&amp;"",'報告書② 第3年度(取組）'!C46&amp;""))</f>
        <v/>
      </c>
      <c r="F43" s="812"/>
      <c r="G43" s="812"/>
      <c r="H43" s="812"/>
      <c r="I43" s="812"/>
      <c r="J43" s="812"/>
      <c r="K43" s="812"/>
      <c r="L43" s="812"/>
      <c r="M43" s="812"/>
      <c r="N43" s="812"/>
      <c r="O43" s="813"/>
      <c r="P43" s="936" t="str">
        <f>IF(はじめに!$F$29=1,'報告書② 第1年度(取組）'!F46&amp;"",IF(はじめに!$F$29=2,'報告書② 第2年度(取組）'!G46&amp;"",'報告書② 第3年度(取組）'!H46&amp;""))</f>
        <v/>
      </c>
      <c r="Q43" s="937"/>
    </row>
    <row r="44" spans="1:17" s="12" customFormat="1" ht="32.25" customHeight="1">
      <c r="A44" s="826"/>
      <c r="B44" s="827"/>
      <c r="C44" s="827"/>
      <c r="D44" s="828"/>
      <c r="E44" s="811" t="str">
        <f>IF(はじめに!$F$29=1,'報告書② 第1年度(取組）'!C47&amp;"",IF(はじめに!$F$29=2,'報告書② 第2年度(取組）'!C47&amp;"",'報告書② 第3年度(取組）'!C47&amp;""))</f>
        <v/>
      </c>
      <c r="F44" s="812"/>
      <c r="G44" s="812"/>
      <c r="H44" s="812"/>
      <c r="I44" s="812"/>
      <c r="J44" s="812"/>
      <c r="K44" s="812"/>
      <c r="L44" s="812"/>
      <c r="M44" s="812"/>
      <c r="N44" s="812"/>
      <c r="O44" s="813"/>
      <c r="P44" s="936" t="str">
        <f>IF(はじめに!$F$29=1,'報告書② 第1年度(取組）'!F47&amp;"",IF(はじめに!$F$29=2,'報告書② 第2年度(取組）'!G47&amp;"",'報告書② 第3年度(取組）'!H47&amp;""))</f>
        <v/>
      </c>
      <c r="Q44" s="937"/>
    </row>
    <row r="45" spans="1:17" s="12" customFormat="1" ht="32.25" customHeight="1">
      <c r="A45" s="826"/>
      <c r="B45" s="827"/>
      <c r="C45" s="827"/>
      <c r="D45" s="828"/>
      <c r="E45" s="811" t="str">
        <f>IF(はじめに!$F$29=1,'報告書② 第1年度(取組）'!C48&amp;"",IF(はじめに!$F$29=2,'報告書② 第2年度(取組）'!C48&amp;"",'報告書② 第3年度(取組）'!C48&amp;""))</f>
        <v/>
      </c>
      <c r="F45" s="812"/>
      <c r="G45" s="812"/>
      <c r="H45" s="812"/>
      <c r="I45" s="812"/>
      <c r="J45" s="812"/>
      <c r="K45" s="812"/>
      <c r="L45" s="812"/>
      <c r="M45" s="812"/>
      <c r="N45" s="812"/>
      <c r="O45" s="813"/>
      <c r="P45" s="936" t="str">
        <f>IF(はじめに!$F$29=1,'報告書② 第1年度(取組）'!F48&amp;"",IF(はじめに!$F$29=2,'報告書② 第2年度(取組）'!G48&amp;"",'報告書② 第3年度(取組）'!H48&amp;""))</f>
        <v/>
      </c>
      <c r="Q45" s="937"/>
    </row>
    <row r="46" spans="1:17" s="12" customFormat="1" ht="32.25" customHeight="1">
      <c r="A46" s="829"/>
      <c r="B46" s="830"/>
      <c r="C46" s="830"/>
      <c r="D46" s="831"/>
      <c r="E46" s="811" t="str">
        <f>IF(はじめに!$F$29=1,'報告書② 第1年度(取組）'!C49&amp;"",IF(はじめに!$F$29=2,'報告書② 第2年度(取組）'!C49&amp;"",'報告書② 第3年度(取組）'!C49&amp;""))</f>
        <v/>
      </c>
      <c r="F46" s="812"/>
      <c r="G46" s="812"/>
      <c r="H46" s="812"/>
      <c r="I46" s="812"/>
      <c r="J46" s="812"/>
      <c r="K46" s="812"/>
      <c r="L46" s="812"/>
      <c r="M46" s="812"/>
      <c r="N46" s="812"/>
      <c r="O46" s="813"/>
      <c r="P46" s="936" t="str">
        <f>IF(はじめに!$F$29=1,'報告書② 第1年度(取組）'!F49&amp;"",IF(はじめに!$F$29=2,'報告書② 第2年度(取組）'!G49&amp;"",'報告書② 第3年度(取組）'!H49&amp;""))</f>
        <v/>
      </c>
      <c r="Q46" s="937"/>
    </row>
    <row r="47" spans="1:17" s="12" customFormat="1" ht="22.5" customHeight="1">
      <c r="A47" s="823" t="s">
        <v>4111</v>
      </c>
      <c r="B47" s="824"/>
      <c r="C47" s="824"/>
      <c r="D47" s="825"/>
      <c r="E47" s="814" t="s">
        <v>89</v>
      </c>
      <c r="F47" s="814"/>
      <c r="G47" s="814"/>
      <c r="H47" s="814"/>
      <c r="I47" s="855" t="s">
        <v>4897</v>
      </c>
      <c r="J47" s="856"/>
      <c r="K47" s="856"/>
      <c r="L47" s="856"/>
      <c r="M47" s="856"/>
      <c r="N47" s="856"/>
      <c r="O47" s="857"/>
      <c r="P47" s="815" t="s">
        <v>4110</v>
      </c>
      <c r="Q47" s="815"/>
    </row>
    <row r="48" spans="1:17" s="12" customFormat="1" ht="65.099999999999994" customHeight="1">
      <c r="A48" s="826"/>
      <c r="B48" s="827"/>
      <c r="C48" s="827"/>
      <c r="D48" s="828"/>
      <c r="E48" s="810" t="str">
        <f>IF(はじめに!$F$29=1,'報告書② 第1年度(取組）'!C70&amp;"",IF(はじめに!$F$29=2,'報告書② 第2年度(取組）'!C70&amp;"",'報告書② 第3年度(取組）'!C70&amp;""))</f>
        <v/>
      </c>
      <c r="F48" s="810"/>
      <c r="G48" s="810"/>
      <c r="H48" s="810"/>
      <c r="I48" s="810" t="str">
        <f>IF(はじめに!$F$29=1,'報告書② 第1年度(取組）'!D70&amp;"",IF(はじめに!$F$29=2,'報告書② 第2年度(取組）'!D70&amp;"",'報告書② 第3年度(取組）'!D70&amp;""))</f>
        <v/>
      </c>
      <c r="J48" s="810"/>
      <c r="K48" s="810"/>
      <c r="L48" s="810"/>
      <c r="M48" s="810"/>
      <c r="N48" s="810"/>
      <c r="O48" s="810"/>
      <c r="P48" s="936" t="str">
        <f>IF(はじめに!$F$29=1,'報告書② 第1年度(取組）'!F70&amp;"",IF(はじめに!$F$29=2,'報告書② 第2年度(取組）'!G70&amp;"",'報告書② 第3年度(取組）'!H70&amp;""))</f>
        <v/>
      </c>
      <c r="Q48" s="937"/>
    </row>
    <row r="49" spans="1:17" s="12" customFormat="1" ht="65.099999999999994" customHeight="1">
      <c r="A49" s="826"/>
      <c r="B49" s="827"/>
      <c r="C49" s="827"/>
      <c r="D49" s="828"/>
      <c r="E49" s="810" t="str">
        <f>IF(はじめに!$F$29=1,'報告書② 第1年度(取組）'!C71&amp;"",IF(はじめに!$F$29=2,'報告書② 第2年度(取組）'!C71&amp;"",'報告書② 第3年度(取組）'!C71&amp;""))</f>
        <v/>
      </c>
      <c r="F49" s="810"/>
      <c r="G49" s="810"/>
      <c r="H49" s="810"/>
      <c r="I49" s="810" t="str">
        <f>IF(はじめに!$F$29=1,'報告書② 第1年度(取組）'!D71&amp;"",IF(はじめに!$F$29=2,'報告書② 第2年度(取組）'!D71&amp;"",'報告書② 第3年度(取組）'!D71&amp;""))</f>
        <v/>
      </c>
      <c r="J49" s="810"/>
      <c r="K49" s="810"/>
      <c r="L49" s="810"/>
      <c r="M49" s="810"/>
      <c r="N49" s="810"/>
      <c r="O49" s="810"/>
      <c r="P49" s="936" t="str">
        <f>IF(はじめに!$F$29=1,'報告書② 第1年度(取組）'!F71&amp;"",IF(はじめに!$F$29=2,'報告書② 第2年度(取組）'!G71&amp;"",'報告書② 第3年度(取組）'!H71&amp;""))</f>
        <v/>
      </c>
      <c r="Q49" s="937"/>
    </row>
    <row r="50" spans="1:17" s="12" customFormat="1" ht="65.099999999999994" customHeight="1">
      <c r="A50" s="826"/>
      <c r="B50" s="827"/>
      <c r="C50" s="827"/>
      <c r="D50" s="828"/>
      <c r="E50" s="810" t="str">
        <f>IF(はじめに!$F$29=1,'報告書② 第1年度(取組）'!C72&amp;"",IF(はじめに!$F$29=2,'報告書② 第2年度(取組）'!C72&amp;"",'報告書② 第3年度(取組）'!C72&amp;""))</f>
        <v/>
      </c>
      <c r="F50" s="810"/>
      <c r="G50" s="810"/>
      <c r="H50" s="810"/>
      <c r="I50" s="810" t="str">
        <f>IF(はじめに!$F$29=1,'報告書② 第1年度(取組）'!D72&amp;"",IF(はじめに!$F$29=2,'報告書② 第2年度(取組）'!D72&amp;"",'報告書② 第3年度(取組）'!D72&amp;""))</f>
        <v/>
      </c>
      <c r="J50" s="810"/>
      <c r="K50" s="810"/>
      <c r="L50" s="810"/>
      <c r="M50" s="810"/>
      <c r="N50" s="810"/>
      <c r="O50" s="810"/>
      <c r="P50" s="936" t="str">
        <f>IF(はじめに!$F$29=1,'報告書② 第1年度(取組）'!F72&amp;"",IF(はじめに!$F$29=2,'報告書② 第2年度(取組）'!G72&amp;"",'報告書② 第3年度(取組）'!H72&amp;""))</f>
        <v/>
      </c>
      <c r="Q50" s="937"/>
    </row>
    <row r="51" spans="1:17" s="12" customFormat="1" ht="65.099999999999994" customHeight="1">
      <c r="A51" s="826"/>
      <c r="B51" s="827"/>
      <c r="C51" s="827"/>
      <c r="D51" s="828"/>
      <c r="E51" s="810" t="str">
        <f>IF(はじめに!$F$29=1,'報告書② 第1年度(取組）'!C73&amp;"",IF(はじめに!$F$29=2,'報告書② 第2年度(取組）'!C73&amp;"",'報告書② 第3年度(取組）'!C73&amp;""))</f>
        <v/>
      </c>
      <c r="F51" s="810"/>
      <c r="G51" s="810"/>
      <c r="H51" s="810"/>
      <c r="I51" s="810" t="str">
        <f>IF(はじめに!$F$29=1,'報告書② 第1年度(取組）'!D73&amp;"",IF(はじめに!$F$29=2,'報告書② 第2年度(取組）'!D73&amp;"",'報告書② 第3年度(取組）'!D73&amp;""))</f>
        <v/>
      </c>
      <c r="J51" s="810"/>
      <c r="K51" s="810"/>
      <c r="L51" s="810"/>
      <c r="M51" s="810"/>
      <c r="N51" s="810"/>
      <c r="O51" s="810"/>
      <c r="P51" s="936" t="str">
        <f>IF(はじめに!$F$29=1,'報告書② 第1年度(取組）'!F73&amp;"",IF(はじめに!$F$29=2,'報告書② 第2年度(取組）'!G73&amp;"",'報告書② 第3年度(取組）'!H73&amp;""))</f>
        <v/>
      </c>
      <c r="Q51" s="937"/>
    </row>
    <row r="52" spans="1:17" s="12" customFormat="1" ht="65.099999999999994" customHeight="1">
      <c r="A52" s="829"/>
      <c r="B52" s="830"/>
      <c r="C52" s="830"/>
      <c r="D52" s="831"/>
      <c r="E52" s="810" t="str">
        <f>IF(はじめに!$F$29=1,'報告書② 第1年度(取組）'!C74&amp;"",IF(はじめに!$F$29=2,'報告書② 第2年度(取組）'!C74&amp;"",'報告書② 第3年度(取組）'!C74&amp;""))</f>
        <v/>
      </c>
      <c r="F52" s="810"/>
      <c r="G52" s="810"/>
      <c r="H52" s="810"/>
      <c r="I52" s="810" t="str">
        <f>IF(はじめに!$F$29=1,'報告書② 第1年度(取組）'!D74&amp;"",IF(はじめに!$F$29=2,'報告書② 第2年度(取組）'!D74&amp;"",'報告書② 第3年度(取組）'!D74&amp;""))</f>
        <v/>
      </c>
      <c r="J52" s="810"/>
      <c r="K52" s="810"/>
      <c r="L52" s="810"/>
      <c r="M52" s="810"/>
      <c r="N52" s="810"/>
      <c r="O52" s="810"/>
      <c r="P52" s="936" t="str">
        <f>IF(はじめに!$F$29=1,'報告書② 第1年度(取組）'!F74&amp;"",IF(はじめに!$F$29=2,'報告書② 第2年度(取組）'!G74&amp;"",'報告書② 第3年度(取組）'!H74&amp;""))</f>
        <v/>
      </c>
      <c r="Q52" s="937"/>
    </row>
    <row r="53" spans="1:17" s="12" customFormat="1" ht="22.5" customHeight="1"/>
    <row r="54" spans="1:17" s="12" customFormat="1" ht="22.5" customHeight="1"/>
    <row r="55" spans="1:17" s="12" customFormat="1" ht="22.5" customHeight="1"/>
    <row r="56" spans="1:17" s="12" customFormat="1" ht="22.5" customHeight="1"/>
    <row r="57" spans="1:17" s="12" customFormat="1" ht="22.5" customHeight="1"/>
    <row r="58" spans="1:17" ht="22.5" customHeight="1"/>
  </sheetData>
  <sheetProtection algorithmName="SHA-512" hashValue="7f0eI4Ak0DJRELA3BWjImrrXNcib8KkB2H+8Kj4Fy6oOWGLTBw+jmqc94d4sZS9SJ05qIyOfi4ovc31AuwQpSw==" saltValue="ua08qzMCAPIhtIYuuwGPiw==" spinCount="100000" sheet="1" objects="1" scenarios="1" selectLockedCells="1"/>
  <mergeCells count="125">
    <mergeCell ref="E36:F36"/>
    <mergeCell ref="I36:J36"/>
    <mergeCell ref="K36:Q36"/>
    <mergeCell ref="E37:F37"/>
    <mergeCell ref="I37:J37"/>
    <mergeCell ref="K37:Q37"/>
    <mergeCell ref="E27:F27"/>
    <mergeCell ref="K26:L26"/>
    <mergeCell ref="N26:O26"/>
    <mergeCell ref="I30:J30"/>
    <mergeCell ref="K30:L30"/>
    <mergeCell ref="N30:O30"/>
    <mergeCell ref="E24:F26"/>
    <mergeCell ref="G24:G26"/>
    <mergeCell ref="H24:H26"/>
    <mergeCell ref="E28:F30"/>
    <mergeCell ref="G28:G30"/>
    <mergeCell ref="H28:H30"/>
    <mergeCell ref="G27:Q27"/>
    <mergeCell ref="I28:J28"/>
    <mergeCell ref="K28:L28"/>
    <mergeCell ref="N28:O28"/>
    <mergeCell ref="P28:Q28"/>
    <mergeCell ref="I29:J29"/>
    <mergeCell ref="P52:Q52"/>
    <mergeCell ref="E49:H49"/>
    <mergeCell ref="E45:O45"/>
    <mergeCell ref="E51:H51"/>
    <mergeCell ref="I51:O51"/>
    <mergeCell ref="P51:Q51"/>
    <mergeCell ref="E46:O46"/>
    <mergeCell ref="P46:Q46"/>
    <mergeCell ref="I49:O49"/>
    <mergeCell ref="P49:Q49"/>
    <mergeCell ref="E50:H50"/>
    <mergeCell ref="I50:O50"/>
    <mergeCell ref="P50:Q50"/>
    <mergeCell ref="P45:Q45"/>
    <mergeCell ref="A34:D37"/>
    <mergeCell ref="E34:F34"/>
    <mergeCell ref="M34:N34"/>
    <mergeCell ref="E35:F35"/>
    <mergeCell ref="I35:J35"/>
    <mergeCell ref="K35:Q35"/>
    <mergeCell ref="A47:D52"/>
    <mergeCell ref="E47:H47"/>
    <mergeCell ref="I47:O47"/>
    <mergeCell ref="P47:Q47"/>
    <mergeCell ref="E48:H48"/>
    <mergeCell ref="I48:O48"/>
    <mergeCell ref="P48:Q48"/>
    <mergeCell ref="A41:D46"/>
    <mergeCell ref="E41:O41"/>
    <mergeCell ref="P41:Q41"/>
    <mergeCell ref="E42:O42"/>
    <mergeCell ref="P42:Q42"/>
    <mergeCell ref="E43:O43"/>
    <mergeCell ref="P43:Q43"/>
    <mergeCell ref="E44:O44"/>
    <mergeCell ref="P44:Q44"/>
    <mergeCell ref="E52:H52"/>
    <mergeCell ref="I52:O52"/>
    <mergeCell ref="P16:Q16"/>
    <mergeCell ref="E23:F23"/>
    <mergeCell ref="G23:Q23"/>
    <mergeCell ref="I20:J20"/>
    <mergeCell ref="K20:L20"/>
    <mergeCell ref="I24:J24"/>
    <mergeCell ref="K24:L24"/>
    <mergeCell ref="N24:O24"/>
    <mergeCell ref="P24:Q24"/>
    <mergeCell ref="I19:J19"/>
    <mergeCell ref="K19:L19"/>
    <mergeCell ref="N19:O19"/>
    <mergeCell ref="E17:F19"/>
    <mergeCell ref="G17:G19"/>
    <mergeCell ref="H17:H19"/>
    <mergeCell ref="N20:O20"/>
    <mergeCell ref="P20:Q20"/>
    <mergeCell ref="I21:J21"/>
    <mergeCell ref="K21:L21"/>
    <mergeCell ref="N21:O21"/>
    <mergeCell ref="E20:F22"/>
    <mergeCell ref="G20:G22"/>
    <mergeCell ref="H20:H22"/>
    <mergeCell ref="A20:D31"/>
    <mergeCell ref="I22:J22"/>
    <mergeCell ref="K22:L22"/>
    <mergeCell ref="N22:O22"/>
    <mergeCell ref="I26:J26"/>
    <mergeCell ref="E16:F16"/>
    <mergeCell ref="I16:J16"/>
    <mergeCell ref="K16:L16"/>
    <mergeCell ref="N16:O16"/>
    <mergeCell ref="I25:J25"/>
    <mergeCell ref="A16:D19"/>
    <mergeCell ref="K25:L25"/>
    <mergeCell ref="N25:O25"/>
    <mergeCell ref="E31:F31"/>
    <mergeCell ref="K29:L29"/>
    <mergeCell ref="N29:O29"/>
    <mergeCell ref="B3:M3"/>
    <mergeCell ref="N3:P3"/>
    <mergeCell ref="A6:D6"/>
    <mergeCell ref="E6:Q6"/>
    <mergeCell ref="A7:D7"/>
    <mergeCell ref="E7:Q7"/>
    <mergeCell ref="I34:J34"/>
    <mergeCell ref="A8:D8"/>
    <mergeCell ref="E8:Q8"/>
    <mergeCell ref="A9:D9"/>
    <mergeCell ref="E9:Q9"/>
    <mergeCell ref="A10:D13"/>
    <mergeCell ref="F10:Q10"/>
    <mergeCell ref="F11:Q11"/>
    <mergeCell ref="F12:Q12"/>
    <mergeCell ref="F13:Q13"/>
    <mergeCell ref="I17:J17"/>
    <mergeCell ref="K17:L17"/>
    <mergeCell ref="N17:O17"/>
    <mergeCell ref="P17:Q17"/>
    <mergeCell ref="I18:J18"/>
    <mergeCell ref="K18:L18"/>
    <mergeCell ref="N18:O18"/>
    <mergeCell ref="G31:Q31"/>
  </mergeCells>
  <phoneticPr fontId="1"/>
  <conditionalFormatting sqref="J19">
    <cfRule type="expression" dxfId="7" priority="1" stopIfTrue="1">
      <formula>$H19&lt;&gt;""</formula>
    </cfRule>
  </conditionalFormatting>
  <conditionalFormatting sqref="O19">
    <cfRule type="expression" dxfId="6" priority="2" stopIfTrue="1">
      <formula>$M19&lt;&gt;""</formula>
    </cfRule>
  </conditionalFormatting>
  <dataValidations disablePrompts="1" count="1">
    <dataValidation imeMode="halfAlpha" allowBlank="1" showInputMessage="1" showErrorMessage="1" sqref="O19 J19" xr:uid="{06D312E7-74C4-4BC4-9790-F87BAB35832F}"/>
  </dataValidations>
  <pageMargins left="0.70866141732283472" right="0.51181102362204722" top="0.55118110236220474" bottom="0.55118110236220474" header="0.31496062992125984" footer="0.31496062992125984"/>
  <pageSetup paperSize="9" scale="84" fitToHeight="2" orientation="portrait" r:id="rId1"/>
  <headerFooter>
    <oddHeader>&amp;L様式第２号別紙１</oddHeader>
    <oddFooter>&amp;R&amp;8（一般事業所等用）</oddFooter>
  </headerFooter>
  <rowBreaks count="1" manualBreakCount="1">
    <brk id="38" max="1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0">
    <tabColor rgb="FF00B0F0"/>
  </sheetPr>
  <dimension ref="A1:Q29"/>
  <sheetViews>
    <sheetView showGridLines="0" view="pageBreakPreview" topLeftCell="A2" zoomScale="85" zoomScaleNormal="100" zoomScaleSheetLayoutView="85" workbookViewId="0">
      <selection activeCell="H25" sqref="H25:I25"/>
    </sheetView>
  </sheetViews>
  <sheetFormatPr defaultColWidth="8.88671875" defaultRowHeight="21.6"/>
  <cols>
    <col min="1" max="2" width="6.44140625" style="1" customWidth="1"/>
    <col min="3" max="3" width="5.88671875" style="1" customWidth="1"/>
    <col min="4" max="9" width="5.6640625" style="1" customWidth="1"/>
    <col min="10" max="10" width="6.33203125" style="1" bestFit="1" customWidth="1"/>
    <col min="11" max="14" width="5.6640625" style="1" customWidth="1"/>
    <col min="15" max="15" width="7.33203125" style="1" bestFit="1" customWidth="1"/>
    <col min="16" max="16" width="5.6640625" style="1" customWidth="1"/>
    <col min="17" max="17" width="5.6640625" style="566" customWidth="1"/>
    <col min="18" max="38" width="5.6640625" style="1" customWidth="1"/>
    <col min="39" max="16384" width="8.88671875" style="1"/>
  </cols>
  <sheetData>
    <row r="1" spans="1:17" ht="28.5" customHeight="1"/>
    <row r="2" spans="1:17" ht="24.75" customHeight="1"/>
    <row r="3" spans="1:17" ht="25.5" customHeight="1">
      <c r="B3" s="638" t="s">
        <v>4902</v>
      </c>
      <c r="C3" s="638"/>
      <c r="D3" s="638"/>
      <c r="E3" s="638"/>
      <c r="F3" s="638"/>
      <c r="G3" s="638"/>
      <c r="H3" s="638"/>
      <c r="I3" s="638"/>
      <c r="J3" s="638"/>
      <c r="K3" s="638"/>
      <c r="L3" s="638"/>
      <c r="M3" s="638"/>
      <c r="N3" s="638"/>
      <c r="O3" s="638"/>
    </row>
    <row r="4" spans="1:17" s="12" customFormat="1" ht="16.2">
      <c r="Q4" s="13"/>
    </row>
    <row r="5" spans="1:17" s="12" customFormat="1" ht="17.25" customHeight="1">
      <c r="A5" s="61" t="s">
        <v>75</v>
      </c>
      <c r="Q5" s="13"/>
    </row>
    <row r="6" spans="1:17" s="12" customFormat="1" ht="27" customHeight="1">
      <c r="A6" s="639" t="s">
        <v>5</v>
      </c>
      <c r="B6" s="639"/>
      <c r="C6" s="639"/>
      <c r="D6" s="639"/>
      <c r="E6" s="640" t="str">
        <f>IF(はじめに!E6="","",はじめに!E6)</f>
        <v/>
      </c>
      <c r="F6" s="640"/>
      <c r="G6" s="640"/>
      <c r="H6" s="640"/>
      <c r="I6" s="640"/>
      <c r="J6" s="640"/>
      <c r="K6" s="640"/>
      <c r="L6" s="640"/>
      <c r="M6" s="640"/>
      <c r="N6" s="640"/>
      <c r="O6" s="640"/>
      <c r="P6" s="640"/>
      <c r="Q6" s="13"/>
    </row>
    <row r="7" spans="1:17" s="12" customFormat="1" ht="27" customHeight="1">
      <c r="A7" s="639" t="s">
        <v>6</v>
      </c>
      <c r="B7" s="639"/>
      <c r="C7" s="639"/>
      <c r="D7" s="639"/>
      <c r="E7" s="640" t="str">
        <f>IF(はじめに!E14="","",はじめに!E14)</f>
        <v/>
      </c>
      <c r="F7" s="640"/>
      <c r="G7" s="640"/>
      <c r="H7" s="640"/>
      <c r="I7" s="640"/>
      <c r="J7" s="640"/>
      <c r="K7" s="640"/>
      <c r="L7" s="640"/>
      <c r="M7" s="640"/>
      <c r="N7" s="640"/>
      <c r="O7" s="640"/>
      <c r="P7" s="640"/>
      <c r="Q7" s="13"/>
    </row>
    <row r="8" spans="1:17" s="12" customFormat="1" ht="27" customHeight="1">
      <c r="A8" s="639" t="s">
        <v>7</v>
      </c>
      <c r="B8" s="639"/>
      <c r="C8" s="639"/>
      <c r="D8" s="639"/>
      <c r="E8" s="640" t="str">
        <f>IF(はじめに!E16="","",はじめに!E16)</f>
        <v/>
      </c>
      <c r="F8" s="640"/>
      <c r="G8" s="640"/>
      <c r="H8" s="640"/>
      <c r="I8" s="640"/>
      <c r="J8" s="640"/>
      <c r="K8" s="640"/>
      <c r="L8" s="640"/>
      <c r="M8" s="640"/>
      <c r="N8" s="640"/>
      <c r="O8" s="640"/>
      <c r="P8" s="640"/>
      <c r="Q8" s="13"/>
    </row>
    <row r="9" spans="1:17" s="12" customFormat="1" ht="27" customHeight="1">
      <c r="A9" s="639" t="s">
        <v>158</v>
      </c>
      <c r="B9" s="639"/>
      <c r="C9" s="639"/>
      <c r="D9" s="639"/>
      <c r="E9" s="640" t="str">
        <f>IF(はじめに!E18="","",はじめに!E18)</f>
        <v/>
      </c>
      <c r="F9" s="640"/>
      <c r="G9" s="640"/>
      <c r="H9" s="640"/>
      <c r="I9" s="640"/>
      <c r="J9" s="640"/>
      <c r="K9" s="640"/>
      <c r="L9" s="640"/>
      <c r="M9" s="640"/>
      <c r="N9" s="640"/>
      <c r="O9" s="640"/>
      <c r="P9" s="640"/>
      <c r="Q9" s="13"/>
    </row>
    <row r="10" spans="1:17" s="12" customFormat="1" ht="11.1" customHeight="1">
      <c r="A10" s="527"/>
      <c r="B10" s="527"/>
      <c r="C10" s="527"/>
      <c r="D10" s="527"/>
      <c r="E10" s="526"/>
      <c r="F10" s="526"/>
      <c r="G10" s="526"/>
      <c r="H10" s="526"/>
      <c r="I10" s="526"/>
      <c r="J10" s="526"/>
      <c r="K10" s="526"/>
      <c r="L10" s="526"/>
      <c r="M10" s="526"/>
      <c r="N10" s="526"/>
      <c r="O10" s="526"/>
      <c r="P10" s="526"/>
      <c r="Q10" s="13"/>
    </row>
    <row r="11" spans="1:17" s="12" customFormat="1" ht="27" hidden="1" customHeight="1">
      <c r="A11" s="527"/>
      <c r="B11" s="527"/>
      <c r="C11" s="527"/>
      <c r="D11" s="527"/>
      <c r="E11" s="526"/>
      <c r="F11" s="526"/>
      <c r="G11" s="526"/>
      <c r="H11" s="526"/>
      <c r="I11" s="526"/>
      <c r="J11" s="526"/>
      <c r="K11" s="526"/>
      <c r="L11" s="526"/>
      <c r="M11" s="526"/>
      <c r="N11" s="526"/>
      <c r="O11" s="526"/>
      <c r="P11" s="526"/>
      <c r="Q11" s="13"/>
    </row>
    <row r="12" spans="1:17" s="12" customFormat="1" ht="27" hidden="1" customHeight="1">
      <c r="A12" s="527"/>
      <c r="B12" s="527"/>
      <c r="C12" s="527"/>
      <c r="D12" s="527"/>
      <c r="E12" s="526"/>
      <c r="F12" s="526"/>
      <c r="G12" s="526"/>
      <c r="H12" s="526"/>
      <c r="I12" s="526"/>
      <c r="J12" s="526"/>
      <c r="K12" s="526"/>
      <c r="L12" s="526"/>
      <c r="M12" s="526"/>
      <c r="N12" s="526"/>
      <c r="O12" s="526"/>
      <c r="P12" s="526"/>
      <c r="Q12" s="13"/>
    </row>
    <row r="13" spans="1:17" s="12" customFormat="1" ht="27" hidden="1" customHeight="1">
      <c r="A13" s="527"/>
      <c r="B13" s="527"/>
      <c r="C13" s="527"/>
      <c r="D13" s="527"/>
      <c r="E13" s="526"/>
      <c r="F13" s="526"/>
      <c r="G13" s="526"/>
      <c r="H13" s="526"/>
      <c r="I13" s="526"/>
      <c r="J13" s="526"/>
      <c r="K13" s="526"/>
      <c r="L13" s="526"/>
      <c r="M13" s="526"/>
      <c r="N13" s="526"/>
      <c r="O13" s="526"/>
      <c r="P13" s="526"/>
      <c r="Q13" s="13"/>
    </row>
    <row r="14" spans="1:17" s="12" customFormat="1" ht="27" hidden="1" customHeight="1">
      <c r="A14" s="527"/>
      <c r="B14" s="527"/>
      <c r="C14" s="527"/>
      <c r="D14" s="527"/>
      <c r="E14" s="526"/>
      <c r="F14" s="526"/>
      <c r="G14" s="526"/>
      <c r="H14" s="526"/>
      <c r="I14" s="526"/>
      <c r="J14" s="526"/>
      <c r="K14" s="526"/>
      <c r="L14" s="526"/>
      <c r="M14" s="526"/>
      <c r="N14" s="526"/>
      <c r="O14" s="526"/>
      <c r="P14" s="526"/>
      <c r="Q14" s="13"/>
    </row>
    <row r="15" spans="1:17" s="12" customFormat="1" ht="27" hidden="1" customHeight="1">
      <c r="A15" s="527"/>
      <c r="B15" s="527"/>
      <c r="C15" s="527"/>
      <c r="D15" s="527"/>
      <c r="E15" s="526"/>
      <c r="F15" s="526"/>
      <c r="G15" s="526"/>
      <c r="H15" s="526"/>
      <c r="I15" s="526"/>
      <c r="J15" s="526"/>
      <c r="K15" s="526"/>
      <c r="L15" s="526"/>
      <c r="M15" s="526"/>
      <c r="N15" s="526"/>
      <c r="O15" s="526"/>
      <c r="P15" s="526"/>
      <c r="Q15" s="13"/>
    </row>
    <row r="16" spans="1:17" s="12" customFormat="1" ht="27" hidden="1" customHeight="1">
      <c r="A16" s="527"/>
      <c r="B16" s="527"/>
      <c r="C16" s="527"/>
      <c r="D16" s="527"/>
      <c r="E16" s="526"/>
      <c r="F16" s="526"/>
      <c r="G16" s="526"/>
      <c r="H16" s="526"/>
      <c r="I16" s="526"/>
      <c r="J16" s="526"/>
      <c r="K16" s="526"/>
      <c r="L16" s="526"/>
      <c r="M16" s="526"/>
      <c r="N16" s="526"/>
      <c r="O16" s="526"/>
      <c r="P16" s="526"/>
      <c r="Q16" s="13"/>
    </row>
    <row r="17" spans="1:17" s="12" customFormat="1" ht="27" hidden="1" customHeight="1">
      <c r="A17" s="527"/>
      <c r="B17" s="527"/>
      <c r="C17" s="527"/>
      <c r="D17" s="527"/>
      <c r="E17" s="526"/>
      <c r="F17" s="526"/>
      <c r="G17" s="526"/>
      <c r="H17" s="526"/>
      <c r="I17" s="526"/>
      <c r="J17" s="526"/>
      <c r="K17" s="526"/>
      <c r="L17" s="526"/>
      <c r="M17" s="526"/>
      <c r="N17" s="526"/>
      <c r="O17" s="526"/>
      <c r="P17" s="526"/>
      <c r="Q17" s="13"/>
    </row>
    <row r="18" spans="1:17" s="12" customFormat="1" ht="27" hidden="1" customHeight="1">
      <c r="A18" s="527"/>
      <c r="B18" s="527"/>
      <c r="C18" s="527"/>
      <c r="D18" s="527"/>
      <c r="E18" s="526"/>
      <c r="F18" s="526"/>
      <c r="G18" s="526"/>
      <c r="H18" s="526"/>
      <c r="I18" s="526"/>
      <c r="J18" s="526"/>
      <c r="K18" s="526"/>
      <c r="L18" s="526"/>
      <c r="M18" s="526"/>
      <c r="N18" s="526"/>
      <c r="O18" s="526"/>
      <c r="P18" s="526"/>
      <c r="Q18" s="13"/>
    </row>
    <row r="19" spans="1:17" s="12" customFormat="1" ht="27" hidden="1" customHeight="1">
      <c r="A19" s="527"/>
      <c r="B19" s="527"/>
      <c r="C19" s="527"/>
      <c r="D19" s="527"/>
      <c r="E19" s="526"/>
      <c r="F19" s="526"/>
      <c r="G19" s="526"/>
      <c r="H19" s="526"/>
      <c r="I19" s="526"/>
      <c r="J19" s="526"/>
      <c r="K19" s="526"/>
      <c r="L19" s="526"/>
      <c r="M19" s="526"/>
      <c r="N19" s="526"/>
      <c r="O19" s="526"/>
      <c r="P19" s="526"/>
      <c r="Q19" s="13"/>
    </row>
    <row r="20" spans="1:17" s="12" customFormat="1" ht="27" hidden="1" customHeight="1">
      <c r="A20" s="527"/>
      <c r="B20" s="527"/>
      <c r="C20" s="527"/>
      <c r="D20" s="527"/>
      <c r="E20" s="526"/>
      <c r="F20" s="526"/>
      <c r="G20" s="526"/>
      <c r="H20" s="526"/>
      <c r="I20" s="526"/>
      <c r="J20" s="526"/>
      <c r="K20" s="526"/>
      <c r="L20" s="526"/>
      <c r="M20" s="526"/>
      <c r="N20" s="526"/>
      <c r="O20" s="526"/>
      <c r="P20" s="526"/>
      <c r="Q20" s="13"/>
    </row>
    <row r="21" spans="1:17" s="12" customFormat="1" ht="27" hidden="1" customHeight="1">
      <c r="A21" s="527"/>
      <c r="B21" s="527"/>
      <c r="C21" s="527"/>
      <c r="D21" s="527"/>
      <c r="E21" s="526"/>
      <c r="F21" s="526"/>
      <c r="G21" s="526"/>
      <c r="H21" s="526"/>
      <c r="I21" s="526"/>
      <c r="J21" s="526"/>
      <c r="K21" s="526"/>
      <c r="L21" s="526"/>
      <c r="M21" s="526"/>
      <c r="N21" s="526"/>
      <c r="O21" s="526"/>
      <c r="P21" s="526"/>
      <c r="Q21" s="13"/>
    </row>
    <row r="22" spans="1:17" s="12" customFormat="1" ht="13.5" customHeight="1">
      <c r="Q22" s="13"/>
    </row>
    <row r="23" spans="1:17" s="12" customFormat="1" ht="16.2">
      <c r="A23" s="12" t="s">
        <v>4951</v>
      </c>
      <c r="Q23" s="13"/>
    </row>
    <row r="24" spans="1:17" s="12" customFormat="1" ht="39" customHeight="1">
      <c r="A24" s="610" t="str">
        <f>IF(はじめに!E4="","",はじめに!E4)&amp;" 年度"&amp;CHAR(10)&amp;"（基準年度）"</f>
        <v xml:space="preserve"> 年度
（基準年度）</v>
      </c>
      <c r="B24" s="634"/>
      <c r="C24" s="616" t="s">
        <v>4903</v>
      </c>
      <c r="D24" s="620"/>
      <c r="E24" s="635"/>
      <c r="F24" s="627" t="s">
        <v>81</v>
      </c>
      <c r="G24" s="627"/>
      <c r="H24" s="636" t="str">
        <f>IF('事業所排出量内訳 (基準年度)'!R4=0,"",'事業所排出量内訳 (基準年度)'!V24)</f>
        <v/>
      </c>
      <c r="I24" s="637"/>
      <c r="J24" s="547" t="s">
        <v>4952</v>
      </c>
      <c r="K24" s="627" t="s">
        <v>82</v>
      </c>
      <c r="L24" s="627"/>
      <c r="M24" s="616" t="str">
        <f>IF('事業所排出量内訳 (基準年度)'!R4=0,"",'事業所排出量内訳 (基準年度)'!V27)</f>
        <v/>
      </c>
      <c r="N24" s="620"/>
      <c r="O24" s="546" t="s">
        <v>4953</v>
      </c>
      <c r="P24" s="567" t="str">
        <f>IF('事業所排出量内訳 (基準年度)'!G72="","",'事業所排出量内訳 (基準年度)'!G72)</f>
        <v/>
      </c>
      <c r="Q24" s="13"/>
    </row>
    <row r="25" spans="1:17" s="12" customFormat="1" ht="39" customHeight="1">
      <c r="A25" s="568"/>
      <c r="B25" s="569"/>
      <c r="C25" s="621" t="s">
        <v>4904</v>
      </c>
      <c r="D25" s="622"/>
      <c r="E25" s="623"/>
      <c r="F25" s="627" t="s">
        <v>86</v>
      </c>
      <c r="G25" s="627"/>
      <c r="H25" s="628"/>
      <c r="I25" s="629"/>
      <c r="J25" s="547" t="s">
        <v>4952</v>
      </c>
      <c r="K25" s="627" t="s">
        <v>84</v>
      </c>
      <c r="L25" s="627"/>
      <c r="M25" s="630"/>
      <c r="N25" s="631"/>
      <c r="O25" s="546" t="s">
        <v>4953</v>
      </c>
      <c r="P25" s="567" t="str">
        <f>IF(P24="","",P24)</f>
        <v/>
      </c>
      <c r="Q25" s="13"/>
    </row>
    <row r="26" spans="1:17" s="12" customFormat="1" ht="39" customHeight="1">
      <c r="A26" s="570">
        <f>IF(はじめに!H3="","",はじめに!H3)</f>
        <v>2025</v>
      </c>
      <c r="B26" s="571" t="s">
        <v>85</v>
      </c>
      <c r="C26" s="624"/>
      <c r="D26" s="625"/>
      <c r="E26" s="626"/>
      <c r="F26" s="627" t="s">
        <v>4042</v>
      </c>
      <c r="G26" s="627"/>
      <c r="H26" s="632" t="str">
        <f>IFERROR((IF($H$25="","",INT(($H$24-H25)/$H$24*10000)/100)),"")</f>
        <v/>
      </c>
      <c r="I26" s="633" t="str">
        <f>IF($F$5="","",INT(($F$5-I25)/$F$5*100000)/1000)</f>
        <v/>
      </c>
      <c r="J26" s="547" t="s">
        <v>87</v>
      </c>
      <c r="K26" s="627" t="s">
        <v>4042</v>
      </c>
      <c r="L26" s="627"/>
      <c r="M26" s="632" t="str">
        <f>IFERROR(IF($M$25="","",INT(($M$24-M25)/$M$24*10000)/100),"")</f>
        <v/>
      </c>
      <c r="N26" s="633" t="str">
        <f>IF($F$5="","",INT(($F$5-N25)/$F$5*100000)/1000)</f>
        <v/>
      </c>
      <c r="O26" s="546" t="s">
        <v>87</v>
      </c>
      <c r="P26" s="18"/>
      <c r="Q26" s="13"/>
    </row>
    <row r="27" spans="1:17" s="12" customFormat="1" ht="49.35" customHeight="1">
      <c r="A27" s="614" t="s">
        <v>4905</v>
      </c>
      <c r="B27" s="615"/>
      <c r="C27" s="616" t="s">
        <v>4906</v>
      </c>
      <c r="D27" s="617"/>
      <c r="E27" s="618"/>
      <c r="F27" s="619" t="s">
        <v>4907</v>
      </c>
      <c r="G27" s="618"/>
      <c r="H27" s="608"/>
      <c r="I27" s="609"/>
      <c r="J27" s="546" t="s">
        <v>87</v>
      </c>
      <c r="K27" s="619" t="s">
        <v>4908</v>
      </c>
      <c r="L27" s="618"/>
      <c r="M27" s="608"/>
      <c r="N27" s="609"/>
      <c r="O27" s="546" t="s">
        <v>87</v>
      </c>
      <c r="P27" s="572"/>
      <c r="Q27" s="13"/>
    </row>
    <row r="28" spans="1:17" s="12" customFormat="1" ht="137.25" customHeight="1">
      <c r="A28" s="610" t="s">
        <v>153</v>
      </c>
      <c r="B28" s="610"/>
      <c r="C28" s="611"/>
      <c r="D28" s="612"/>
      <c r="E28" s="612"/>
      <c r="F28" s="612"/>
      <c r="G28" s="612"/>
      <c r="H28" s="612"/>
      <c r="I28" s="612"/>
      <c r="J28" s="612"/>
      <c r="K28" s="612"/>
      <c r="L28" s="612"/>
      <c r="M28" s="612"/>
      <c r="N28" s="612"/>
      <c r="O28" s="612"/>
      <c r="P28" s="613"/>
      <c r="Q28" s="13"/>
    </row>
    <row r="29" spans="1:17" s="12" customFormat="1" ht="16.2">
      <c r="Q29" s="13"/>
    </row>
  </sheetData>
  <sheetProtection algorithmName="SHA-512" hashValue="MAf/KR1sLYyQKXAYX2nPFWr579edLn3rKcwfKx6GRQ/Hhw8sX7lFpeTb5qI/tBxCzSxHJcPK/Zz58sa0SQNWNw==" saltValue="1zxn0scvkULebCwvDnqqBg==" spinCount="100000" sheet="1" scenarios="1" selectLockedCells="1"/>
  <mergeCells count="32">
    <mergeCell ref="B3:O3"/>
    <mergeCell ref="A9:D9"/>
    <mergeCell ref="A8:D8"/>
    <mergeCell ref="E8:P8"/>
    <mergeCell ref="A6:D6"/>
    <mergeCell ref="E6:P6"/>
    <mergeCell ref="A7:D7"/>
    <mergeCell ref="E7:P7"/>
    <mergeCell ref="E9:P9"/>
    <mergeCell ref="A24:B24"/>
    <mergeCell ref="C24:E24"/>
    <mergeCell ref="F24:G24"/>
    <mergeCell ref="H24:I24"/>
    <mergeCell ref="K24:L24"/>
    <mergeCell ref="M24:N24"/>
    <mergeCell ref="C25:E26"/>
    <mergeCell ref="F25:G25"/>
    <mergeCell ref="H25:I25"/>
    <mergeCell ref="K25:L25"/>
    <mergeCell ref="M25:N25"/>
    <mergeCell ref="F26:G26"/>
    <mergeCell ref="H26:I26"/>
    <mergeCell ref="K26:L26"/>
    <mergeCell ref="M26:N26"/>
    <mergeCell ref="M27:N27"/>
    <mergeCell ref="A28:B28"/>
    <mergeCell ref="C28:P28"/>
    <mergeCell ref="A27:B27"/>
    <mergeCell ref="C27:E27"/>
    <mergeCell ref="F27:G27"/>
    <mergeCell ref="H27:I27"/>
    <mergeCell ref="K27:L27"/>
  </mergeCells>
  <phoneticPr fontId="4"/>
  <conditionalFormatting sqref="C28">
    <cfRule type="expression" dxfId="85" priority="6" stopIfTrue="1">
      <formula>$C$28&lt;&gt;""</formula>
    </cfRule>
  </conditionalFormatting>
  <conditionalFormatting sqref="H25">
    <cfRule type="expression" dxfId="84" priority="3" stopIfTrue="1">
      <formula>$H$25&lt;&gt;""</formula>
    </cfRule>
  </conditionalFormatting>
  <conditionalFormatting sqref="H27">
    <cfRule type="expression" dxfId="83" priority="1" stopIfTrue="1">
      <formula>$H27&lt;&gt;""</formula>
    </cfRule>
  </conditionalFormatting>
  <conditionalFormatting sqref="M25">
    <cfRule type="expression" dxfId="82" priority="4" stopIfTrue="1">
      <formula>$M$25&lt;&gt;""</formula>
    </cfRule>
  </conditionalFormatting>
  <conditionalFormatting sqref="M27">
    <cfRule type="expression" dxfId="81" priority="2" stopIfTrue="1">
      <formula>$M27&lt;&gt;""</formula>
    </cfRule>
  </conditionalFormatting>
  <dataValidations count="2">
    <dataValidation imeMode="hiragana" allowBlank="1" showInputMessage="1" showErrorMessage="1" sqref="C28" xr:uid="{A91E37DF-F82B-4F49-82C2-19E782B84045}"/>
    <dataValidation imeMode="halfAlpha" allowBlank="1" showInputMessage="1" showErrorMessage="1" sqref="H25 M25 M27 H27" xr:uid="{D3789A6C-B6EF-4294-949A-95529E0B9110}"/>
  </dataValidations>
  <pageMargins left="0.70866141732283472" right="0.51181102362204722" top="0.55118110236220474" bottom="0.55118110236220474" header="0.31496062992125984" footer="0.31496062992125984"/>
  <pageSetup paperSize="9" scale="96" orientation="portrait" r:id="rId1"/>
  <headerFooter>
    <oddHeader>&amp;L様式第１号</oddHeader>
    <oddFooter>&amp;R&amp;8（一般事業所等用）</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5" id="{F788C03A-8A36-4CFE-A70C-A027E9B5DCE2}">
            <xm:f>はじめに!$S$3=TRUE</xm:f>
            <x14:dxf>
              <fill>
                <patternFill>
                  <bgColor theme="9" tint="0.59996337778862885"/>
                </patternFill>
              </fill>
            </x14:dxf>
          </x14:cfRule>
          <xm:sqref>M25:N25 H25:I25 M27:N27 H27:I27</xm:sqref>
        </x14:conditionalFormatting>
      </x14:conditionalFormatting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80">
    <tabColor theme="9" tint="-0.249977111117893"/>
  </sheetPr>
  <dimension ref="A3:O27"/>
  <sheetViews>
    <sheetView showGridLines="0" view="pageBreakPreview" topLeftCell="A2" zoomScaleNormal="100" zoomScaleSheetLayoutView="100" workbookViewId="0">
      <selection activeCell="I5" sqref="I5:J5"/>
    </sheetView>
  </sheetViews>
  <sheetFormatPr defaultColWidth="8.88671875" defaultRowHeight="17.399999999999999"/>
  <cols>
    <col min="1" max="37" width="5.6640625" style="1" customWidth="1"/>
    <col min="38" max="16384" width="8.88671875" style="1"/>
  </cols>
  <sheetData>
    <row r="3" spans="1:15" ht="25.5" customHeight="1">
      <c r="B3" s="638" t="s">
        <v>72</v>
      </c>
      <c r="C3" s="638"/>
      <c r="D3" s="638"/>
      <c r="E3" s="638"/>
      <c r="F3" s="638"/>
      <c r="G3" s="638"/>
      <c r="H3" s="638"/>
      <c r="I3" s="638"/>
      <c r="J3" s="638"/>
      <c r="K3" s="638"/>
      <c r="L3" s="638"/>
      <c r="M3" s="638"/>
      <c r="N3" s="638"/>
    </row>
    <row r="4" spans="1:15" s="12" customFormat="1" ht="16.2"/>
    <row r="5" spans="1:15" s="12" customFormat="1" ht="26.25" customHeight="1">
      <c r="I5" s="948"/>
      <c r="J5" s="948"/>
      <c r="K5" s="19" t="s">
        <v>2</v>
      </c>
      <c r="L5" s="88"/>
      <c r="M5" s="19" t="s">
        <v>1</v>
      </c>
      <c r="N5" s="88"/>
      <c r="O5" s="19" t="s">
        <v>0</v>
      </c>
    </row>
    <row r="6" spans="1:15" s="12" customFormat="1" ht="26.25" customHeight="1"/>
    <row r="7" spans="1:15" s="12" customFormat="1" ht="26.25" customHeight="1">
      <c r="A7" s="12" t="s">
        <v>3</v>
      </c>
    </row>
    <row r="8" spans="1:15" s="12" customFormat="1" ht="16.2"/>
    <row r="9" spans="1:15" s="12" customFormat="1" ht="27" customHeight="1">
      <c r="G9" s="794" t="s">
        <v>4</v>
      </c>
      <c r="H9" s="794"/>
      <c r="I9" s="780" t="str">
        <f>"  "&amp;はじめに!E7&amp;""</f>
        <v xml:space="preserve">  </v>
      </c>
      <c r="J9" s="780"/>
      <c r="K9" s="780"/>
      <c r="L9" s="780"/>
      <c r="M9" s="780"/>
      <c r="N9" s="780"/>
    </row>
    <row r="10" spans="1:15" s="12" customFormat="1" ht="16.5" customHeight="1">
      <c r="G10" s="524"/>
      <c r="H10" s="524"/>
    </row>
    <row r="11" spans="1:15" s="12" customFormat="1" ht="27" customHeight="1">
      <c r="G11" s="794" t="s">
        <v>20</v>
      </c>
      <c r="H11" s="794"/>
      <c r="I11" s="780" t="str">
        <f>"  "&amp;はじめに!E6&amp;""</f>
        <v xml:space="preserve">  </v>
      </c>
      <c r="J11" s="780"/>
      <c r="K11" s="780"/>
      <c r="L11" s="780"/>
      <c r="M11" s="780"/>
      <c r="N11" s="780"/>
    </row>
    <row r="12" spans="1:15" s="12" customFormat="1" ht="16.5" customHeight="1">
      <c r="G12" s="524"/>
      <c r="H12" s="524"/>
    </row>
    <row r="13" spans="1:15" s="12" customFormat="1" ht="27" customHeight="1">
      <c r="G13" s="794" t="s">
        <v>38</v>
      </c>
      <c r="H13" s="794"/>
      <c r="I13" s="780" t="str">
        <f>IF(はじめに!E8="","",IFERROR("  "&amp;RIGHT(はじめに!E8,LEN(はじめに!E8)-FIND(" ",ASC(はじめに!E8))),"役職名と氏名をスペースで区切って下さい。"))</f>
        <v/>
      </c>
      <c r="J13" s="780"/>
      <c r="K13" s="780"/>
      <c r="L13" s="780"/>
      <c r="M13" s="780"/>
      <c r="N13" s="780"/>
      <c r="O13" s="19"/>
    </row>
    <row r="14" spans="1:15" s="12" customFormat="1" ht="16.2"/>
    <row r="15" spans="1:15" s="12" customFormat="1" ht="22.5" customHeight="1"/>
    <row r="16" spans="1:15" s="12" customFormat="1" ht="18.75" customHeight="1">
      <c r="A16" s="779" t="s">
        <v>4040</v>
      </c>
      <c r="B16" s="779"/>
      <c r="C16" s="779"/>
      <c r="D16" s="779"/>
      <c r="E16" s="779"/>
      <c r="F16" s="779"/>
      <c r="G16" s="779"/>
      <c r="H16" s="779"/>
      <c r="I16" s="779"/>
      <c r="J16" s="779"/>
      <c r="K16" s="779"/>
      <c r="L16" s="779"/>
      <c r="M16" s="779"/>
      <c r="N16" s="779"/>
      <c r="O16" s="779"/>
    </row>
    <row r="17" spans="1:15" s="12" customFormat="1" ht="18.75" customHeight="1">
      <c r="A17" s="779"/>
      <c r="B17" s="779"/>
      <c r="C17" s="779"/>
      <c r="D17" s="779"/>
      <c r="E17" s="779"/>
      <c r="F17" s="779"/>
      <c r="G17" s="779"/>
      <c r="H17" s="779"/>
      <c r="I17" s="779"/>
      <c r="J17" s="779"/>
      <c r="K17" s="779"/>
      <c r="L17" s="779"/>
      <c r="M17" s="779"/>
      <c r="N17" s="779"/>
      <c r="O17" s="779"/>
    </row>
    <row r="18" spans="1:15" s="12" customFormat="1" ht="24.75" customHeight="1">
      <c r="A18" s="526"/>
      <c r="B18" s="526"/>
      <c r="C18" s="526"/>
      <c r="D18" s="526"/>
      <c r="E18" s="526"/>
      <c r="F18" s="526"/>
      <c r="G18" s="526"/>
      <c r="H18" s="526"/>
      <c r="I18" s="526"/>
      <c r="J18" s="526"/>
      <c r="K18" s="526"/>
      <c r="L18" s="526"/>
      <c r="M18" s="526"/>
      <c r="N18" s="526"/>
      <c r="O18" s="526"/>
    </row>
    <row r="19" spans="1:15" s="12" customFormat="1" ht="16.2"/>
    <row r="20" spans="1:15" s="12" customFormat="1" ht="24.75" customHeight="1">
      <c r="H20" s="19" t="s">
        <v>74</v>
      </c>
    </row>
    <row r="21" spans="1:15" s="12" customFormat="1" ht="24.75" customHeight="1">
      <c r="H21" s="19"/>
    </row>
    <row r="22" spans="1:15" s="12" customFormat="1" ht="16.2"/>
    <row r="23" spans="1:15" s="12" customFormat="1" ht="27" customHeight="1">
      <c r="B23" s="794" t="s">
        <v>4</v>
      </c>
      <c r="C23" s="794"/>
      <c r="E23" s="949"/>
      <c r="F23" s="949"/>
      <c r="G23" s="949"/>
      <c r="H23" s="949"/>
      <c r="I23" s="949"/>
      <c r="J23" s="949"/>
      <c r="K23" s="949"/>
      <c r="L23" s="949"/>
      <c r="M23" s="949"/>
      <c r="N23" s="949"/>
    </row>
    <row r="24" spans="1:15" s="12" customFormat="1" ht="16.5" customHeight="1">
      <c r="B24" s="524"/>
      <c r="C24" s="524"/>
    </row>
    <row r="25" spans="1:15" s="12" customFormat="1" ht="27" customHeight="1">
      <c r="B25" s="794" t="s">
        <v>73</v>
      </c>
      <c r="C25" s="794"/>
      <c r="E25" s="949"/>
      <c r="F25" s="949"/>
      <c r="G25" s="949"/>
      <c r="H25" s="949"/>
      <c r="I25" s="949"/>
      <c r="J25" s="949"/>
      <c r="K25" s="949"/>
      <c r="L25" s="949"/>
      <c r="M25" s="949"/>
      <c r="N25" s="949"/>
    </row>
    <row r="26" spans="1:15" s="12" customFormat="1" ht="16.5" customHeight="1">
      <c r="B26" s="524"/>
      <c r="C26" s="524"/>
    </row>
    <row r="27" spans="1:15" s="12" customFormat="1" ht="27" customHeight="1">
      <c r="B27" s="794" t="s">
        <v>33</v>
      </c>
      <c r="C27" s="794"/>
      <c r="E27" s="949"/>
      <c r="F27" s="949"/>
      <c r="G27" s="949"/>
      <c r="H27" s="949"/>
      <c r="I27" s="949"/>
      <c r="J27" s="949"/>
      <c r="K27" s="949"/>
      <c r="L27" s="949"/>
      <c r="M27" s="949"/>
      <c r="N27" s="949"/>
      <c r="O27" s="19"/>
    </row>
  </sheetData>
  <sheetProtection algorithmName="SHA-512" hashValue="i+KeSxVsFl46Py1gtmGtpcoSSjeWGqg461cMJXB6o15W2B2WnlWtO7CVckaVZSzWQF27HsiVRRE2IMeujE+1XQ==" saltValue="K8jJZAdW0BIi5br8oSxviQ==" spinCount="100000" sheet="1" objects="1" scenarios="1" selectLockedCells="1"/>
  <mergeCells count="15">
    <mergeCell ref="B23:C23"/>
    <mergeCell ref="B25:C25"/>
    <mergeCell ref="B27:C27"/>
    <mergeCell ref="E23:N23"/>
    <mergeCell ref="E25:N25"/>
    <mergeCell ref="E27:N27"/>
    <mergeCell ref="G13:H13"/>
    <mergeCell ref="I13:N13"/>
    <mergeCell ref="A16:O17"/>
    <mergeCell ref="B3:N3"/>
    <mergeCell ref="I5:J5"/>
    <mergeCell ref="G9:H9"/>
    <mergeCell ref="I9:N9"/>
    <mergeCell ref="G11:H11"/>
    <mergeCell ref="I11:N11"/>
  </mergeCells>
  <phoneticPr fontId="1"/>
  <conditionalFormatting sqref="E23">
    <cfRule type="expression" dxfId="5" priority="3" stopIfTrue="1">
      <formula>$E$23&lt;&gt;""</formula>
    </cfRule>
  </conditionalFormatting>
  <conditionalFormatting sqref="E25">
    <cfRule type="expression" dxfId="4" priority="2" stopIfTrue="1">
      <formula>$E$25&lt;&gt;""</formula>
    </cfRule>
  </conditionalFormatting>
  <conditionalFormatting sqref="E27">
    <cfRule type="expression" dxfId="3" priority="1" stopIfTrue="1">
      <formula>$E$27&lt;&gt;""</formula>
    </cfRule>
  </conditionalFormatting>
  <conditionalFormatting sqref="I5">
    <cfRule type="expression" dxfId="2" priority="6" stopIfTrue="1">
      <formula>$I$5&lt;&gt;""</formula>
    </cfRule>
  </conditionalFormatting>
  <conditionalFormatting sqref="L5">
    <cfRule type="expression" dxfId="1" priority="5" stopIfTrue="1">
      <formula>$L$5&lt;&gt;""</formula>
    </cfRule>
  </conditionalFormatting>
  <conditionalFormatting sqref="N5">
    <cfRule type="expression" dxfId="0" priority="4" stopIfTrue="1">
      <formula>$N$5&lt;&gt;""</formula>
    </cfRule>
  </conditionalFormatting>
  <dataValidations count="2">
    <dataValidation imeMode="hiragana" allowBlank="1" showInputMessage="1" showErrorMessage="1" sqref="E23:N23 E25:N25 E27:N27" xr:uid="{00000000-0002-0000-1500-000000000000}"/>
    <dataValidation imeMode="halfAlpha" allowBlank="1" showInputMessage="1" showErrorMessage="1" sqref="I5:J5 L5 N5" xr:uid="{00000000-0002-0000-1500-000001000000}"/>
  </dataValidations>
  <pageMargins left="0.70866141732283472" right="0.70866141732283472" top="0.74803149606299213" bottom="0.74803149606299213" header="0.31496062992125984" footer="0.31496062992125984"/>
  <pageSetup paperSize="9" orientation="portrait" r:id="rId1"/>
  <headerFooter>
    <oddHeader>&amp;L様式第１号別添</oddHeader>
    <oddFooter>&amp;R&amp;8（一般事業所等用）</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tabColor rgb="FFFF0000"/>
  </sheetPr>
  <dimension ref="A2:K11"/>
  <sheetViews>
    <sheetView zoomScaleNormal="100" workbookViewId="0">
      <selection activeCell="E27" sqref="E27:N27"/>
    </sheetView>
  </sheetViews>
  <sheetFormatPr defaultColWidth="8.88671875" defaultRowHeight="17.399999999999999"/>
  <cols>
    <col min="1" max="1" width="8.88671875" style="1"/>
    <col min="2" max="2" width="16.88671875" style="1" customWidth="1"/>
    <col min="3" max="3" width="26.88671875" style="1" customWidth="1"/>
    <col min="4" max="4" width="19" style="1" customWidth="1"/>
    <col min="5" max="16384" width="8.88671875" style="1"/>
  </cols>
  <sheetData>
    <row r="2" spans="1:11" ht="21.75" customHeight="1">
      <c r="A2" s="950" t="s">
        <v>4156</v>
      </c>
      <c r="B2" s="950"/>
      <c r="C2" s="3" t="s">
        <v>4154</v>
      </c>
      <c r="D2" s="3" t="s">
        <v>4112</v>
      </c>
    </row>
    <row r="3" spans="1:11" ht="21.75" customHeight="1">
      <c r="A3" s="956" t="s">
        <v>4151</v>
      </c>
      <c r="B3" s="5" t="s">
        <v>4118</v>
      </c>
      <c r="C3" s="3">
        <v>50</v>
      </c>
      <c r="D3" s="5" t="str">
        <f>'報告書①（事業所概要・実績）'!Z24</f>
        <v/>
      </c>
      <c r="I3" s="950" t="s">
        <v>4112</v>
      </c>
      <c r="J3" s="950"/>
      <c r="K3" s="950" t="s">
        <v>4157</v>
      </c>
    </row>
    <row r="4" spans="1:11" ht="21.75" customHeight="1">
      <c r="A4" s="956"/>
      <c r="B4" s="5" t="s">
        <v>4122</v>
      </c>
      <c r="C4" s="3">
        <v>50</v>
      </c>
      <c r="D4" s="5" t="str">
        <f>'報告書①（事業所概要・実績）'!Z25</f>
        <v/>
      </c>
      <c r="I4" s="3" t="s">
        <v>4161</v>
      </c>
      <c r="J4" s="3" t="s">
        <v>4162</v>
      </c>
      <c r="K4" s="950"/>
    </row>
    <row r="5" spans="1:11" ht="21.75" customHeight="1">
      <c r="A5" s="956" t="s">
        <v>4152</v>
      </c>
      <c r="B5" s="5" t="s">
        <v>4136</v>
      </c>
      <c r="C5" s="3">
        <v>50</v>
      </c>
      <c r="D5" s="6" t="str">
        <f xml:space="preserve">  '報告書② 第3年度(取組）'!U9</f>
        <v/>
      </c>
      <c r="E5" s="7" t="s">
        <v>4163</v>
      </c>
      <c r="I5" s="3">
        <v>160</v>
      </c>
      <c r="J5" s="3"/>
      <c r="K5" s="3" t="s">
        <v>4158</v>
      </c>
    </row>
    <row r="6" spans="1:11" ht="21.75" customHeight="1">
      <c r="A6" s="956"/>
      <c r="B6" s="5" t="s">
        <v>4137</v>
      </c>
      <c r="C6" s="955" t="s">
        <v>4155</v>
      </c>
      <c r="D6" s="953">
        <f>IF(SUM(E6:E7)&gt;=50,50,SUM(E6:E7))</f>
        <v>0</v>
      </c>
      <c r="E6" s="6" t="str">
        <f xml:space="preserve">  '報告書② 第3年度(取組）'!T48</f>
        <v/>
      </c>
      <c r="I6" s="3">
        <v>130</v>
      </c>
      <c r="J6" s="3">
        <v>160</v>
      </c>
      <c r="K6" s="3" t="s">
        <v>4159</v>
      </c>
    </row>
    <row r="7" spans="1:11" ht="21.75" customHeight="1">
      <c r="A7" s="956"/>
      <c r="B7" s="5" t="s">
        <v>4153</v>
      </c>
      <c r="C7" s="950"/>
      <c r="D7" s="954"/>
      <c r="E7" s="6" t="str">
        <f xml:space="preserve">  '報告書② 第3年度(取組）'!S73</f>
        <v/>
      </c>
      <c r="I7" s="3"/>
      <c r="J7" s="3">
        <v>130</v>
      </c>
      <c r="K7" s="3" t="s">
        <v>4160</v>
      </c>
    </row>
    <row r="8" spans="1:11" ht="21.75" customHeight="1">
      <c r="A8" s="951" t="s">
        <v>106</v>
      </c>
      <c r="B8" s="952"/>
      <c r="C8" s="3">
        <v>200</v>
      </c>
      <c r="D8" s="5">
        <f>SUM(D3:D7)</f>
        <v>0</v>
      </c>
    </row>
    <row r="9" spans="1:11" ht="21.75" customHeight="1"/>
    <row r="10" spans="1:11" ht="21.75" customHeight="1"/>
    <row r="11" spans="1:11" ht="21.75" customHeight="1">
      <c r="C11" s="7" t="s">
        <v>4157</v>
      </c>
      <c r="D11" s="4" t="str">
        <f>IF(D8&gt;=I5,K5,IF(AND(D8&gt;=I6,D8&lt;J6),K6,IF(D8&lt;J7,K7,"-")))</f>
        <v>B</v>
      </c>
    </row>
  </sheetData>
  <sheetProtection algorithmName="SHA-512" hashValue="Xuy/det2ugAOVRSQ9D3PrG0CPyjPJeVdLJ/S9v3mSA083C7BJbzqPP+notsVHUoUQ3eV/y6nhyDnZyK/blFcCA==" saltValue="Xbq9786EhSXb8ffkoFMOaw==" spinCount="100000" sheet="1" objects="1" scenarios="1" selectLockedCells="1"/>
  <mergeCells count="8">
    <mergeCell ref="A2:B2"/>
    <mergeCell ref="A8:B8"/>
    <mergeCell ref="I3:J3"/>
    <mergeCell ref="K3:K4"/>
    <mergeCell ref="D6:D7"/>
    <mergeCell ref="C6:C7"/>
    <mergeCell ref="A3:A4"/>
    <mergeCell ref="A5:A7"/>
  </mergeCells>
  <phoneticPr fontId="1"/>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07355-6064-479F-A45D-9833A03D37F8}">
  <sheetPr codeName="Sheet51">
    <tabColor rgb="FFFF0000"/>
    <pageSetUpPr fitToPage="1"/>
  </sheetPr>
  <dimension ref="B1:AA80"/>
  <sheetViews>
    <sheetView topLeftCell="L27" workbookViewId="0">
      <selection activeCell="Y39" sqref="Q39:Y44"/>
    </sheetView>
  </sheetViews>
  <sheetFormatPr defaultColWidth="8.88671875" defaultRowHeight="17.399999999999999"/>
  <cols>
    <col min="1" max="1" width="8.88671875" style="1"/>
    <col min="2" max="2" width="5.109375" style="1" customWidth="1"/>
    <col min="3" max="3" width="50.88671875" style="1" customWidth="1"/>
    <col min="4" max="4" width="13.33203125" style="1" customWidth="1"/>
    <col min="5" max="5" width="11.44140625" style="1" customWidth="1"/>
    <col min="6" max="6" width="13" style="1" customWidth="1"/>
    <col min="7" max="7" width="17.33203125" style="1" customWidth="1"/>
    <col min="8" max="8" width="8.88671875" style="1"/>
    <col min="9" max="12" width="9.33203125" style="1" customWidth="1"/>
    <col min="13" max="15" width="8.88671875" style="1"/>
    <col min="16" max="16" width="5.109375" style="1" customWidth="1"/>
    <col min="17" max="17" width="50.44140625" style="1" customWidth="1"/>
    <col min="18" max="18" width="14.6640625" style="1" customWidth="1"/>
    <col min="19" max="19" width="11.44140625" style="1" customWidth="1"/>
    <col min="20" max="20" width="13" style="1" customWidth="1"/>
    <col min="21" max="21" width="18.109375" style="1" customWidth="1"/>
    <col min="22" max="22" width="8.88671875" style="1"/>
    <col min="23" max="26" width="9.33203125" style="1" customWidth="1"/>
    <col min="27" max="16384" width="8.88671875" style="1"/>
  </cols>
  <sheetData>
    <row r="1" spans="2:27">
      <c r="B1" s="178" t="s">
        <v>5135</v>
      </c>
      <c r="C1" s="178"/>
      <c r="D1" s="178"/>
      <c r="E1" s="176"/>
      <c r="F1" s="176"/>
      <c r="G1" s="176"/>
      <c r="H1" s="176"/>
      <c r="I1" s="176"/>
      <c r="J1" s="176"/>
      <c r="K1" s="176"/>
      <c r="L1" s="176"/>
      <c r="N1" s="89"/>
      <c r="P1" s="178" t="s">
        <v>5136</v>
      </c>
      <c r="Q1" s="178"/>
      <c r="R1" s="178"/>
      <c r="S1" s="176"/>
      <c r="T1" s="176"/>
      <c r="U1" s="176"/>
      <c r="V1" s="176"/>
      <c r="W1" s="176"/>
      <c r="X1" s="176"/>
      <c r="Y1" s="176"/>
      <c r="Z1" s="176"/>
      <c r="AA1" s="90"/>
    </row>
    <row r="2" spans="2:27">
      <c r="B2" s="179"/>
      <c r="C2" s="180" t="s">
        <v>4958</v>
      </c>
      <c r="D2" s="180" t="s">
        <v>4959</v>
      </c>
      <c r="E2" s="181" t="s">
        <v>4960</v>
      </c>
      <c r="F2" s="181"/>
      <c r="G2" s="182"/>
      <c r="H2" s="183" t="s">
        <v>42</v>
      </c>
      <c r="I2" s="184" t="s">
        <v>4961</v>
      </c>
      <c r="J2" s="185"/>
      <c r="K2" s="184" t="s">
        <v>4962</v>
      </c>
      <c r="L2" s="186"/>
      <c r="N2" s="89"/>
      <c r="P2" s="179"/>
      <c r="Q2" s="180" t="s">
        <v>4958</v>
      </c>
      <c r="R2" s="180" t="s">
        <v>4959</v>
      </c>
      <c r="S2" s="181" t="s">
        <v>4963</v>
      </c>
      <c r="T2" s="181"/>
      <c r="U2" s="182"/>
      <c r="V2" s="183" t="s">
        <v>42</v>
      </c>
      <c r="W2" s="184" t="s">
        <v>4961</v>
      </c>
      <c r="X2" s="185"/>
      <c r="Y2" s="184" t="s">
        <v>4962</v>
      </c>
      <c r="Z2" s="186"/>
      <c r="AA2" s="91"/>
    </row>
    <row r="3" spans="2:27" ht="17.399999999999999" customHeight="1">
      <c r="B3" s="968" t="s">
        <v>4964</v>
      </c>
      <c r="C3" s="187" t="s">
        <v>107</v>
      </c>
      <c r="D3" s="188" t="s">
        <v>4965</v>
      </c>
      <c r="E3" s="92" t="s">
        <v>107</v>
      </c>
      <c r="F3" s="92"/>
      <c r="G3" s="92"/>
      <c r="H3" s="93" t="s">
        <v>39</v>
      </c>
      <c r="I3" s="94">
        <v>38.200000000000003</v>
      </c>
      <c r="J3" s="95" t="s">
        <v>43</v>
      </c>
      <c r="K3" s="96">
        <v>1.8700000000000001E-2</v>
      </c>
      <c r="L3" s="97" t="s">
        <v>3093</v>
      </c>
      <c r="P3" s="971" t="s">
        <v>4964</v>
      </c>
      <c r="Q3" s="187" t="s">
        <v>107</v>
      </c>
      <c r="R3" s="188" t="s">
        <v>4965</v>
      </c>
      <c r="S3" s="92" t="s">
        <v>107</v>
      </c>
      <c r="T3" s="92"/>
      <c r="U3" s="92"/>
      <c r="V3" s="93" t="s">
        <v>39</v>
      </c>
      <c r="W3" s="94">
        <v>38.299999999999997</v>
      </c>
      <c r="X3" s="95" t="s">
        <v>43</v>
      </c>
      <c r="Y3" s="96">
        <v>1.9E-2</v>
      </c>
      <c r="Z3" s="97" t="s">
        <v>3093</v>
      </c>
    </row>
    <row r="4" spans="2:27">
      <c r="B4" s="969"/>
      <c r="C4" s="189" t="s">
        <v>108</v>
      </c>
      <c r="D4" s="190" t="s">
        <v>4965</v>
      </c>
      <c r="E4" s="99" t="s">
        <v>108</v>
      </c>
      <c r="F4" s="100"/>
      <c r="G4" s="100"/>
      <c r="H4" s="101" t="s">
        <v>39</v>
      </c>
      <c r="I4" s="98">
        <v>35.299999999999997</v>
      </c>
      <c r="J4" s="102" t="s">
        <v>43</v>
      </c>
      <c r="K4" s="103">
        <v>1.84E-2</v>
      </c>
      <c r="L4" s="104" t="s">
        <v>3093</v>
      </c>
      <c r="M4" s="105"/>
      <c r="N4" s="89"/>
      <c r="P4" s="972"/>
      <c r="Q4" s="189" t="s">
        <v>108</v>
      </c>
      <c r="R4" s="190" t="s">
        <v>4965</v>
      </c>
      <c r="S4" s="99" t="s">
        <v>108</v>
      </c>
      <c r="T4" s="99"/>
      <c r="U4" s="99"/>
      <c r="V4" s="191" t="s">
        <v>39</v>
      </c>
      <c r="W4" s="192">
        <v>34.799999999999997</v>
      </c>
      <c r="X4" s="193" t="s">
        <v>43</v>
      </c>
      <c r="Y4" s="194">
        <v>1.83E-2</v>
      </c>
      <c r="Z4" s="195" t="s">
        <v>3093</v>
      </c>
    </row>
    <row r="5" spans="2:27">
      <c r="B5" s="969"/>
      <c r="C5" s="189" t="s">
        <v>4966</v>
      </c>
      <c r="D5" s="190" t="s">
        <v>4965</v>
      </c>
      <c r="E5" s="100" t="s">
        <v>4966</v>
      </c>
      <c r="F5" s="100"/>
      <c r="G5" s="100"/>
      <c r="H5" s="101" t="s">
        <v>39</v>
      </c>
      <c r="I5" s="98">
        <v>34.6</v>
      </c>
      <c r="J5" s="102" t="s">
        <v>43</v>
      </c>
      <c r="K5" s="103">
        <v>1.83E-2</v>
      </c>
      <c r="L5" s="104" t="s">
        <v>3093</v>
      </c>
      <c r="P5" s="972"/>
      <c r="Q5" s="189" t="s">
        <v>4258</v>
      </c>
      <c r="R5" s="190" t="s">
        <v>4965</v>
      </c>
      <c r="S5" s="100" t="s">
        <v>4966</v>
      </c>
      <c r="T5" s="100"/>
      <c r="U5" s="100"/>
      <c r="V5" s="101" t="s">
        <v>39</v>
      </c>
      <c r="W5" s="98">
        <v>33.4</v>
      </c>
      <c r="X5" s="102" t="s">
        <v>43</v>
      </c>
      <c r="Y5" s="103">
        <v>1.8700000000000001E-2</v>
      </c>
      <c r="Z5" s="104" t="s">
        <v>3093</v>
      </c>
    </row>
    <row r="6" spans="2:27">
      <c r="B6" s="969"/>
      <c r="C6" s="189" t="s">
        <v>45</v>
      </c>
      <c r="D6" s="190" t="s">
        <v>4965</v>
      </c>
      <c r="E6" s="100" t="s">
        <v>45</v>
      </c>
      <c r="F6" s="100"/>
      <c r="G6" s="100"/>
      <c r="H6" s="101" t="s">
        <v>39</v>
      </c>
      <c r="I6" s="98">
        <v>33.6</v>
      </c>
      <c r="J6" s="102" t="s">
        <v>43</v>
      </c>
      <c r="K6" s="103">
        <v>1.8200000000000001E-2</v>
      </c>
      <c r="L6" s="104" t="s">
        <v>3093</v>
      </c>
      <c r="P6" s="972"/>
      <c r="Q6" s="189" t="s">
        <v>45</v>
      </c>
      <c r="R6" s="190" t="s">
        <v>4965</v>
      </c>
      <c r="S6" s="100" t="s">
        <v>45</v>
      </c>
      <c r="T6" s="100"/>
      <c r="U6" s="100"/>
      <c r="V6" s="101" t="s">
        <v>39</v>
      </c>
      <c r="W6" s="98">
        <v>33.299999999999997</v>
      </c>
      <c r="X6" s="102" t="s">
        <v>43</v>
      </c>
      <c r="Y6" s="103">
        <v>1.8599999999999998E-2</v>
      </c>
      <c r="Z6" s="104" t="s">
        <v>3093</v>
      </c>
    </row>
    <row r="7" spans="2:27">
      <c r="B7" s="969"/>
      <c r="C7" s="189" t="s">
        <v>4967</v>
      </c>
      <c r="D7" s="190" t="s">
        <v>4965</v>
      </c>
      <c r="E7" s="100" t="s">
        <v>4967</v>
      </c>
      <c r="F7" s="100"/>
      <c r="G7" s="100"/>
      <c r="H7" s="101" t="s">
        <v>39</v>
      </c>
      <c r="I7" s="98">
        <v>36.700000000000003</v>
      </c>
      <c r="J7" s="102" t="s">
        <v>43</v>
      </c>
      <c r="K7" s="103">
        <v>1.83E-2</v>
      </c>
      <c r="L7" s="104" t="s">
        <v>3093</v>
      </c>
      <c r="P7" s="972"/>
      <c r="Q7" s="189" t="s">
        <v>4968</v>
      </c>
      <c r="R7" s="190" t="s">
        <v>4965</v>
      </c>
      <c r="S7" s="100" t="s">
        <v>4967</v>
      </c>
      <c r="T7" s="100"/>
      <c r="U7" s="100"/>
      <c r="V7" s="101" t="s">
        <v>39</v>
      </c>
      <c r="W7" s="98">
        <v>36.299999999999997</v>
      </c>
      <c r="X7" s="102" t="s">
        <v>43</v>
      </c>
      <c r="Y7" s="103">
        <v>1.8599999999999998E-2</v>
      </c>
      <c r="Z7" s="104" t="s">
        <v>3093</v>
      </c>
    </row>
    <row r="8" spans="2:27">
      <c r="B8" s="969"/>
      <c r="C8" s="189" t="s">
        <v>46</v>
      </c>
      <c r="D8" s="190" t="s">
        <v>4965</v>
      </c>
      <c r="E8" s="100" t="s">
        <v>46</v>
      </c>
      <c r="F8" s="100"/>
      <c r="G8" s="100"/>
      <c r="H8" s="101" t="s">
        <v>39</v>
      </c>
      <c r="I8" s="98">
        <v>36.700000000000003</v>
      </c>
      <c r="J8" s="102" t="s">
        <v>43</v>
      </c>
      <c r="K8" s="103">
        <v>1.8499999999999999E-2</v>
      </c>
      <c r="L8" s="104" t="s">
        <v>3093</v>
      </c>
      <c r="P8" s="972"/>
      <c r="Q8" s="189" t="s">
        <v>46</v>
      </c>
      <c r="R8" s="190" t="s">
        <v>4965</v>
      </c>
      <c r="S8" s="100" t="s">
        <v>46</v>
      </c>
      <c r="T8" s="100"/>
      <c r="U8" s="100"/>
      <c r="V8" s="101" t="s">
        <v>39</v>
      </c>
      <c r="W8" s="98">
        <v>36.5</v>
      </c>
      <c r="X8" s="102" t="s">
        <v>43</v>
      </c>
      <c r="Y8" s="103">
        <v>1.8700000000000001E-2</v>
      </c>
      <c r="Z8" s="104" t="s">
        <v>3093</v>
      </c>
    </row>
    <row r="9" spans="2:27">
      <c r="B9" s="969"/>
      <c r="C9" s="189" t="s">
        <v>47</v>
      </c>
      <c r="D9" s="190" t="s">
        <v>4965</v>
      </c>
      <c r="E9" s="100" t="s">
        <v>47</v>
      </c>
      <c r="F9" s="100"/>
      <c r="G9" s="100"/>
      <c r="H9" s="101" t="s">
        <v>39</v>
      </c>
      <c r="I9" s="98">
        <v>37.700000000000003</v>
      </c>
      <c r="J9" s="102" t="s">
        <v>43</v>
      </c>
      <c r="K9" s="103">
        <v>1.8700000000000001E-2</v>
      </c>
      <c r="L9" s="104" t="s">
        <v>3093</v>
      </c>
      <c r="P9" s="972"/>
      <c r="Q9" s="189" t="s">
        <v>47</v>
      </c>
      <c r="R9" s="190" t="s">
        <v>4965</v>
      </c>
      <c r="S9" s="100" t="s">
        <v>47</v>
      </c>
      <c r="T9" s="100"/>
      <c r="U9" s="100"/>
      <c r="V9" s="101" t="s">
        <v>39</v>
      </c>
      <c r="W9" s="98">
        <v>38</v>
      </c>
      <c r="X9" s="102" t="s">
        <v>43</v>
      </c>
      <c r="Y9" s="103">
        <v>1.8800000000000001E-2</v>
      </c>
      <c r="Z9" s="104" t="s">
        <v>3093</v>
      </c>
    </row>
    <row r="10" spans="2:27">
      <c r="B10" s="969"/>
      <c r="C10" s="189" t="s">
        <v>48</v>
      </c>
      <c r="D10" s="190" t="s">
        <v>4965</v>
      </c>
      <c r="E10" s="100" t="s">
        <v>48</v>
      </c>
      <c r="F10" s="100"/>
      <c r="G10" s="100"/>
      <c r="H10" s="101" t="s">
        <v>39</v>
      </c>
      <c r="I10" s="98">
        <v>39.1</v>
      </c>
      <c r="J10" s="102" t="s">
        <v>43</v>
      </c>
      <c r="K10" s="103">
        <v>1.89E-2</v>
      </c>
      <c r="L10" s="104" t="s">
        <v>3093</v>
      </c>
      <c r="P10" s="972"/>
      <c r="Q10" s="189" t="s">
        <v>48</v>
      </c>
      <c r="R10" s="190" t="s">
        <v>4965</v>
      </c>
      <c r="S10" s="100" t="s">
        <v>48</v>
      </c>
      <c r="T10" s="100"/>
      <c r="U10" s="100"/>
      <c r="V10" s="101" t="s">
        <v>39</v>
      </c>
      <c r="W10" s="98">
        <v>38.9</v>
      </c>
      <c r="X10" s="102" t="s">
        <v>43</v>
      </c>
      <c r="Y10" s="103">
        <v>1.9300000000000001E-2</v>
      </c>
      <c r="Z10" s="104" t="s">
        <v>3093</v>
      </c>
    </row>
    <row r="11" spans="2:27">
      <c r="B11" s="969"/>
      <c r="C11" s="189" t="s">
        <v>49</v>
      </c>
      <c r="D11" s="190" t="s">
        <v>4965</v>
      </c>
      <c r="E11" s="100" t="s">
        <v>49</v>
      </c>
      <c r="F11" s="100"/>
      <c r="G11" s="100"/>
      <c r="H11" s="101" t="s">
        <v>39</v>
      </c>
      <c r="I11" s="98">
        <v>41.9</v>
      </c>
      <c r="J11" s="102" t="s">
        <v>43</v>
      </c>
      <c r="K11" s="103">
        <v>1.95E-2</v>
      </c>
      <c r="L11" s="104" t="s">
        <v>3093</v>
      </c>
      <c r="P11" s="972"/>
      <c r="Q11" s="189" t="s">
        <v>49</v>
      </c>
      <c r="R11" s="190" t="s">
        <v>4965</v>
      </c>
      <c r="S11" s="100" t="s">
        <v>49</v>
      </c>
      <c r="T11" s="100"/>
      <c r="U11" s="100"/>
      <c r="V11" s="101" t="s">
        <v>39</v>
      </c>
      <c r="W11" s="98">
        <v>41.8</v>
      </c>
      <c r="X11" s="102" t="s">
        <v>43</v>
      </c>
      <c r="Y11" s="103">
        <v>2.0199999999999999E-2</v>
      </c>
      <c r="Z11" s="104" t="s">
        <v>3093</v>
      </c>
    </row>
    <row r="12" spans="2:27">
      <c r="B12" s="969"/>
      <c r="C12" s="189" t="s">
        <v>50</v>
      </c>
      <c r="D12" s="190" t="s">
        <v>4965</v>
      </c>
      <c r="E12" s="100" t="s">
        <v>50</v>
      </c>
      <c r="F12" s="100"/>
      <c r="G12" s="100"/>
      <c r="H12" s="101" t="s">
        <v>51</v>
      </c>
      <c r="I12" s="98">
        <v>40.9</v>
      </c>
      <c r="J12" s="102" t="s">
        <v>52</v>
      </c>
      <c r="K12" s="103">
        <v>2.0799999999999999E-2</v>
      </c>
      <c r="L12" s="104" t="s">
        <v>3093</v>
      </c>
      <c r="P12" s="972"/>
      <c r="Q12" s="189" t="s">
        <v>50</v>
      </c>
      <c r="R12" s="190" t="s">
        <v>4965</v>
      </c>
      <c r="S12" s="100" t="s">
        <v>50</v>
      </c>
      <c r="T12" s="100"/>
      <c r="U12" s="100"/>
      <c r="V12" s="101" t="s">
        <v>51</v>
      </c>
      <c r="W12" s="98">
        <v>40</v>
      </c>
      <c r="X12" s="102" t="s">
        <v>52</v>
      </c>
      <c r="Y12" s="103">
        <v>2.0400000000000001E-2</v>
      </c>
      <c r="Z12" s="104" t="s">
        <v>3093</v>
      </c>
    </row>
    <row r="13" spans="2:27">
      <c r="B13" s="969"/>
      <c r="C13" s="189" t="s">
        <v>53</v>
      </c>
      <c r="D13" s="190" t="s">
        <v>4965</v>
      </c>
      <c r="E13" s="100" t="s">
        <v>53</v>
      </c>
      <c r="F13" s="100"/>
      <c r="G13" s="100"/>
      <c r="H13" s="101" t="s">
        <v>51</v>
      </c>
      <c r="I13" s="98">
        <v>29.9</v>
      </c>
      <c r="J13" s="102" t="s">
        <v>52</v>
      </c>
      <c r="K13" s="103">
        <v>2.5399999999999999E-2</v>
      </c>
      <c r="L13" s="104" t="s">
        <v>3093</v>
      </c>
      <c r="P13" s="972"/>
      <c r="Q13" s="189" t="s">
        <v>53</v>
      </c>
      <c r="R13" s="190" t="s">
        <v>4965</v>
      </c>
      <c r="S13" s="100" t="s">
        <v>53</v>
      </c>
      <c r="T13" s="100"/>
      <c r="U13" s="100"/>
      <c r="V13" s="101" t="s">
        <v>51</v>
      </c>
      <c r="W13" s="98">
        <v>34.1</v>
      </c>
      <c r="X13" s="102" t="s">
        <v>52</v>
      </c>
      <c r="Y13" s="103">
        <v>2.4500000000000001E-2</v>
      </c>
      <c r="Z13" s="104" t="s">
        <v>3093</v>
      </c>
    </row>
    <row r="14" spans="2:27">
      <c r="B14" s="969"/>
      <c r="C14" s="189" t="s">
        <v>4179</v>
      </c>
      <c r="D14" s="190" t="s">
        <v>4965</v>
      </c>
      <c r="E14" s="974" t="s">
        <v>4969</v>
      </c>
      <c r="F14" s="106" t="s">
        <v>4231</v>
      </c>
      <c r="G14" s="100"/>
      <c r="H14" s="101" t="s">
        <v>51</v>
      </c>
      <c r="I14" s="98">
        <v>50.8</v>
      </c>
      <c r="J14" s="102" t="s">
        <v>52</v>
      </c>
      <c r="K14" s="103">
        <v>1.61E-2</v>
      </c>
      <c r="L14" s="104" t="s">
        <v>3093</v>
      </c>
      <c r="P14" s="972"/>
      <c r="Q14" s="189" t="s">
        <v>4179</v>
      </c>
      <c r="R14" s="190" t="s">
        <v>4965</v>
      </c>
      <c r="S14" s="976" t="s">
        <v>4969</v>
      </c>
      <c r="T14" s="106" t="s">
        <v>4231</v>
      </c>
      <c r="U14" s="100"/>
      <c r="V14" s="101" t="s">
        <v>51</v>
      </c>
      <c r="W14" s="98">
        <v>50.1</v>
      </c>
      <c r="X14" s="102" t="s">
        <v>52</v>
      </c>
      <c r="Y14" s="103">
        <v>1.6299999999999999E-2</v>
      </c>
      <c r="Z14" s="104" t="s">
        <v>3093</v>
      </c>
    </row>
    <row r="15" spans="2:27" ht="18" customHeight="1">
      <c r="B15" s="969"/>
      <c r="C15" s="189" t="s">
        <v>4267</v>
      </c>
      <c r="D15" s="190" t="s">
        <v>4965</v>
      </c>
      <c r="E15" s="975"/>
      <c r="F15" s="106" t="s">
        <v>4204</v>
      </c>
      <c r="G15" s="100"/>
      <c r="H15" s="107" t="s">
        <v>4970</v>
      </c>
      <c r="I15" s="98">
        <v>44.9</v>
      </c>
      <c r="J15" s="102" t="s">
        <v>55</v>
      </c>
      <c r="K15" s="103">
        <v>1.4200000000000001E-2</v>
      </c>
      <c r="L15" s="104" t="s">
        <v>3093</v>
      </c>
      <c r="P15" s="972"/>
      <c r="Q15" s="189" t="s">
        <v>4267</v>
      </c>
      <c r="R15" s="190" t="s">
        <v>4965</v>
      </c>
      <c r="S15" s="977"/>
      <c r="T15" s="106" t="s">
        <v>4204</v>
      </c>
      <c r="U15" s="100"/>
      <c r="V15" s="107" t="s">
        <v>4970</v>
      </c>
      <c r="W15" s="98">
        <v>46.1</v>
      </c>
      <c r="X15" s="102" t="s">
        <v>55</v>
      </c>
      <c r="Y15" s="103">
        <v>1.44E-2</v>
      </c>
      <c r="Z15" s="104" t="s">
        <v>3093</v>
      </c>
    </row>
    <row r="16" spans="2:27" ht="17.399999999999999" customHeight="1">
      <c r="B16" s="969"/>
      <c r="C16" s="189" t="s">
        <v>4180</v>
      </c>
      <c r="D16" s="190" t="s">
        <v>4965</v>
      </c>
      <c r="E16" s="974" t="s">
        <v>4971</v>
      </c>
      <c r="F16" s="106" t="s">
        <v>4232</v>
      </c>
      <c r="G16" s="100"/>
      <c r="H16" s="101" t="s">
        <v>51</v>
      </c>
      <c r="I16" s="98">
        <v>54.6</v>
      </c>
      <c r="J16" s="102" t="s">
        <v>52</v>
      </c>
      <c r="K16" s="103">
        <v>1.35E-2</v>
      </c>
      <c r="L16" s="104" t="s">
        <v>3093</v>
      </c>
      <c r="P16" s="972"/>
      <c r="Q16" s="189" t="s">
        <v>4180</v>
      </c>
      <c r="R16" s="190" t="s">
        <v>4965</v>
      </c>
      <c r="S16" s="976" t="s">
        <v>4972</v>
      </c>
      <c r="T16" s="106" t="s">
        <v>4232</v>
      </c>
      <c r="U16" s="100"/>
      <c r="V16" s="101" t="s">
        <v>51</v>
      </c>
      <c r="W16" s="98">
        <v>54.7</v>
      </c>
      <c r="X16" s="102" t="s">
        <v>52</v>
      </c>
      <c r="Y16" s="103">
        <v>1.3899999999999999E-2</v>
      </c>
      <c r="Z16" s="104" t="s">
        <v>3093</v>
      </c>
    </row>
    <row r="17" spans="2:26">
      <c r="B17" s="969"/>
      <c r="C17" s="189" t="s">
        <v>54</v>
      </c>
      <c r="D17" s="190" t="s">
        <v>4965</v>
      </c>
      <c r="E17" s="975"/>
      <c r="F17" s="106" t="s">
        <v>54</v>
      </c>
      <c r="G17" s="100"/>
      <c r="H17" s="107" t="s">
        <v>4970</v>
      </c>
      <c r="I17" s="98">
        <v>43.5</v>
      </c>
      <c r="J17" s="102" t="s">
        <v>55</v>
      </c>
      <c r="K17" s="103">
        <v>1.3899999999999999E-2</v>
      </c>
      <c r="L17" s="104" t="s">
        <v>3093</v>
      </c>
      <c r="P17" s="972"/>
      <c r="Q17" s="189" t="s">
        <v>54</v>
      </c>
      <c r="R17" s="190" t="s">
        <v>4965</v>
      </c>
      <c r="S17" s="977"/>
      <c r="T17" s="106" t="s">
        <v>54</v>
      </c>
      <c r="U17" s="100"/>
      <c r="V17" s="107" t="s">
        <v>4970</v>
      </c>
      <c r="W17" s="98">
        <v>38.4</v>
      </c>
      <c r="X17" s="102" t="s">
        <v>55</v>
      </c>
      <c r="Y17" s="103">
        <v>1.3899999999999999E-2</v>
      </c>
      <c r="Z17" s="104" t="s">
        <v>3093</v>
      </c>
    </row>
    <row r="18" spans="2:26">
      <c r="B18" s="969"/>
      <c r="C18" s="189" t="s">
        <v>4973</v>
      </c>
      <c r="D18" s="190" t="s">
        <v>4965</v>
      </c>
      <c r="E18" s="978" t="s">
        <v>4974</v>
      </c>
      <c r="F18" s="957" t="s">
        <v>4975</v>
      </c>
      <c r="G18" s="106" t="s">
        <v>4976</v>
      </c>
      <c r="H18" s="101" t="s">
        <v>51</v>
      </c>
      <c r="I18" s="98">
        <v>29</v>
      </c>
      <c r="J18" s="102" t="s">
        <v>52</v>
      </c>
      <c r="K18" s="103">
        <v>2.4500000000000001E-2</v>
      </c>
      <c r="L18" s="104" t="s">
        <v>3093</v>
      </c>
      <c r="P18" s="972"/>
      <c r="Q18" s="189" t="s">
        <v>4976</v>
      </c>
      <c r="R18" s="190" t="s">
        <v>4965</v>
      </c>
      <c r="S18" s="981" t="s">
        <v>4974</v>
      </c>
      <c r="T18" s="957" t="s">
        <v>4975</v>
      </c>
      <c r="U18" s="106" t="s">
        <v>4976</v>
      </c>
      <c r="V18" s="101" t="s">
        <v>51</v>
      </c>
      <c r="W18" s="98">
        <v>28.7</v>
      </c>
      <c r="X18" s="102" t="s">
        <v>52</v>
      </c>
      <c r="Y18" s="103">
        <v>2.46E-2</v>
      </c>
      <c r="Z18" s="104" t="s">
        <v>3093</v>
      </c>
    </row>
    <row r="19" spans="2:26">
      <c r="B19" s="969"/>
      <c r="C19" s="189"/>
      <c r="D19" s="190" t="s">
        <v>4965</v>
      </c>
      <c r="E19" s="979"/>
      <c r="F19" s="958"/>
      <c r="G19" s="106" t="s">
        <v>4977</v>
      </c>
      <c r="H19" s="101" t="s">
        <v>51</v>
      </c>
      <c r="I19" s="108" t="s">
        <v>4978</v>
      </c>
      <c r="J19" s="109"/>
      <c r="K19" s="108" t="s">
        <v>4978</v>
      </c>
      <c r="L19" s="109"/>
      <c r="P19" s="972"/>
      <c r="Q19" s="189" t="s">
        <v>4977</v>
      </c>
      <c r="R19" s="190" t="s">
        <v>4965</v>
      </c>
      <c r="S19" s="982"/>
      <c r="T19" s="958"/>
      <c r="U19" s="106" t="s">
        <v>4977</v>
      </c>
      <c r="V19" s="101" t="s">
        <v>51</v>
      </c>
      <c r="W19" s="98">
        <v>28.9</v>
      </c>
      <c r="X19" s="102" t="s">
        <v>52</v>
      </c>
      <c r="Y19" s="103">
        <v>2.4500000000000001E-2</v>
      </c>
      <c r="Z19" s="104" t="s">
        <v>3093</v>
      </c>
    </row>
    <row r="20" spans="2:26">
      <c r="B20" s="969"/>
      <c r="C20" s="189"/>
      <c r="D20" s="190" t="s">
        <v>4965</v>
      </c>
      <c r="E20" s="979"/>
      <c r="F20" s="959"/>
      <c r="G20" s="106" t="s">
        <v>4979</v>
      </c>
      <c r="H20" s="101" t="s">
        <v>51</v>
      </c>
      <c r="I20" s="108" t="s">
        <v>4978</v>
      </c>
      <c r="J20" s="109"/>
      <c r="K20" s="108" t="s">
        <v>4978</v>
      </c>
      <c r="L20" s="109"/>
      <c r="P20" s="972"/>
      <c r="Q20" s="189" t="s">
        <v>4979</v>
      </c>
      <c r="R20" s="190" t="s">
        <v>4965</v>
      </c>
      <c r="S20" s="982"/>
      <c r="T20" s="959"/>
      <c r="U20" s="106" t="s">
        <v>4979</v>
      </c>
      <c r="V20" s="101" t="s">
        <v>51</v>
      </c>
      <c r="W20" s="98">
        <v>28.3</v>
      </c>
      <c r="X20" s="102" t="s">
        <v>52</v>
      </c>
      <c r="Y20" s="103">
        <v>2.5100000000000001E-2</v>
      </c>
      <c r="Z20" s="104" t="s">
        <v>3093</v>
      </c>
    </row>
    <row r="21" spans="2:26">
      <c r="B21" s="969"/>
      <c r="C21" s="189" t="s">
        <v>4980</v>
      </c>
      <c r="D21" s="190" t="s">
        <v>4965</v>
      </c>
      <c r="E21" s="979"/>
      <c r="F21" s="957" t="s">
        <v>4981</v>
      </c>
      <c r="G21" s="106" t="s">
        <v>4982</v>
      </c>
      <c r="H21" s="101" t="s">
        <v>51</v>
      </c>
      <c r="I21" s="98">
        <v>25.7</v>
      </c>
      <c r="J21" s="102" t="s">
        <v>52</v>
      </c>
      <c r="K21" s="103">
        <v>2.47E-2</v>
      </c>
      <c r="L21" s="104" t="s">
        <v>3093</v>
      </c>
      <c r="P21" s="972"/>
      <c r="Q21" s="189" t="s">
        <v>4982</v>
      </c>
      <c r="R21" s="190" t="s">
        <v>4965</v>
      </c>
      <c r="S21" s="982"/>
      <c r="T21" s="957" t="s">
        <v>4981</v>
      </c>
      <c r="U21" s="106" t="s">
        <v>4982</v>
      </c>
      <c r="V21" s="101" t="s">
        <v>51</v>
      </c>
      <c r="W21" s="98">
        <v>26.1</v>
      </c>
      <c r="X21" s="102" t="s">
        <v>52</v>
      </c>
      <c r="Y21" s="103">
        <v>2.4299999999999999E-2</v>
      </c>
      <c r="Z21" s="104" t="s">
        <v>3093</v>
      </c>
    </row>
    <row r="22" spans="2:26">
      <c r="B22" s="969"/>
      <c r="C22" s="189"/>
      <c r="D22" s="190" t="s">
        <v>4965</v>
      </c>
      <c r="E22" s="979"/>
      <c r="F22" s="959"/>
      <c r="G22" s="106" t="s">
        <v>4983</v>
      </c>
      <c r="H22" s="101" t="s">
        <v>51</v>
      </c>
      <c r="I22" s="108" t="s">
        <v>4978</v>
      </c>
      <c r="J22" s="109"/>
      <c r="K22" s="108" t="s">
        <v>4978</v>
      </c>
      <c r="L22" s="109"/>
      <c r="P22" s="972"/>
      <c r="Q22" s="189" t="s">
        <v>4984</v>
      </c>
      <c r="R22" s="190" t="s">
        <v>4965</v>
      </c>
      <c r="S22" s="982"/>
      <c r="T22" s="959"/>
      <c r="U22" s="106" t="s">
        <v>4984</v>
      </c>
      <c r="V22" s="101" t="s">
        <v>51</v>
      </c>
      <c r="W22" s="98">
        <v>24.2</v>
      </c>
      <c r="X22" s="102" t="s">
        <v>52</v>
      </c>
      <c r="Y22" s="103">
        <v>2.4199999999999999E-2</v>
      </c>
      <c r="Z22" s="104" t="s">
        <v>3093</v>
      </c>
    </row>
    <row r="23" spans="2:26">
      <c r="B23" s="969"/>
      <c r="C23" s="189" t="s">
        <v>4985</v>
      </c>
      <c r="D23" s="190" t="s">
        <v>4965</v>
      </c>
      <c r="E23" s="980"/>
      <c r="F23" s="110" t="s">
        <v>4986</v>
      </c>
      <c r="G23" s="100"/>
      <c r="H23" s="101" t="s">
        <v>51</v>
      </c>
      <c r="I23" s="98">
        <v>26.9</v>
      </c>
      <c r="J23" s="102" t="s">
        <v>52</v>
      </c>
      <c r="K23" s="103">
        <v>2.5499999999999998E-2</v>
      </c>
      <c r="L23" s="104" t="s">
        <v>3093</v>
      </c>
      <c r="P23" s="972"/>
      <c r="Q23" s="189" t="s">
        <v>4986</v>
      </c>
      <c r="R23" s="190" t="s">
        <v>4965</v>
      </c>
      <c r="S23" s="983"/>
      <c r="T23" s="110" t="s">
        <v>4986</v>
      </c>
      <c r="U23" s="111"/>
      <c r="V23" s="101" t="s">
        <v>51</v>
      </c>
      <c r="W23" s="98">
        <v>27.8</v>
      </c>
      <c r="X23" s="102" t="s">
        <v>52</v>
      </c>
      <c r="Y23" s="103">
        <v>2.5899999999999999E-2</v>
      </c>
      <c r="Z23" s="104" t="s">
        <v>3093</v>
      </c>
    </row>
    <row r="24" spans="2:26">
      <c r="B24" s="969"/>
      <c r="C24" s="189" t="s">
        <v>58</v>
      </c>
      <c r="D24" s="190" t="s">
        <v>4965</v>
      </c>
      <c r="E24" s="100" t="s">
        <v>58</v>
      </c>
      <c r="F24" s="99"/>
      <c r="G24" s="99"/>
      <c r="H24" s="101" t="s">
        <v>51</v>
      </c>
      <c r="I24" s="98">
        <v>29.4</v>
      </c>
      <c r="J24" s="102" t="s">
        <v>52</v>
      </c>
      <c r="K24" s="103">
        <v>2.9399999999999999E-2</v>
      </c>
      <c r="L24" s="104" t="s">
        <v>3093</v>
      </c>
      <c r="P24" s="972"/>
      <c r="Q24" s="189" t="s">
        <v>58</v>
      </c>
      <c r="R24" s="190" t="s">
        <v>4965</v>
      </c>
      <c r="S24" s="100" t="s">
        <v>58</v>
      </c>
      <c r="T24" s="99"/>
      <c r="U24" s="99"/>
      <c r="V24" s="101" t="s">
        <v>51</v>
      </c>
      <c r="W24" s="98">
        <v>29</v>
      </c>
      <c r="X24" s="102" t="s">
        <v>52</v>
      </c>
      <c r="Y24" s="103">
        <v>2.9899999999999999E-2</v>
      </c>
      <c r="Z24" s="104" t="s">
        <v>3093</v>
      </c>
    </row>
    <row r="25" spans="2:26">
      <c r="B25" s="969"/>
      <c r="C25" s="189" t="s">
        <v>59</v>
      </c>
      <c r="D25" s="190" t="s">
        <v>4965</v>
      </c>
      <c r="E25" s="100" t="s">
        <v>59</v>
      </c>
      <c r="F25" s="100"/>
      <c r="G25" s="100"/>
      <c r="H25" s="101" t="s">
        <v>51</v>
      </c>
      <c r="I25" s="98">
        <v>37.299999999999997</v>
      </c>
      <c r="J25" s="102" t="s">
        <v>52</v>
      </c>
      <c r="K25" s="103">
        <v>2.0899999999999998E-2</v>
      </c>
      <c r="L25" s="104" t="s">
        <v>3093</v>
      </c>
      <c r="P25" s="972"/>
      <c r="Q25" s="189" t="s">
        <v>59</v>
      </c>
      <c r="R25" s="190" t="s">
        <v>4965</v>
      </c>
      <c r="S25" s="100" t="s">
        <v>59</v>
      </c>
      <c r="T25" s="100"/>
      <c r="U25" s="100"/>
      <c r="V25" s="101" t="s">
        <v>51</v>
      </c>
      <c r="W25" s="98">
        <v>37.299999999999997</v>
      </c>
      <c r="X25" s="102" t="s">
        <v>52</v>
      </c>
      <c r="Y25" s="103">
        <v>2.0899999999999998E-2</v>
      </c>
      <c r="Z25" s="104" t="s">
        <v>3093</v>
      </c>
    </row>
    <row r="26" spans="2:26">
      <c r="B26" s="969"/>
      <c r="C26" s="189" t="s">
        <v>60</v>
      </c>
      <c r="D26" s="190" t="s">
        <v>4965</v>
      </c>
      <c r="E26" s="100" t="s">
        <v>60</v>
      </c>
      <c r="F26" s="100"/>
      <c r="G26" s="100"/>
      <c r="H26" s="107" t="s">
        <v>4970</v>
      </c>
      <c r="I26" s="98">
        <v>21.1</v>
      </c>
      <c r="J26" s="102" t="s">
        <v>55</v>
      </c>
      <c r="K26" s="103">
        <v>1.0999999999999999E-2</v>
      </c>
      <c r="L26" s="104" t="s">
        <v>3093</v>
      </c>
      <c r="P26" s="972"/>
      <c r="Q26" s="189" t="s">
        <v>60</v>
      </c>
      <c r="R26" s="190" t="s">
        <v>4965</v>
      </c>
      <c r="S26" s="100" t="s">
        <v>60</v>
      </c>
      <c r="T26" s="100"/>
      <c r="U26" s="100"/>
      <c r="V26" s="107" t="s">
        <v>4970</v>
      </c>
      <c r="W26" s="98">
        <v>18.399999999999999</v>
      </c>
      <c r="X26" s="102" t="s">
        <v>55</v>
      </c>
      <c r="Y26" s="103">
        <v>1.09E-2</v>
      </c>
      <c r="Z26" s="104" t="s">
        <v>3093</v>
      </c>
    </row>
    <row r="27" spans="2:26">
      <c r="B27" s="969"/>
      <c r="C27" s="189" t="s">
        <v>61</v>
      </c>
      <c r="D27" s="190" t="s">
        <v>4965</v>
      </c>
      <c r="E27" s="100" t="s">
        <v>61</v>
      </c>
      <c r="F27" s="100"/>
      <c r="G27" s="100"/>
      <c r="H27" s="107" t="s">
        <v>4970</v>
      </c>
      <c r="I27" s="112">
        <v>3.41</v>
      </c>
      <c r="J27" s="102" t="s">
        <v>55</v>
      </c>
      <c r="K27" s="103">
        <v>2.63E-2</v>
      </c>
      <c r="L27" s="104" t="s">
        <v>3093</v>
      </c>
      <c r="P27" s="972"/>
      <c r="Q27" s="189" t="s">
        <v>61</v>
      </c>
      <c r="R27" s="190" t="s">
        <v>4965</v>
      </c>
      <c r="S27" s="100" t="s">
        <v>61</v>
      </c>
      <c r="T27" s="100"/>
      <c r="U27" s="100"/>
      <c r="V27" s="107" t="s">
        <v>4970</v>
      </c>
      <c r="W27" s="112">
        <v>3.23</v>
      </c>
      <c r="X27" s="102" t="s">
        <v>55</v>
      </c>
      <c r="Y27" s="103">
        <v>2.64E-2</v>
      </c>
      <c r="Z27" s="104" t="s">
        <v>3093</v>
      </c>
    </row>
    <row r="28" spans="2:26">
      <c r="B28" s="969"/>
      <c r="C28" s="189"/>
      <c r="D28" s="190" t="s">
        <v>4965</v>
      </c>
      <c r="E28" s="111" t="s">
        <v>4987</v>
      </c>
      <c r="F28" s="113"/>
      <c r="G28" s="113"/>
      <c r="H28" s="107" t="s">
        <v>4970</v>
      </c>
      <c r="I28" s="108" t="s">
        <v>4978</v>
      </c>
      <c r="J28" s="109"/>
      <c r="K28" s="108" t="s">
        <v>4978</v>
      </c>
      <c r="L28" s="109"/>
      <c r="P28" s="972"/>
      <c r="Q28" s="189" t="s">
        <v>4987</v>
      </c>
      <c r="R28" s="190" t="s">
        <v>4965</v>
      </c>
      <c r="S28" s="111" t="s">
        <v>4987</v>
      </c>
      <c r="T28" s="113"/>
      <c r="U28" s="113"/>
      <c r="V28" s="107" t="s">
        <v>4970</v>
      </c>
      <c r="W28" s="112">
        <v>3.45</v>
      </c>
      <c r="X28" s="102" t="s">
        <v>55</v>
      </c>
      <c r="Y28" s="103">
        <v>2.64E-2</v>
      </c>
      <c r="Z28" s="104" t="s">
        <v>3093</v>
      </c>
    </row>
    <row r="29" spans="2:26">
      <c r="B29" s="969"/>
      <c r="C29" s="189" t="s">
        <v>62</v>
      </c>
      <c r="D29" s="190" t="s">
        <v>4965</v>
      </c>
      <c r="E29" s="100" t="s">
        <v>62</v>
      </c>
      <c r="F29" s="100"/>
      <c r="G29" s="100"/>
      <c r="H29" s="107" t="s">
        <v>4970</v>
      </c>
      <c r="I29" s="112">
        <v>8.41</v>
      </c>
      <c r="J29" s="102" t="s">
        <v>55</v>
      </c>
      <c r="K29" s="103">
        <v>3.8399999999999997E-2</v>
      </c>
      <c r="L29" s="104" t="s">
        <v>3093</v>
      </c>
      <c r="P29" s="972"/>
      <c r="Q29" s="189" t="s">
        <v>62</v>
      </c>
      <c r="R29" s="190" t="s">
        <v>4965</v>
      </c>
      <c r="S29" s="100" t="s">
        <v>62</v>
      </c>
      <c r="T29" s="100"/>
      <c r="U29" s="100"/>
      <c r="V29" s="107" t="s">
        <v>4970</v>
      </c>
      <c r="W29" s="112">
        <v>7.53</v>
      </c>
      <c r="X29" s="102" t="s">
        <v>55</v>
      </c>
      <c r="Y29" s="103">
        <v>4.2000000000000003E-2</v>
      </c>
      <c r="Z29" s="104" t="s">
        <v>3093</v>
      </c>
    </row>
    <row r="30" spans="2:26">
      <c r="B30" s="969"/>
      <c r="C30" s="189" t="s">
        <v>4272</v>
      </c>
      <c r="D30" s="190" t="s">
        <v>4965</v>
      </c>
      <c r="E30" s="100" t="s">
        <v>63</v>
      </c>
      <c r="F30" s="100"/>
      <c r="G30" s="100"/>
      <c r="H30" s="107" t="s">
        <v>4988</v>
      </c>
      <c r="I30" s="98">
        <v>45</v>
      </c>
      <c r="J30" s="102" t="s">
        <v>55</v>
      </c>
      <c r="K30" s="103">
        <v>1.3599999999999999E-2</v>
      </c>
      <c r="L30" s="104" t="s">
        <v>3093</v>
      </c>
      <c r="P30" s="972"/>
      <c r="Q30" s="189" t="s">
        <v>4272</v>
      </c>
      <c r="R30" s="190" t="s">
        <v>4965</v>
      </c>
      <c r="S30" s="100" t="s">
        <v>63</v>
      </c>
      <c r="T30" s="100"/>
      <c r="U30" s="100"/>
      <c r="V30" s="107" t="s">
        <v>4988</v>
      </c>
      <c r="W30" s="98">
        <v>45</v>
      </c>
      <c r="X30" s="102" t="s">
        <v>55</v>
      </c>
      <c r="Y30" s="103">
        <v>1.4E-2</v>
      </c>
      <c r="Z30" s="104" t="s">
        <v>5137</v>
      </c>
    </row>
    <row r="31" spans="2:26">
      <c r="B31" s="970"/>
      <c r="C31" s="196" t="s">
        <v>4989</v>
      </c>
      <c r="D31" s="197" t="s">
        <v>4965</v>
      </c>
      <c r="E31" s="114" t="s">
        <v>4990</v>
      </c>
      <c r="F31" s="114"/>
      <c r="G31" s="114"/>
      <c r="H31" s="115" t="s">
        <v>4991</v>
      </c>
      <c r="I31" s="116">
        <v>1</v>
      </c>
      <c r="J31" s="117" t="s">
        <v>64</v>
      </c>
      <c r="K31" s="118">
        <v>5.7000000000000002E-2</v>
      </c>
      <c r="L31" s="117" t="s">
        <v>5138</v>
      </c>
      <c r="P31" s="973"/>
      <c r="Q31" s="196" t="s">
        <v>4989</v>
      </c>
      <c r="R31" s="197" t="s">
        <v>4965</v>
      </c>
      <c r="S31" s="114" t="s">
        <v>4990</v>
      </c>
      <c r="T31" s="114"/>
      <c r="U31" s="114"/>
      <c r="V31" s="115" t="s">
        <v>4991</v>
      </c>
      <c r="W31" s="116">
        <v>1.19</v>
      </c>
      <c r="X31" s="117" t="s">
        <v>64</v>
      </c>
      <c r="Y31" s="108" t="s">
        <v>4978</v>
      </c>
      <c r="Z31" s="109"/>
    </row>
    <row r="32" spans="2:26" ht="17.399999999999999" customHeight="1">
      <c r="B32" s="960" t="s">
        <v>4992</v>
      </c>
      <c r="C32" s="187" t="s">
        <v>4993</v>
      </c>
      <c r="D32" s="188" t="s">
        <v>4994</v>
      </c>
      <c r="E32" s="119" t="s">
        <v>4993</v>
      </c>
      <c r="F32" s="119"/>
      <c r="G32" s="119"/>
      <c r="H32" s="120" t="s">
        <v>4182</v>
      </c>
      <c r="I32" s="121" t="s">
        <v>4978</v>
      </c>
      <c r="J32" s="122"/>
      <c r="K32" s="121" t="s">
        <v>4978</v>
      </c>
      <c r="L32" s="122"/>
      <c r="P32" s="963" t="s">
        <v>4992</v>
      </c>
      <c r="Q32" s="187" t="s">
        <v>4993</v>
      </c>
      <c r="R32" s="188" t="s">
        <v>4994</v>
      </c>
      <c r="S32" s="119" t="s">
        <v>4993</v>
      </c>
      <c r="T32" s="119"/>
      <c r="U32" s="119"/>
      <c r="V32" s="120" t="s">
        <v>4182</v>
      </c>
      <c r="W32" s="123">
        <v>13.6</v>
      </c>
      <c r="X32" s="95" t="s">
        <v>4995</v>
      </c>
      <c r="Y32" s="121" t="s">
        <v>4978</v>
      </c>
      <c r="Z32" s="122"/>
    </row>
    <row r="33" spans="2:26">
      <c r="B33" s="961"/>
      <c r="C33" s="189" t="s">
        <v>4996</v>
      </c>
      <c r="D33" s="190" t="s">
        <v>4994</v>
      </c>
      <c r="E33" s="124" t="s">
        <v>4996</v>
      </c>
      <c r="F33" s="124"/>
      <c r="G33" s="124"/>
      <c r="H33" s="125" t="s">
        <v>4182</v>
      </c>
      <c r="I33" s="108" t="s">
        <v>4978</v>
      </c>
      <c r="J33" s="109"/>
      <c r="K33" s="108" t="s">
        <v>4978</v>
      </c>
      <c r="L33" s="109"/>
      <c r="P33" s="964"/>
      <c r="Q33" s="189" t="s">
        <v>4996</v>
      </c>
      <c r="R33" s="190" t="s">
        <v>4994</v>
      </c>
      <c r="S33" s="124" t="s">
        <v>4996</v>
      </c>
      <c r="T33" s="124"/>
      <c r="U33" s="124"/>
      <c r="V33" s="125" t="s">
        <v>4182</v>
      </c>
      <c r="W33" s="126">
        <v>13.2</v>
      </c>
      <c r="X33" s="102" t="s">
        <v>4995</v>
      </c>
      <c r="Y33" s="108" t="s">
        <v>4978</v>
      </c>
      <c r="Z33" s="109"/>
    </row>
    <row r="34" spans="2:26">
      <c r="B34" s="961"/>
      <c r="C34" s="189" t="s">
        <v>4997</v>
      </c>
      <c r="D34" s="190" t="s">
        <v>4994</v>
      </c>
      <c r="E34" s="124" t="s">
        <v>4997</v>
      </c>
      <c r="F34" s="124"/>
      <c r="G34" s="124"/>
      <c r="H34" s="125" t="s">
        <v>4182</v>
      </c>
      <c r="I34" s="108" t="s">
        <v>4978</v>
      </c>
      <c r="J34" s="109"/>
      <c r="K34" s="108" t="s">
        <v>4978</v>
      </c>
      <c r="L34" s="109"/>
      <c r="P34" s="964"/>
      <c r="Q34" s="189" t="s">
        <v>4997</v>
      </c>
      <c r="R34" s="190" t="s">
        <v>4994</v>
      </c>
      <c r="S34" s="124" t="s">
        <v>4997</v>
      </c>
      <c r="T34" s="124"/>
      <c r="U34" s="124"/>
      <c r="V34" s="125" t="s">
        <v>4182</v>
      </c>
      <c r="W34" s="126">
        <v>17.100000000000001</v>
      </c>
      <c r="X34" s="102" t="s">
        <v>4995</v>
      </c>
      <c r="Y34" s="108" t="s">
        <v>4978</v>
      </c>
      <c r="Z34" s="109"/>
    </row>
    <row r="35" spans="2:26">
      <c r="B35" s="961"/>
      <c r="C35" s="189" t="s">
        <v>4998</v>
      </c>
      <c r="D35" s="190" t="s">
        <v>4994</v>
      </c>
      <c r="E35" s="124" t="s">
        <v>4998</v>
      </c>
      <c r="F35" s="124"/>
      <c r="G35" s="124"/>
      <c r="H35" s="125" t="s">
        <v>4181</v>
      </c>
      <c r="I35" s="108" t="s">
        <v>4978</v>
      </c>
      <c r="J35" s="109"/>
      <c r="K35" s="108" t="s">
        <v>4978</v>
      </c>
      <c r="L35" s="109"/>
      <c r="P35" s="964"/>
      <c r="Q35" s="189" t="s">
        <v>4998</v>
      </c>
      <c r="R35" s="190" t="s">
        <v>4994</v>
      </c>
      <c r="S35" s="124" t="s">
        <v>4998</v>
      </c>
      <c r="T35" s="124"/>
      <c r="U35" s="124"/>
      <c r="V35" s="125" t="s">
        <v>4181</v>
      </c>
      <c r="W35" s="126">
        <v>23.4</v>
      </c>
      <c r="X35" s="102" t="s">
        <v>4999</v>
      </c>
      <c r="Y35" s="108" t="s">
        <v>4978</v>
      </c>
      <c r="Z35" s="109"/>
    </row>
    <row r="36" spans="2:26">
      <c r="B36" s="961"/>
      <c r="C36" s="189" t="s">
        <v>5000</v>
      </c>
      <c r="D36" s="190" t="s">
        <v>4994</v>
      </c>
      <c r="E36" s="124" t="s">
        <v>5000</v>
      </c>
      <c r="F36" s="124"/>
      <c r="G36" s="124"/>
      <c r="H36" s="125" t="s">
        <v>4181</v>
      </c>
      <c r="I36" s="108" t="s">
        <v>4978</v>
      </c>
      <c r="J36" s="109"/>
      <c r="K36" s="108" t="s">
        <v>4978</v>
      </c>
      <c r="L36" s="109"/>
      <c r="P36" s="964"/>
      <c r="Q36" s="189" t="s">
        <v>5000</v>
      </c>
      <c r="R36" s="190" t="s">
        <v>4994</v>
      </c>
      <c r="S36" s="124" t="s">
        <v>5000</v>
      </c>
      <c r="T36" s="124"/>
      <c r="U36" s="124"/>
      <c r="V36" s="125" t="s">
        <v>4181</v>
      </c>
      <c r="W36" s="126">
        <v>35.6</v>
      </c>
      <c r="X36" s="102" t="s">
        <v>4999</v>
      </c>
      <c r="Y36" s="108" t="s">
        <v>4978</v>
      </c>
      <c r="Z36" s="109"/>
    </row>
    <row r="37" spans="2:26">
      <c r="B37" s="961"/>
      <c r="C37" s="189" t="s">
        <v>5001</v>
      </c>
      <c r="D37" s="190" t="s">
        <v>4994</v>
      </c>
      <c r="E37" s="124" t="s">
        <v>5001</v>
      </c>
      <c r="F37" s="124"/>
      <c r="G37" s="124"/>
      <c r="H37" s="125" t="s">
        <v>5002</v>
      </c>
      <c r="I37" s="108" t="s">
        <v>4978</v>
      </c>
      <c r="J37" s="109"/>
      <c r="K37" s="108" t="s">
        <v>4978</v>
      </c>
      <c r="L37" s="109"/>
      <c r="P37" s="964"/>
      <c r="Q37" s="189" t="s">
        <v>5001</v>
      </c>
      <c r="R37" s="190" t="s">
        <v>4994</v>
      </c>
      <c r="S37" s="124" t="s">
        <v>5001</v>
      </c>
      <c r="T37" s="124"/>
      <c r="U37" s="124"/>
      <c r="V37" s="125" t="s">
        <v>5002</v>
      </c>
      <c r="W37" s="126">
        <v>21.2</v>
      </c>
      <c r="X37" s="102" t="s">
        <v>5003</v>
      </c>
      <c r="Y37" s="108" t="s">
        <v>4978</v>
      </c>
      <c r="Z37" s="109"/>
    </row>
    <row r="38" spans="2:26">
      <c r="B38" s="961"/>
      <c r="C38" s="189" t="s">
        <v>5004</v>
      </c>
      <c r="D38" s="190" t="s">
        <v>4994</v>
      </c>
      <c r="E38" s="124" t="s">
        <v>5004</v>
      </c>
      <c r="F38" s="124"/>
      <c r="G38" s="124"/>
      <c r="H38" s="125" t="s">
        <v>4182</v>
      </c>
      <c r="I38" s="108" t="s">
        <v>4978</v>
      </c>
      <c r="J38" s="109"/>
      <c r="K38" s="108" t="s">
        <v>4978</v>
      </c>
      <c r="L38" s="109"/>
      <c r="P38" s="964"/>
      <c r="Q38" s="189" t="s">
        <v>5004</v>
      </c>
      <c r="R38" s="190" t="s">
        <v>4994</v>
      </c>
      <c r="S38" s="124" t="s">
        <v>5004</v>
      </c>
      <c r="T38" s="124"/>
      <c r="U38" s="124"/>
      <c r="V38" s="125" t="s">
        <v>4182</v>
      </c>
      <c r="W38" s="126">
        <v>13.2</v>
      </c>
      <c r="X38" s="102" t="s">
        <v>4995</v>
      </c>
      <c r="Y38" s="108" t="s">
        <v>4978</v>
      </c>
      <c r="Z38" s="109"/>
    </row>
    <row r="39" spans="2:26">
      <c r="B39" s="961"/>
      <c r="C39" s="189" t="s">
        <v>5005</v>
      </c>
      <c r="D39" s="190" t="s">
        <v>4994</v>
      </c>
      <c r="E39" s="124" t="s">
        <v>5005</v>
      </c>
      <c r="F39" s="124"/>
      <c r="G39" s="124"/>
      <c r="H39" s="125" t="s">
        <v>4182</v>
      </c>
      <c r="I39" s="108" t="s">
        <v>4978</v>
      </c>
      <c r="J39" s="109"/>
      <c r="K39" s="108" t="s">
        <v>4978</v>
      </c>
      <c r="L39" s="109"/>
      <c r="P39" s="964"/>
      <c r="Q39" s="189" t="s">
        <v>5005</v>
      </c>
      <c r="R39" s="190" t="s">
        <v>4994</v>
      </c>
      <c r="S39" s="124" t="s">
        <v>5005</v>
      </c>
      <c r="T39" s="124"/>
      <c r="U39" s="124"/>
      <c r="V39" s="125" t="s">
        <v>4182</v>
      </c>
      <c r="W39" s="126">
        <v>18</v>
      </c>
      <c r="X39" s="102" t="s">
        <v>4995</v>
      </c>
      <c r="Y39" s="103">
        <v>1.6199999999999999E-2</v>
      </c>
      <c r="Z39" s="102" t="s">
        <v>3093</v>
      </c>
    </row>
    <row r="40" spans="2:26">
      <c r="B40" s="961"/>
      <c r="C40" s="189" t="s">
        <v>5006</v>
      </c>
      <c r="D40" s="190" t="s">
        <v>4994</v>
      </c>
      <c r="E40" s="124" t="s">
        <v>5006</v>
      </c>
      <c r="F40" s="124"/>
      <c r="G40" s="124"/>
      <c r="H40" s="125" t="s">
        <v>4182</v>
      </c>
      <c r="I40" s="108" t="s">
        <v>4978</v>
      </c>
      <c r="J40" s="109"/>
      <c r="K40" s="108" t="s">
        <v>4978</v>
      </c>
      <c r="L40" s="109"/>
      <c r="P40" s="964"/>
      <c r="Q40" s="189" t="s">
        <v>5006</v>
      </c>
      <c r="R40" s="190" t="s">
        <v>4994</v>
      </c>
      <c r="S40" s="124" t="s">
        <v>5006</v>
      </c>
      <c r="T40" s="124"/>
      <c r="U40" s="124"/>
      <c r="V40" s="125" t="s">
        <v>4182</v>
      </c>
      <c r="W40" s="126">
        <v>26.9</v>
      </c>
      <c r="X40" s="102" t="s">
        <v>4995</v>
      </c>
      <c r="Y40" s="103">
        <v>1.66E-2</v>
      </c>
      <c r="Z40" s="102" t="s">
        <v>3093</v>
      </c>
    </row>
    <row r="41" spans="2:26">
      <c r="B41" s="961"/>
      <c r="C41" s="189" t="s">
        <v>5007</v>
      </c>
      <c r="D41" s="190" t="s">
        <v>4994</v>
      </c>
      <c r="E41" s="124" t="s">
        <v>5007</v>
      </c>
      <c r="F41" s="124"/>
      <c r="G41" s="124"/>
      <c r="H41" s="125" t="s">
        <v>4182</v>
      </c>
      <c r="I41" s="108" t="s">
        <v>4978</v>
      </c>
      <c r="J41" s="109"/>
      <c r="K41" s="108" t="s">
        <v>4978</v>
      </c>
      <c r="L41" s="109"/>
      <c r="P41" s="964"/>
      <c r="Q41" s="189" t="s">
        <v>5007</v>
      </c>
      <c r="R41" s="190" t="s">
        <v>4994</v>
      </c>
      <c r="S41" s="124" t="s">
        <v>5007</v>
      </c>
      <c r="T41" s="124"/>
      <c r="U41" s="124"/>
      <c r="V41" s="125" t="s">
        <v>4182</v>
      </c>
      <c r="W41" s="126">
        <v>33.200000000000003</v>
      </c>
      <c r="X41" s="102" t="s">
        <v>4995</v>
      </c>
      <c r="Y41" s="103">
        <v>1.35E-2</v>
      </c>
      <c r="Z41" s="102" t="s">
        <v>3093</v>
      </c>
    </row>
    <row r="42" spans="2:26" ht="17.399999999999999" customHeight="1">
      <c r="B42" s="961"/>
      <c r="C42" s="189" t="s">
        <v>5008</v>
      </c>
      <c r="D42" s="190" t="s">
        <v>4994</v>
      </c>
      <c r="E42" s="966" t="s">
        <v>5009</v>
      </c>
      <c r="F42" s="127" t="s">
        <v>5010</v>
      </c>
      <c r="G42" s="124"/>
      <c r="H42" s="125" t="s">
        <v>4182</v>
      </c>
      <c r="I42" s="108" t="s">
        <v>4978</v>
      </c>
      <c r="J42" s="109"/>
      <c r="K42" s="108" t="s">
        <v>4978</v>
      </c>
      <c r="L42" s="109"/>
      <c r="P42" s="964"/>
      <c r="Q42" s="189" t="s">
        <v>5008</v>
      </c>
      <c r="R42" s="190" t="s">
        <v>4994</v>
      </c>
      <c r="S42" s="966" t="s">
        <v>5009</v>
      </c>
      <c r="T42" s="127" t="s">
        <v>5010</v>
      </c>
      <c r="U42" s="124"/>
      <c r="V42" s="125" t="s">
        <v>4182</v>
      </c>
      <c r="W42" s="126">
        <v>29.3</v>
      </c>
      <c r="X42" s="102" t="s">
        <v>4995</v>
      </c>
      <c r="Y42" s="103">
        <v>2.5700000000000001E-2</v>
      </c>
      <c r="Z42" s="102" t="s">
        <v>3093</v>
      </c>
    </row>
    <row r="43" spans="2:26">
      <c r="B43" s="961"/>
      <c r="C43" s="189" t="s">
        <v>5011</v>
      </c>
      <c r="D43" s="190" t="s">
        <v>4994</v>
      </c>
      <c r="E43" s="967"/>
      <c r="F43" s="127" t="s">
        <v>5012</v>
      </c>
      <c r="G43" s="124"/>
      <c r="H43" s="125" t="s">
        <v>4182</v>
      </c>
      <c r="I43" s="108" t="s">
        <v>4978</v>
      </c>
      <c r="J43" s="109"/>
      <c r="K43" s="108" t="s">
        <v>4978</v>
      </c>
      <c r="L43" s="109"/>
      <c r="P43" s="964"/>
      <c r="Q43" s="189" t="s">
        <v>5011</v>
      </c>
      <c r="R43" s="190" t="s">
        <v>4994</v>
      </c>
      <c r="S43" s="967"/>
      <c r="T43" s="127" t="s">
        <v>5012</v>
      </c>
      <c r="U43" s="124"/>
      <c r="V43" s="125" t="s">
        <v>4182</v>
      </c>
      <c r="W43" s="128">
        <v>29.3</v>
      </c>
      <c r="X43" s="102" t="s">
        <v>4995</v>
      </c>
      <c r="Y43" s="129">
        <v>2.3900000000000001E-2</v>
      </c>
      <c r="Z43" s="102" t="s">
        <v>3093</v>
      </c>
    </row>
    <row r="44" spans="2:26">
      <c r="B44" s="961"/>
      <c r="C44" s="189" t="s">
        <v>5013</v>
      </c>
      <c r="D44" s="190" t="s">
        <v>4994</v>
      </c>
      <c r="E44" s="124" t="s">
        <v>5013</v>
      </c>
      <c r="F44" s="124"/>
      <c r="G44" s="124"/>
      <c r="H44" s="125" t="s">
        <v>4181</v>
      </c>
      <c r="I44" s="108" t="s">
        <v>4978</v>
      </c>
      <c r="J44" s="109"/>
      <c r="K44" s="108" t="s">
        <v>4978</v>
      </c>
      <c r="L44" s="109"/>
      <c r="P44" s="964"/>
      <c r="Q44" s="189" t="s">
        <v>5013</v>
      </c>
      <c r="R44" s="190" t="s">
        <v>4994</v>
      </c>
      <c r="S44" s="124" t="s">
        <v>5013</v>
      </c>
      <c r="T44" s="124"/>
      <c r="U44" s="124"/>
      <c r="V44" s="125" t="s">
        <v>4181</v>
      </c>
      <c r="W44" s="126">
        <v>40.200000000000003</v>
      </c>
      <c r="X44" s="102" t="s">
        <v>4999</v>
      </c>
      <c r="Y44" s="103">
        <v>1.7899999999999999E-2</v>
      </c>
      <c r="Z44" s="102" t="s">
        <v>3093</v>
      </c>
    </row>
    <row r="45" spans="2:26">
      <c r="B45" s="961"/>
      <c r="C45" s="189" t="s">
        <v>5014</v>
      </c>
      <c r="D45" s="190" t="s">
        <v>4994</v>
      </c>
      <c r="E45" s="124" t="s">
        <v>5014</v>
      </c>
      <c r="F45" s="124"/>
      <c r="G45" s="124"/>
      <c r="H45" s="125" t="s">
        <v>5002</v>
      </c>
      <c r="I45" s="108" t="s">
        <v>4978</v>
      </c>
      <c r="J45" s="109"/>
      <c r="K45" s="108" t="s">
        <v>4978</v>
      </c>
      <c r="L45" s="109"/>
      <c r="P45" s="964"/>
      <c r="Q45" s="189" t="s">
        <v>5014</v>
      </c>
      <c r="R45" s="190" t="s">
        <v>4994</v>
      </c>
      <c r="S45" s="124" t="s">
        <v>5014</v>
      </c>
      <c r="T45" s="124"/>
      <c r="U45" s="124"/>
      <c r="V45" s="125" t="s">
        <v>5002</v>
      </c>
      <c r="W45" s="126">
        <v>21.2</v>
      </c>
      <c r="X45" s="102" t="s">
        <v>5003</v>
      </c>
      <c r="Y45" s="108" t="s">
        <v>4978</v>
      </c>
      <c r="Z45" s="109"/>
    </row>
    <row r="46" spans="2:26">
      <c r="B46" s="961"/>
      <c r="C46" s="189" t="s">
        <v>5015</v>
      </c>
      <c r="D46" s="190" t="s">
        <v>4994</v>
      </c>
      <c r="E46" s="124" t="s">
        <v>5015</v>
      </c>
      <c r="F46" s="124"/>
      <c r="G46" s="124"/>
      <c r="H46" s="125" t="s">
        <v>4182</v>
      </c>
      <c r="I46" s="108" t="s">
        <v>4978</v>
      </c>
      <c r="J46" s="109"/>
      <c r="K46" s="108" t="s">
        <v>4978</v>
      </c>
      <c r="L46" s="109"/>
      <c r="P46" s="964"/>
      <c r="Q46" s="189" t="s">
        <v>5015</v>
      </c>
      <c r="R46" s="190" t="s">
        <v>4994</v>
      </c>
      <c r="S46" s="124" t="s">
        <v>5015</v>
      </c>
      <c r="T46" s="124"/>
      <c r="U46" s="124"/>
      <c r="V46" s="125" t="s">
        <v>4182</v>
      </c>
      <c r="W46" s="126">
        <v>17.100000000000001</v>
      </c>
      <c r="X46" s="102" t="s">
        <v>4995</v>
      </c>
      <c r="Y46" s="108" t="s">
        <v>4978</v>
      </c>
      <c r="Z46" s="109"/>
    </row>
    <row r="47" spans="2:26">
      <c r="B47" s="961"/>
      <c r="C47" s="189" t="s">
        <v>5016</v>
      </c>
      <c r="D47" s="190" t="s">
        <v>4994</v>
      </c>
      <c r="E47" s="124" t="s">
        <v>5016</v>
      </c>
      <c r="F47" s="124"/>
      <c r="G47" s="124"/>
      <c r="H47" s="125" t="s">
        <v>4182</v>
      </c>
      <c r="I47" s="108" t="s">
        <v>4978</v>
      </c>
      <c r="J47" s="109"/>
      <c r="K47" s="108" t="s">
        <v>4978</v>
      </c>
      <c r="L47" s="109"/>
      <c r="P47" s="964"/>
      <c r="Q47" s="189" t="s">
        <v>5016</v>
      </c>
      <c r="R47" s="190" t="s">
        <v>4994</v>
      </c>
      <c r="S47" s="124" t="s">
        <v>5016</v>
      </c>
      <c r="T47" s="124"/>
      <c r="U47" s="124"/>
      <c r="V47" s="125" t="s">
        <v>4182</v>
      </c>
      <c r="W47" s="126">
        <v>142</v>
      </c>
      <c r="X47" s="102" t="s">
        <v>4995</v>
      </c>
      <c r="Y47" s="108" t="s">
        <v>4978</v>
      </c>
      <c r="Z47" s="109"/>
    </row>
    <row r="48" spans="2:26">
      <c r="B48" s="962"/>
      <c r="C48" s="196" t="s">
        <v>5017</v>
      </c>
      <c r="D48" s="197" t="s">
        <v>4994</v>
      </c>
      <c r="E48" s="130" t="s">
        <v>5017</v>
      </c>
      <c r="F48" s="130"/>
      <c r="G48" s="130"/>
      <c r="H48" s="131" t="s">
        <v>4182</v>
      </c>
      <c r="I48" s="108" t="s">
        <v>4978</v>
      </c>
      <c r="J48" s="109"/>
      <c r="K48" s="108" t="s">
        <v>4978</v>
      </c>
      <c r="L48" s="109"/>
      <c r="P48" s="965"/>
      <c r="Q48" s="196" t="s">
        <v>5017</v>
      </c>
      <c r="R48" s="197" t="s">
        <v>4994</v>
      </c>
      <c r="S48" s="130" t="s">
        <v>5017</v>
      </c>
      <c r="T48" s="130"/>
      <c r="U48" s="130"/>
      <c r="V48" s="131" t="s">
        <v>4182</v>
      </c>
      <c r="W48" s="132">
        <v>22.5</v>
      </c>
      <c r="X48" s="117" t="s">
        <v>4995</v>
      </c>
      <c r="Y48" s="108" t="s">
        <v>4978</v>
      </c>
      <c r="Z48" s="109"/>
    </row>
    <row r="49" spans="2:26">
      <c r="B49" s="997" t="s">
        <v>5018</v>
      </c>
      <c r="C49" s="198" t="s">
        <v>109</v>
      </c>
      <c r="D49" s="199" t="s">
        <v>5018</v>
      </c>
      <c r="E49" s="133" t="s">
        <v>109</v>
      </c>
      <c r="F49" s="92"/>
      <c r="G49" s="92"/>
      <c r="H49" s="134" t="s">
        <v>4991</v>
      </c>
      <c r="I49" s="135">
        <v>1.02</v>
      </c>
      <c r="J49" s="136" t="s">
        <v>64</v>
      </c>
      <c r="K49" s="200">
        <v>0.06</v>
      </c>
      <c r="L49" s="136" t="s">
        <v>5138</v>
      </c>
      <c r="P49" s="997" t="s">
        <v>5018</v>
      </c>
      <c r="Q49" s="198" t="s">
        <v>5019</v>
      </c>
      <c r="R49" s="199" t="s">
        <v>5018</v>
      </c>
      <c r="S49" s="92" t="s">
        <v>109</v>
      </c>
      <c r="T49" s="92"/>
      <c r="U49" s="92"/>
      <c r="V49" s="134" t="s">
        <v>4991</v>
      </c>
      <c r="W49" s="135">
        <v>1.17</v>
      </c>
      <c r="X49" s="136" t="s">
        <v>64</v>
      </c>
      <c r="Y49" s="201">
        <v>6.54E-2</v>
      </c>
      <c r="Z49" s="136" t="s">
        <v>5138</v>
      </c>
    </row>
    <row r="50" spans="2:26">
      <c r="B50" s="998"/>
      <c r="C50" s="202" t="s">
        <v>119</v>
      </c>
      <c r="D50" s="203" t="s">
        <v>5018</v>
      </c>
      <c r="E50" s="137" t="s">
        <v>119</v>
      </c>
      <c r="F50" s="100"/>
      <c r="G50" s="100"/>
      <c r="H50" s="138" t="s">
        <v>4991</v>
      </c>
      <c r="I50" s="139">
        <v>1.36</v>
      </c>
      <c r="J50" s="140" t="s">
        <v>64</v>
      </c>
      <c r="K50" s="204">
        <v>5.7000000000000002E-2</v>
      </c>
      <c r="L50" s="140" t="s">
        <v>5138</v>
      </c>
      <c r="P50" s="998"/>
      <c r="Q50" s="202" t="s">
        <v>5020</v>
      </c>
      <c r="R50" s="203" t="s">
        <v>5018</v>
      </c>
      <c r="S50" s="100" t="s">
        <v>119</v>
      </c>
      <c r="T50" s="100"/>
      <c r="U50" s="100"/>
      <c r="V50" s="138" t="s">
        <v>4991</v>
      </c>
      <c r="W50" s="139">
        <v>1.19</v>
      </c>
      <c r="X50" s="140" t="s">
        <v>64</v>
      </c>
      <c r="Y50" s="108" t="s">
        <v>4978</v>
      </c>
      <c r="Z50" s="109"/>
    </row>
    <row r="51" spans="2:26">
      <c r="B51" s="998"/>
      <c r="C51" s="202" t="s">
        <v>65</v>
      </c>
      <c r="D51" s="203" t="s">
        <v>5018</v>
      </c>
      <c r="E51" s="137" t="s">
        <v>65</v>
      </c>
      <c r="F51" s="100"/>
      <c r="G51" s="100"/>
      <c r="H51" s="138" t="s">
        <v>4991</v>
      </c>
      <c r="I51" s="139">
        <v>1.36</v>
      </c>
      <c r="J51" s="140" t="s">
        <v>64</v>
      </c>
      <c r="K51" s="204">
        <v>5.7000000000000002E-2</v>
      </c>
      <c r="L51" s="140" t="s">
        <v>5138</v>
      </c>
      <c r="P51" s="998"/>
      <c r="Q51" s="202" t="s">
        <v>5021</v>
      </c>
      <c r="R51" s="203" t="s">
        <v>5018</v>
      </c>
      <c r="S51" s="100" t="s">
        <v>65</v>
      </c>
      <c r="T51" s="100"/>
      <c r="U51" s="100"/>
      <c r="V51" s="138" t="s">
        <v>4991</v>
      </c>
      <c r="W51" s="139">
        <v>1.19</v>
      </c>
      <c r="X51" s="140" t="s">
        <v>64</v>
      </c>
      <c r="Y51" s="108" t="s">
        <v>4978</v>
      </c>
      <c r="Z51" s="109"/>
    </row>
    <row r="52" spans="2:26">
      <c r="B52" s="998"/>
      <c r="C52" s="202" t="s">
        <v>66</v>
      </c>
      <c r="D52" s="203" t="s">
        <v>5018</v>
      </c>
      <c r="E52" s="137" t="s">
        <v>66</v>
      </c>
      <c r="F52" s="100"/>
      <c r="G52" s="100"/>
      <c r="H52" s="138" t="s">
        <v>4991</v>
      </c>
      <c r="I52" s="139">
        <v>1.36</v>
      </c>
      <c r="J52" s="140" t="s">
        <v>64</v>
      </c>
      <c r="K52" s="204">
        <v>5.7000000000000002E-2</v>
      </c>
      <c r="L52" s="140" t="s">
        <v>5138</v>
      </c>
      <c r="P52" s="998"/>
      <c r="Q52" s="202" t="s">
        <v>5022</v>
      </c>
      <c r="R52" s="203" t="s">
        <v>5018</v>
      </c>
      <c r="S52" s="100" t="s">
        <v>66</v>
      </c>
      <c r="T52" s="100"/>
      <c r="U52" s="100"/>
      <c r="V52" s="138" t="s">
        <v>4991</v>
      </c>
      <c r="W52" s="139">
        <v>1.19</v>
      </c>
      <c r="X52" s="140" t="s">
        <v>64</v>
      </c>
      <c r="Y52" s="108" t="s">
        <v>4978</v>
      </c>
      <c r="Z52" s="109"/>
    </row>
    <row r="53" spans="2:26">
      <c r="B53" s="998"/>
      <c r="C53" s="202" t="s">
        <v>5023</v>
      </c>
      <c r="D53" s="203" t="s">
        <v>5018</v>
      </c>
      <c r="E53" s="137" t="s">
        <v>109</v>
      </c>
      <c r="F53" s="100"/>
      <c r="G53" s="100"/>
      <c r="H53" s="138" t="s">
        <v>4991</v>
      </c>
      <c r="I53" s="108" t="s">
        <v>4978</v>
      </c>
      <c r="J53" s="109"/>
      <c r="K53" s="108" t="s">
        <v>4978</v>
      </c>
      <c r="L53" s="109"/>
      <c r="P53" s="998"/>
      <c r="Q53" s="202" t="s">
        <v>5023</v>
      </c>
      <c r="R53" s="203" t="s">
        <v>5018</v>
      </c>
      <c r="S53" s="100" t="s">
        <v>109</v>
      </c>
      <c r="T53" s="100"/>
      <c r="U53" s="100"/>
      <c r="V53" s="138" t="s">
        <v>4991</v>
      </c>
      <c r="W53" s="139">
        <v>1.17</v>
      </c>
      <c r="X53" s="140" t="s">
        <v>64</v>
      </c>
      <c r="Y53" s="108" t="s">
        <v>4978</v>
      </c>
      <c r="Z53" s="109"/>
    </row>
    <row r="54" spans="2:26">
      <c r="B54" s="998"/>
      <c r="C54" s="202" t="s">
        <v>5024</v>
      </c>
      <c r="D54" s="203" t="s">
        <v>5018</v>
      </c>
      <c r="E54" s="137" t="s">
        <v>119</v>
      </c>
      <c r="F54" s="100"/>
      <c r="G54" s="100"/>
      <c r="H54" s="138" t="s">
        <v>4991</v>
      </c>
      <c r="I54" s="108" t="s">
        <v>4978</v>
      </c>
      <c r="J54" s="109"/>
      <c r="K54" s="108" t="s">
        <v>4978</v>
      </c>
      <c r="L54" s="109"/>
      <c r="P54" s="998"/>
      <c r="Q54" s="202" t="s">
        <v>5024</v>
      </c>
      <c r="R54" s="203" t="s">
        <v>5018</v>
      </c>
      <c r="S54" s="100" t="s">
        <v>119</v>
      </c>
      <c r="T54" s="100"/>
      <c r="U54" s="100"/>
      <c r="V54" s="138" t="s">
        <v>4991</v>
      </c>
      <c r="W54" s="139">
        <v>1.19</v>
      </c>
      <c r="X54" s="140" t="s">
        <v>64</v>
      </c>
      <c r="Y54" s="108" t="s">
        <v>4978</v>
      </c>
      <c r="Z54" s="109"/>
    </row>
    <row r="55" spans="2:26">
      <c r="B55" s="998"/>
      <c r="C55" s="202" t="s">
        <v>5025</v>
      </c>
      <c r="D55" s="203" t="s">
        <v>5018</v>
      </c>
      <c r="E55" s="137" t="s">
        <v>65</v>
      </c>
      <c r="F55" s="100"/>
      <c r="G55" s="100"/>
      <c r="H55" s="138" t="s">
        <v>4991</v>
      </c>
      <c r="I55" s="108" t="s">
        <v>4978</v>
      </c>
      <c r="J55" s="109"/>
      <c r="K55" s="108" t="s">
        <v>4978</v>
      </c>
      <c r="L55" s="109"/>
      <c r="P55" s="998"/>
      <c r="Q55" s="202" t="s">
        <v>5025</v>
      </c>
      <c r="R55" s="203" t="s">
        <v>5018</v>
      </c>
      <c r="S55" s="100" t="s">
        <v>65</v>
      </c>
      <c r="T55" s="100"/>
      <c r="U55" s="100"/>
      <c r="V55" s="138" t="s">
        <v>4991</v>
      </c>
      <c r="W55" s="139">
        <v>1.19</v>
      </c>
      <c r="X55" s="140" t="s">
        <v>64</v>
      </c>
      <c r="Y55" s="108" t="s">
        <v>4978</v>
      </c>
      <c r="Z55" s="109"/>
    </row>
    <row r="56" spans="2:26">
      <c r="B56" s="998"/>
      <c r="C56" s="202" t="s">
        <v>5026</v>
      </c>
      <c r="D56" s="203" t="s">
        <v>5018</v>
      </c>
      <c r="E56" s="137" t="s">
        <v>66</v>
      </c>
      <c r="F56" s="100"/>
      <c r="G56" s="100"/>
      <c r="H56" s="138" t="s">
        <v>4991</v>
      </c>
      <c r="I56" s="108" t="s">
        <v>4978</v>
      </c>
      <c r="J56" s="109"/>
      <c r="K56" s="108" t="s">
        <v>4978</v>
      </c>
      <c r="L56" s="109"/>
      <c r="P56" s="998"/>
      <c r="Q56" s="202" t="s">
        <v>5026</v>
      </c>
      <c r="R56" s="203" t="s">
        <v>5018</v>
      </c>
      <c r="S56" s="100" t="s">
        <v>66</v>
      </c>
      <c r="T56" s="100"/>
      <c r="U56" s="100"/>
      <c r="V56" s="138" t="s">
        <v>4991</v>
      </c>
      <c r="W56" s="139">
        <v>1.19</v>
      </c>
      <c r="X56" s="140" t="s">
        <v>5027</v>
      </c>
      <c r="Y56" s="108" t="s">
        <v>4978</v>
      </c>
      <c r="Z56" s="109"/>
    </row>
    <row r="57" spans="2:26" ht="18" customHeight="1">
      <c r="B57" s="998"/>
      <c r="C57" s="202" t="s">
        <v>5029</v>
      </c>
      <c r="D57" s="203" t="s">
        <v>5018</v>
      </c>
      <c r="E57" s="137" t="s">
        <v>5029</v>
      </c>
      <c r="F57" s="100"/>
      <c r="G57" s="100"/>
      <c r="H57" s="138" t="s">
        <v>4991</v>
      </c>
      <c r="I57" s="108" t="s">
        <v>4978</v>
      </c>
      <c r="J57" s="109"/>
      <c r="K57" s="108" t="s">
        <v>4978</v>
      </c>
      <c r="L57" s="109"/>
      <c r="P57" s="998"/>
      <c r="Q57" s="202" t="s">
        <v>5029</v>
      </c>
      <c r="R57" s="203" t="s">
        <v>5018</v>
      </c>
      <c r="S57" s="100" t="s">
        <v>5029</v>
      </c>
      <c r="T57" s="100"/>
      <c r="U57" s="100"/>
      <c r="V57" s="138" t="s">
        <v>4991</v>
      </c>
      <c r="W57" s="108" t="s">
        <v>4978</v>
      </c>
      <c r="X57" s="109"/>
      <c r="Y57" s="108" t="s">
        <v>4978</v>
      </c>
      <c r="Z57" s="109"/>
    </row>
    <row r="58" spans="2:26">
      <c r="B58" s="998"/>
      <c r="C58" s="202" t="s">
        <v>5030</v>
      </c>
      <c r="D58" s="203" t="s">
        <v>5018</v>
      </c>
      <c r="E58" s="137" t="s">
        <v>5030</v>
      </c>
      <c r="F58" s="100"/>
      <c r="G58" s="100"/>
      <c r="H58" s="138" t="s">
        <v>4991</v>
      </c>
      <c r="I58" s="108" t="s">
        <v>4978</v>
      </c>
      <c r="J58" s="109"/>
      <c r="K58" s="108" t="s">
        <v>4978</v>
      </c>
      <c r="L58" s="109"/>
      <c r="P58" s="998"/>
      <c r="Q58" s="202" t="s">
        <v>5030</v>
      </c>
      <c r="R58" s="203" t="s">
        <v>5018</v>
      </c>
      <c r="S58" s="100" t="s">
        <v>5030</v>
      </c>
      <c r="T58" s="100"/>
      <c r="U58" s="100"/>
      <c r="V58" s="138" t="s">
        <v>4991</v>
      </c>
      <c r="W58" s="108" t="s">
        <v>4978</v>
      </c>
      <c r="X58" s="109"/>
      <c r="Y58" s="108" t="s">
        <v>4978</v>
      </c>
      <c r="Z58" s="109"/>
    </row>
    <row r="59" spans="2:26">
      <c r="B59" s="998"/>
      <c r="C59" s="202" t="s">
        <v>5031</v>
      </c>
      <c r="D59" s="203" t="s">
        <v>5018</v>
      </c>
      <c r="E59" s="137" t="s">
        <v>5031</v>
      </c>
      <c r="F59" s="100"/>
      <c r="G59" s="100"/>
      <c r="H59" s="138" t="s">
        <v>4991</v>
      </c>
      <c r="I59" s="108" t="s">
        <v>4978</v>
      </c>
      <c r="J59" s="109"/>
      <c r="K59" s="108" t="s">
        <v>4978</v>
      </c>
      <c r="L59" s="109"/>
      <c r="P59" s="998"/>
      <c r="Q59" s="202" t="s">
        <v>5031</v>
      </c>
      <c r="R59" s="203" t="s">
        <v>5018</v>
      </c>
      <c r="S59" s="100" t="s">
        <v>5031</v>
      </c>
      <c r="T59" s="100"/>
      <c r="U59" s="100"/>
      <c r="V59" s="138" t="s">
        <v>4991</v>
      </c>
      <c r="W59" s="108" t="s">
        <v>4978</v>
      </c>
      <c r="X59" s="109"/>
      <c r="Y59" s="108" t="s">
        <v>4978</v>
      </c>
      <c r="Z59" s="109"/>
    </row>
    <row r="60" spans="2:26">
      <c r="B60" s="999"/>
      <c r="C60" s="205" t="s">
        <v>5032</v>
      </c>
      <c r="D60" s="206" t="s">
        <v>5018</v>
      </c>
      <c r="E60" s="141" t="s">
        <v>5032</v>
      </c>
      <c r="F60" s="114"/>
      <c r="G60" s="114"/>
      <c r="H60" s="142" t="s">
        <v>4991</v>
      </c>
      <c r="I60" s="143" t="s">
        <v>4978</v>
      </c>
      <c r="J60" s="144"/>
      <c r="K60" s="143" t="s">
        <v>4978</v>
      </c>
      <c r="L60" s="144"/>
      <c r="P60" s="999"/>
      <c r="Q60" s="205" t="s">
        <v>5032</v>
      </c>
      <c r="R60" s="206" t="s">
        <v>5018</v>
      </c>
      <c r="S60" s="114" t="s">
        <v>5032</v>
      </c>
      <c r="T60" s="114"/>
      <c r="U60" s="114"/>
      <c r="V60" s="142" t="s">
        <v>4991</v>
      </c>
      <c r="W60" s="143" t="s">
        <v>4978</v>
      </c>
      <c r="X60" s="144"/>
      <c r="Y60" s="108" t="s">
        <v>4978</v>
      </c>
      <c r="Z60" s="109"/>
    </row>
    <row r="61" spans="2:26" ht="36" customHeight="1">
      <c r="B61" s="1000" t="s">
        <v>5033</v>
      </c>
      <c r="C61" s="198" t="s">
        <v>5034</v>
      </c>
      <c r="D61" s="199" t="s">
        <v>5035</v>
      </c>
      <c r="E61" s="1003" t="s">
        <v>79</v>
      </c>
      <c r="F61" s="145" t="s">
        <v>69</v>
      </c>
      <c r="G61" s="92"/>
      <c r="H61" s="120" t="s">
        <v>5036</v>
      </c>
      <c r="I61" s="146">
        <v>9.9700000000000006</v>
      </c>
      <c r="J61" s="147" t="s">
        <v>5037</v>
      </c>
      <c r="K61" s="121" t="s">
        <v>4978</v>
      </c>
      <c r="L61" s="122"/>
      <c r="P61" s="1000" t="s">
        <v>5033</v>
      </c>
      <c r="Q61" s="198" t="s">
        <v>5034</v>
      </c>
      <c r="R61" s="199" t="s">
        <v>5035</v>
      </c>
      <c r="S61" s="984" t="s">
        <v>79</v>
      </c>
      <c r="T61" s="145" t="s">
        <v>69</v>
      </c>
      <c r="U61" s="92"/>
      <c r="V61" s="120" t="s">
        <v>5036</v>
      </c>
      <c r="W61" s="146">
        <v>8.64</v>
      </c>
      <c r="X61" s="147" t="s">
        <v>5037</v>
      </c>
      <c r="Y61" s="121" t="s">
        <v>4978</v>
      </c>
      <c r="Z61" s="122"/>
    </row>
    <row r="62" spans="2:26">
      <c r="B62" s="1001"/>
      <c r="C62" s="202" t="s">
        <v>5038</v>
      </c>
      <c r="D62" s="203" t="s">
        <v>5035</v>
      </c>
      <c r="E62" s="975"/>
      <c r="F62" s="106" t="s">
        <v>70</v>
      </c>
      <c r="G62" s="100"/>
      <c r="H62" s="125" t="s">
        <v>5036</v>
      </c>
      <c r="I62" s="148">
        <v>9.2799999999999994</v>
      </c>
      <c r="J62" s="149" t="s">
        <v>5037</v>
      </c>
      <c r="K62" s="108" t="s">
        <v>4978</v>
      </c>
      <c r="L62" s="109"/>
      <c r="P62" s="1001"/>
      <c r="Q62" s="202" t="s">
        <v>5038</v>
      </c>
      <c r="R62" s="203" t="s">
        <v>5035</v>
      </c>
      <c r="S62" s="977"/>
      <c r="T62" s="106" t="s">
        <v>70</v>
      </c>
      <c r="U62" s="100"/>
      <c r="V62" s="125" t="s">
        <v>5036</v>
      </c>
      <c r="W62" s="148">
        <v>8.64</v>
      </c>
      <c r="X62" s="149" t="s">
        <v>5037</v>
      </c>
      <c r="Y62" s="108" t="s">
        <v>4978</v>
      </c>
      <c r="Z62" s="109"/>
    </row>
    <row r="63" spans="2:26">
      <c r="B63" s="1001"/>
      <c r="C63" s="202" t="s">
        <v>5039</v>
      </c>
      <c r="D63" s="203" t="s">
        <v>5035</v>
      </c>
      <c r="E63" s="150" t="s">
        <v>110</v>
      </c>
      <c r="F63" s="100"/>
      <c r="G63" s="100"/>
      <c r="H63" s="125" t="s">
        <v>5036</v>
      </c>
      <c r="I63" s="148">
        <v>9.76</v>
      </c>
      <c r="J63" s="149" t="s">
        <v>5037</v>
      </c>
      <c r="K63" s="108" t="s">
        <v>4978</v>
      </c>
      <c r="L63" s="109"/>
      <c r="P63" s="1001"/>
      <c r="Q63" s="202" t="s">
        <v>5039</v>
      </c>
      <c r="R63" s="203" t="s">
        <v>5035</v>
      </c>
      <c r="S63" s="151" t="s">
        <v>110</v>
      </c>
      <c r="T63" s="100"/>
      <c r="U63" s="100"/>
      <c r="V63" s="125" t="s">
        <v>5036</v>
      </c>
      <c r="W63" s="152" t="s">
        <v>4978</v>
      </c>
      <c r="X63" s="109"/>
      <c r="Y63" s="108" t="s">
        <v>4978</v>
      </c>
      <c r="Z63" s="109"/>
    </row>
    <row r="64" spans="2:26">
      <c r="B64" s="1001"/>
      <c r="C64" s="202" t="s">
        <v>111</v>
      </c>
      <c r="D64" s="203" t="s">
        <v>5035</v>
      </c>
      <c r="E64" s="150" t="s">
        <v>111</v>
      </c>
      <c r="F64" s="100"/>
      <c r="G64" s="207"/>
      <c r="H64" s="125" t="s">
        <v>5036</v>
      </c>
      <c r="I64" s="148">
        <v>9.76</v>
      </c>
      <c r="J64" s="149" t="s">
        <v>5037</v>
      </c>
      <c r="K64" s="108" t="s">
        <v>4978</v>
      </c>
      <c r="L64" s="109"/>
      <c r="P64" s="1001"/>
      <c r="Q64" s="202" t="s">
        <v>111</v>
      </c>
      <c r="R64" s="203" t="s">
        <v>5035</v>
      </c>
      <c r="S64" s="151" t="s">
        <v>111</v>
      </c>
      <c r="T64" s="100"/>
      <c r="U64" s="207"/>
      <c r="V64" s="125" t="s">
        <v>5036</v>
      </c>
      <c r="W64" s="148">
        <v>8.64</v>
      </c>
      <c r="X64" s="149" t="s">
        <v>5037</v>
      </c>
      <c r="Y64" s="108" t="s">
        <v>4978</v>
      </c>
      <c r="Z64" s="109"/>
    </row>
    <row r="65" spans="2:26" ht="17.399999999999999" customHeight="1">
      <c r="B65" s="1001"/>
      <c r="C65" s="208" t="s">
        <v>5040</v>
      </c>
      <c r="D65" s="209" t="s">
        <v>5035</v>
      </c>
      <c r="E65" s="985" t="s">
        <v>5041</v>
      </c>
      <c r="F65" s="987" t="s">
        <v>5042</v>
      </c>
      <c r="G65" s="153" t="s">
        <v>5043</v>
      </c>
      <c r="H65" s="210" t="s">
        <v>5036</v>
      </c>
      <c r="I65" s="211" t="s">
        <v>4978</v>
      </c>
      <c r="J65" s="212"/>
      <c r="K65" s="211" t="s">
        <v>4978</v>
      </c>
      <c r="L65" s="212"/>
      <c r="P65" s="1001"/>
      <c r="Q65" s="208" t="s">
        <v>5040</v>
      </c>
      <c r="R65" s="209" t="s">
        <v>5035</v>
      </c>
      <c r="S65" s="989" t="s">
        <v>5041</v>
      </c>
      <c r="T65" s="987" t="s">
        <v>5042</v>
      </c>
      <c r="U65" s="153" t="s">
        <v>5043</v>
      </c>
      <c r="V65" s="210" t="s">
        <v>5036</v>
      </c>
      <c r="W65" s="213">
        <v>8.64</v>
      </c>
      <c r="X65" s="214" t="s">
        <v>5037</v>
      </c>
      <c r="Y65" s="211" t="s">
        <v>4978</v>
      </c>
      <c r="Z65" s="212"/>
    </row>
    <row r="66" spans="2:26">
      <c r="B66" s="1001"/>
      <c r="C66" s="202" t="s">
        <v>5044</v>
      </c>
      <c r="D66" s="203" t="s">
        <v>5035</v>
      </c>
      <c r="E66" s="985"/>
      <c r="F66" s="988"/>
      <c r="G66" s="154" t="s">
        <v>5045</v>
      </c>
      <c r="H66" s="125" t="s">
        <v>5036</v>
      </c>
      <c r="I66" s="108" t="s">
        <v>4978</v>
      </c>
      <c r="J66" s="109"/>
      <c r="K66" s="108" t="s">
        <v>4978</v>
      </c>
      <c r="L66" s="109"/>
      <c r="P66" s="1001"/>
      <c r="Q66" s="202" t="s">
        <v>5044</v>
      </c>
      <c r="R66" s="203" t="s">
        <v>5035</v>
      </c>
      <c r="S66" s="989"/>
      <c r="T66" s="988"/>
      <c r="U66" s="154" t="s">
        <v>5045</v>
      </c>
      <c r="V66" s="125" t="s">
        <v>5036</v>
      </c>
      <c r="W66" s="148">
        <v>8.64</v>
      </c>
      <c r="X66" s="149" t="s">
        <v>5037</v>
      </c>
      <c r="Y66" s="108" t="s">
        <v>4978</v>
      </c>
      <c r="Z66" s="109"/>
    </row>
    <row r="67" spans="2:26" ht="34.799999999999997">
      <c r="B67" s="1001"/>
      <c r="C67" s="202" t="s">
        <v>5046</v>
      </c>
      <c r="D67" s="203" t="s">
        <v>5035</v>
      </c>
      <c r="E67" s="985"/>
      <c r="F67" s="1004" t="s">
        <v>5047</v>
      </c>
      <c r="G67" s="155" t="s">
        <v>5048</v>
      </c>
      <c r="H67" s="125" t="s">
        <v>5036</v>
      </c>
      <c r="I67" s="108" t="s">
        <v>4978</v>
      </c>
      <c r="J67" s="109"/>
      <c r="K67" s="108" t="s">
        <v>4978</v>
      </c>
      <c r="L67" s="109"/>
      <c r="P67" s="1001"/>
      <c r="Q67" s="202" t="s">
        <v>5049</v>
      </c>
      <c r="R67" s="203" t="s">
        <v>5035</v>
      </c>
      <c r="S67" s="989"/>
      <c r="T67" s="1004" t="s">
        <v>5047</v>
      </c>
      <c r="U67" s="155" t="s">
        <v>5048</v>
      </c>
      <c r="V67" s="125" t="s">
        <v>5036</v>
      </c>
      <c r="W67" s="156">
        <v>3.6</v>
      </c>
      <c r="X67" s="149" t="s">
        <v>5037</v>
      </c>
      <c r="Y67" s="108" t="s">
        <v>4978</v>
      </c>
      <c r="Z67" s="109"/>
    </row>
    <row r="68" spans="2:26" ht="34.799999999999997">
      <c r="B68" s="1001"/>
      <c r="C68" s="202" t="s">
        <v>5050</v>
      </c>
      <c r="D68" s="203" t="s">
        <v>5035</v>
      </c>
      <c r="E68" s="986"/>
      <c r="F68" s="988"/>
      <c r="G68" s="155" t="s">
        <v>5051</v>
      </c>
      <c r="H68" s="125" t="s">
        <v>5036</v>
      </c>
      <c r="I68" s="108" t="s">
        <v>4978</v>
      </c>
      <c r="J68" s="109"/>
      <c r="K68" s="108" t="s">
        <v>4978</v>
      </c>
      <c r="L68" s="109"/>
      <c r="P68" s="1001"/>
      <c r="Q68" s="202" t="s">
        <v>5050</v>
      </c>
      <c r="R68" s="203" t="s">
        <v>5035</v>
      </c>
      <c r="S68" s="990"/>
      <c r="T68" s="988"/>
      <c r="U68" s="155" t="s">
        <v>5051</v>
      </c>
      <c r="V68" s="125" t="s">
        <v>5036</v>
      </c>
      <c r="W68" s="156">
        <v>3.6</v>
      </c>
      <c r="X68" s="149" t="s">
        <v>5037</v>
      </c>
      <c r="Y68" s="108" t="s">
        <v>4978</v>
      </c>
      <c r="Z68" s="109"/>
    </row>
    <row r="69" spans="2:26">
      <c r="B69" s="1001"/>
      <c r="C69" s="202" t="s">
        <v>5052</v>
      </c>
      <c r="D69" s="203" t="s">
        <v>5035</v>
      </c>
      <c r="E69" s="991" t="s">
        <v>5053</v>
      </c>
      <c r="F69" s="157" t="s">
        <v>5054</v>
      </c>
      <c r="G69" s="158"/>
      <c r="H69" s="125" t="s">
        <v>5036</v>
      </c>
      <c r="I69" s="108" t="s">
        <v>4978</v>
      </c>
      <c r="J69" s="109"/>
      <c r="K69" s="108" t="s">
        <v>4978</v>
      </c>
      <c r="L69" s="109"/>
      <c r="P69" s="1001"/>
      <c r="Q69" s="202" t="s">
        <v>5052</v>
      </c>
      <c r="R69" s="203" t="s">
        <v>5035</v>
      </c>
      <c r="S69" s="994" t="s">
        <v>5053</v>
      </c>
      <c r="T69" s="157" t="s">
        <v>5054</v>
      </c>
      <c r="U69" s="158"/>
      <c r="V69" s="125" t="s">
        <v>5036</v>
      </c>
      <c r="W69" s="156">
        <v>3.6</v>
      </c>
      <c r="X69" s="149" t="s">
        <v>5037</v>
      </c>
      <c r="Y69" s="108" t="s">
        <v>4978</v>
      </c>
      <c r="Z69" s="109"/>
    </row>
    <row r="70" spans="2:26">
      <c r="B70" s="1001"/>
      <c r="C70" s="202" t="s">
        <v>5055</v>
      </c>
      <c r="D70" s="203" t="s">
        <v>5035</v>
      </c>
      <c r="E70" s="992"/>
      <c r="F70" s="1004" t="s">
        <v>5056</v>
      </c>
      <c r="G70" s="154" t="s">
        <v>5043</v>
      </c>
      <c r="H70" s="125" t="s">
        <v>5036</v>
      </c>
      <c r="I70" s="108" t="s">
        <v>4978</v>
      </c>
      <c r="J70" s="109"/>
      <c r="K70" s="108" t="s">
        <v>4978</v>
      </c>
      <c r="L70" s="109"/>
      <c r="P70" s="1001"/>
      <c r="Q70" s="202" t="s">
        <v>5055</v>
      </c>
      <c r="R70" s="203" t="s">
        <v>5035</v>
      </c>
      <c r="S70" s="995"/>
      <c r="T70" s="1004" t="s">
        <v>5056</v>
      </c>
      <c r="U70" s="154" t="s">
        <v>5043</v>
      </c>
      <c r="V70" s="125" t="s">
        <v>5036</v>
      </c>
      <c r="W70" s="148">
        <v>8.64</v>
      </c>
      <c r="X70" s="149" t="s">
        <v>5037</v>
      </c>
      <c r="Y70" s="108" t="s">
        <v>4978</v>
      </c>
      <c r="Z70" s="109"/>
    </row>
    <row r="71" spans="2:26">
      <c r="B71" s="1001"/>
      <c r="C71" s="202" t="s">
        <v>5057</v>
      </c>
      <c r="D71" s="203" t="s">
        <v>5035</v>
      </c>
      <c r="E71" s="993"/>
      <c r="F71" s="988"/>
      <c r="G71" s="154" t="s">
        <v>5045</v>
      </c>
      <c r="H71" s="125" t="s">
        <v>5036</v>
      </c>
      <c r="I71" s="108" t="s">
        <v>4978</v>
      </c>
      <c r="J71" s="109"/>
      <c r="K71" s="108" t="s">
        <v>4978</v>
      </c>
      <c r="L71" s="109"/>
      <c r="P71" s="1001"/>
      <c r="Q71" s="202" t="s">
        <v>5057</v>
      </c>
      <c r="R71" s="203" t="s">
        <v>5035</v>
      </c>
      <c r="S71" s="996"/>
      <c r="T71" s="988"/>
      <c r="U71" s="154" t="s">
        <v>5045</v>
      </c>
      <c r="V71" s="125" t="s">
        <v>5036</v>
      </c>
      <c r="W71" s="148">
        <v>8.64</v>
      </c>
      <c r="X71" s="149" t="s">
        <v>5037</v>
      </c>
      <c r="Y71" s="108" t="s">
        <v>4978</v>
      </c>
      <c r="Z71" s="109"/>
    </row>
    <row r="72" spans="2:26">
      <c r="B72" s="1001"/>
      <c r="C72" s="202" t="s">
        <v>5058</v>
      </c>
      <c r="D72" s="203" t="s">
        <v>5035</v>
      </c>
      <c r="E72" s="991" t="s">
        <v>5059</v>
      </c>
      <c r="F72" s="159" t="s">
        <v>5054</v>
      </c>
      <c r="G72" s="158"/>
      <c r="H72" s="125" t="s">
        <v>5036</v>
      </c>
      <c r="I72" s="108" t="s">
        <v>4978</v>
      </c>
      <c r="J72" s="109"/>
      <c r="K72" s="108" t="s">
        <v>4978</v>
      </c>
      <c r="L72" s="109"/>
      <c r="P72" s="1001"/>
      <c r="Q72" s="202" t="s">
        <v>5058</v>
      </c>
      <c r="R72" s="203" t="s">
        <v>5035</v>
      </c>
      <c r="S72" s="994" t="s">
        <v>5059</v>
      </c>
      <c r="T72" s="159" t="s">
        <v>5054</v>
      </c>
      <c r="U72" s="158"/>
      <c r="V72" s="125" t="s">
        <v>5036</v>
      </c>
      <c r="W72" s="156">
        <v>3.6</v>
      </c>
      <c r="X72" s="149" t="s">
        <v>5037</v>
      </c>
      <c r="Y72" s="108" t="s">
        <v>4978</v>
      </c>
      <c r="Z72" s="109"/>
    </row>
    <row r="73" spans="2:26">
      <c r="B73" s="1001"/>
      <c r="C73" s="202" t="s">
        <v>5060</v>
      </c>
      <c r="D73" s="203" t="s">
        <v>5035</v>
      </c>
      <c r="E73" s="992"/>
      <c r="F73" s="1004" t="s">
        <v>5056</v>
      </c>
      <c r="G73" s="154" t="s">
        <v>5043</v>
      </c>
      <c r="H73" s="125" t="s">
        <v>5036</v>
      </c>
      <c r="I73" s="108" t="s">
        <v>4978</v>
      </c>
      <c r="J73" s="109"/>
      <c r="K73" s="108" t="s">
        <v>4978</v>
      </c>
      <c r="L73" s="109"/>
      <c r="P73" s="1001"/>
      <c r="Q73" s="202" t="s">
        <v>5060</v>
      </c>
      <c r="R73" s="203" t="s">
        <v>5035</v>
      </c>
      <c r="S73" s="995"/>
      <c r="T73" s="1004" t="s">
        <v>5056</v>
      </c>
      <c r="U73" s="154" t="s">
        <v>5043</v>
      </c>
      <c r="V73" s="125" t="s">
        <v>5036</v>
      </c>
      <c r="W73" s="148">
        <v>8.64</v>
      </c>
      <c r="X73" s="149" t="s">
        <v>5037</v>
      </c>
      <c r="Y73" s="108" t="s">
        <v>4978</v>
      </c>
      <c r="Z73" s="109"/>
    </row>
    <row r="74" spans="2:26">
      <c r="B74" s="1001"/>
      <c r="C74" s="202" t="s">
        <v>5061</v>
      </c>
      <c r="D74" s="203" t="s">
        <v>5035</v>
      </c>
      <c r="E74" s="993"/>
      <c r="F74" s="988"/>
      <c r="G74" s="154" t="s">
        <v>5045</v>
      </c>
      <c r="H74" s="125" t="s">
        <v>5036</v>
      </c>
      <c r="I74" s="108" t="s">
        <v>4978</v>
      </c>
      <c r="J74" s="109"/>
      <c r="K74" s="108" t="s">
        <v>4978</v>
      </c>
      <c r="L74" s="109"/>
      <c r="P74" s="1001"/>
      <c r="Q74" s="202" t="s">
        <v>5061</v>
      </c>
      <c r="R74" s="203" t="s">
        <v>5035</v>
      </c>
      <c r="S74" s="996"/>
      <c r="T74" s="988"/>
      <c r="U74" s="154" t="s">
        <v>5045</v>
      </c>
      <c r="V74" s="125" t="s">
        <v>5036</v>
      </c>
      <c r="W74" s="148">
        <v>8.64</v>
      </c>
      <c r="X74" s="149" t="s">
        <v>5037</v>
      </c>
      <c r="Y74" s="108" t="s">
        <v>4978</v>
      </c>
      <c r="Z74" s="109"/>
    </row>
    <row r="75" spans="2:26">
      <c r="B75" s="1001"/>
      <c r="C75" s="202" t="s">
        <v>5062</v>
      </c>
      <c r="D75" s="203" t="s">
        <v>5035</v>
      </c>
      <c r="E75" s="991" t="s">
        <v>5063</v>
      </c>
      <c r="F75" s="160" t="s">
        <v>5064</v>
      </c>
      <c r="G75" s="158"/>
      <c r="H75" s="125" t="s">
        <v>5036</v>
      </c>
      <c r="I75" s="108" t="s">
        <v>4978</v>
      </c>
      <c r="J75" s="109"/>
      <c r="K75" s="108" t="s">
        <v>4978</v>
      </c>
      <c r="L75" s="109"/>
      <c r="P75" s="1001"/>
      <c r="Q75" s="202" t="s">
        <v>5062</v>
      </c>
      <c r="R75" s="203" t="s">
        <v>5035</v>
      </c>
      <c r="S75" s="994" t="s">
        <v>5063</v>
      </c>
      <c r="T75" s="160" t="s">
        <v>5064</v>
      </c>
      <c r="U75" s="158"/>
      <c r="V75" s="125" t="s">
        <v>5036</v>
      </c>
      <c r="W75" s="156">
        <v>3.6</v>
      </c>
      <c r="X75" s="149" t="s">
        <v>5037</v>
      </c>
      <c r="Y75" s="108" t="s">
        <v>4978</v>
      </c>
      <c r="Z75" s="109"/>
    </row>
    <row r="76" spans="2:26">
      <c r="B76" s="1001"/>
      <c r="C76" s="202" t="s">
        <v>5065</v>
      </c>
      <c r="D76" s="203" t="s">
        <v>5035</v>
      </c>
      <c r="E76" s="992"/>
      <c r="F76" s="160" t="s">
        <v>5066</v>
      </c>
      <c r="G76" s="158"/>
      <c r="H76" s="125" t="s">
        <v>5036</v>
      </c>
      <c r="I76" s="108" t="s">
        <v>4978</v>
      </c>
      <c r="J76" s="109"/>
      <c r="K76" s="108" t="s">
        <v>4978</v>
      </c>
      <c r="L76" s="109"/>
      <c r="P76" s="1001"/>
      <c r="Q76" s="202" t="s">
        <v>5065</v>
      </c>
      <c r="R76" s="203" t="s">
        <v>5035</v>
      </c>
      <c r="S76" s="995"/>
      <c r="T76" s="160" t="s">
        <v>5066</v>
      </c>
      <c r="U76" s="158"/>
      <c r="V76" s="125" t="s">
        <v>5036</v>
      </c>
      <c r="W76" s="156">
        <v>3.6</v>
      </c>
      <c r="X76" s="149" t="s">
        <v>5037</v>
      </c>
      <c r="Y76" s="108" t="s">
        <v>4978</v>
      </c>
      <c r="Z76" s="109"/>
    </row>
    <row r="77" spans="2:26">
      <c r="B77" s="1001"/>
      <c r="C77" s="202" t="s">
        <v>5067</v>
      </c>
      <c r="D77" s="203" t="s">
        <v>5035</v>
      </c>
      <c r="E77" s="992"/>
      <c r="F77" s="160" t="s">
        <v>5028</v>
      </c>
      <c r="G77" s="158"/>
      <c r="H77" s="125" t="s">
        <v>5036</v>
      </c>
      <c r="I77" s="108" t="s">
        <v>4978</v>
      </c>
      <c r="J77" s="109"/>
      <c r="K77" s="108" t="s">
        <v>4978</v>
      </c>
      <c r="L77" s="109"/>
      <c r="P77" s="1001"/>
      <c r="Q77" s="202" t="s">
        <v>5067</v>
      </c>
      <c r="R77" s="203" t="s">
        <v>5035</v>
      </c>
      <c r="S77" s="995"/>
      <c r="T77" s="160" t="s">
        <v>5028</v>
      </c>
      <c r="U77" s="158"/>
      <c r="V77" s="125" t="s">
        <v>5036</v>
      </c>
      <c r="W77" s="156">
        <v>3.6</v>
      </c>
      <c r="X77" s="149" t="s">
        <v>5037</v>
      </c>
      <c r="Y77" s="108" t="s">
        <v>4978</v>
      </c>
      <c r="Z77" s="109"/>
    </row>
    <row r="78" spans="2:26">
      <c r="B78" s="1001"/>
      <c r="C78" s="202" t="s">
        <v>5068</v>
      </c>
      <c r="D78" s="203" t="s">
        <v>5035</v>
      </c>
      <c r="E78" s="992"/>
      <c r="F78" s="160" t="s">
        <v>5069</v>
      </c>
      <c r="G78" s="158"/>
      <c r="H78" s="125" t="s">
        <v>5036</v>
      </c>
      <c r="I78" s="108" t="s">
        <v>4978</v>
      </c>
      <c r="J78" s="109"/>
      <c r="K78" s="108" t="s">
        <v>4978</v>
      </c>
      <c r="L78" s="109"/>
      <c r="P78" s="1001"/>
      <c r="Q78" s="202" t="s">
        <v>5068</v>
      </c>
      <c r="R78" s="203" t="s">
        <v>5035</v>
      </c>
      <c r="S78" s="995"/>
      <c r="T78" s="160" t="s">
        <v>5069</v>
      </c>
      <c r="U78" s="158"/>
      <c r="V78" s="125" t="s">
        <v>5036</v>
      </c>
      <c r="W78" s="156">
        <v>3.6</v>
      </c>
      <c r="X78" s="149" t="s">
        <v>5037</v>
      </c>
      <c r="Y78" s="108" t="s">
        <v>4978</v>
      </c>
      <c r="Z78" s="109"/>
    </row>
    <row r="79" spans="2:26" ht="34.799999999999997">
      <c r="B79" s="1001"/>
      <c r="C79" s="202" t="s">
        <v>5070</v>
      </c>
      <c r="D79" s="203" t="s">
        <v>5035</v>
      </c>
      <c r="E79" s="992"/>
      <c r="F79" s="1007" t="s">
        <v>5071</v>
      </c>
      <c r="G79" s="161" t="s">
        <v>5072</v>
      </c>
      <c r="H79" s="125" t="s">
        <v>5036</v>
      </c>
      <c r="I79" s="108" t="s">
        <v>4978</v>
      </c>
      <c r="J79" s="109"/>
      <c r="K79" s="108" t="s">
        <v>4978</v>
      </c>
      <c r="L79" s="109"/>
      <c r="P79" s="1001"/>
      <c r="Q79" s="202" t="s">
        <v>5070</v>
      </c>
      <c r="R79" s="203" t="s">
        <v>5035</v>
      </c>
      <c r="S79" s="995"/>
      <c r="T79" s="1007" t="s">
        <v>5071</v>
      </c>
      <c r="U79" s="161" t="s">
        <v>5072</v>
      </c>
      <c r="V79" s="125" t="s">
        <v>5036</v>
      </c>
      <c r="W79" s="156">
        <v>3.6</v>
      </c>
      <c r="X79" s="149" t="s">
        <v>5037</v>
      </c>
      <c r="Y79" s="108" t="s">
        <v>4978</v>
      </c>
      <c r="Z79" s="109"/>
    </row>
    <row r="80" spans="2:26">
      <c r="B80" s="1002"/>
      <c r="C80" s="205" t="s">
        <v>5073</v>
      </c>
      <c r="D80" s="206" t="s">
        <v>5035</v>
      </c>
      <c r="E80" s="1005"/>
      <c r="F80" s="1008"/>
      <c r="G80" s="162" t="s">
        <v>5074</v>
      </c>
      <c r="H80" s="131" t="s">
        <v>5036</v>
      </c>
      <c r="I80" s="143" t="s">
        <v>4978</v>
      </c>
      <c r="J80" s="144"/>
      <c r="K80" s="143" t="s">
        <v>4978</v>
      </c>
      <c r="L80" s="144"/>
      <c r="P80" s="1002"/>
      <c r="Q80" s="205" t="s">
        <v>5073</v>
      </c>
      <c r="R80" s="206" t="s">
        <v>5035</v>
      </c>
      <c r="S80" s="1006"/>
      <c r="T80" s="1008"/>
      <c r="U80" s="162" t="s">
        <v>5074</v>
      </c>
      <c r="V80" s="131" t="s">
        <v>5036</v>
      </c>
      <c r="W80" s="143" t="s">
        <v>4978</v>
      </c>
      <c r="X80" s="144"/>
      <c r="Y80" s="143" t="s">
        <v>4978</v>
      </c>
      <c r="Z80" s="144"/>
    </row>
  </sheetData>
  <sheetProtection algorithmName="SHA-512" hashValue="hjKBEoUg51NAY9sqkGyQhEQY9L4/6NH7u5YDLohkmfjYxU99aW2jb9ak7sAsQmxjJOqgCv8taeprThj0NoOYZw==" saltValue="KSfYBZYh/vCHeCuwP8jPgw==" spinCount="100000" sheet="1" objects="1" scenarios="1"/>
  <mergeCells count="40">
    <mergeCell ref="T73:T74"/>
    <mergeCell ref="E75:E80"/>
    <mergeCell ref="S75:S80"/>
    <mergeCell ref="F79:F80"/>
    <mergeCell ref="T79:T80"/>
    <mergeCell ref="T65:T66"/>
    <mergeCell ref="F67:F68"/>
    <mergeCell ref="T67:T68"/>
    <mergeCell ref="E69:E71"/>
    <mergeCell ref="S69:S71"/>
    <mergeCell ref="F70:F71"/>
    <mergeCell ref="T70:T71"/>
    <mergeCell ref="B49:B60"/>
    <mergeCell ref="P49:P60"/>
    <mergeCell ref="B61:B80"/>
    <mergeCell ref="E61:E62"/>
    <mergeCell ref="P61:P80"/>
    <mergeCell ref="F73:F74"/>
    <mergeCell ref="S61:S62"/>
    <mergeCell ref="E65:E68"/>
    <mergeCell ref="F65:F66"/>
    <mergeCell ref="S65:S68"/>
    <mergeCell ref="E72:E74"/>
    <mergeCell ref="S72:S74"/>
    <mergeCell ref="T18:T20"/>
    <mergeCell ref="F21:F22"/>
    <mergeCell ref="T21:T22"/>
    <mergeCell ref="B32:B48"/>
    <mergeCell ref="P32:P48"/>
    <mergeCell ref="E42:E43"/>
    <mergeCell ref="S42:S43"/>
    <mergeCell ref="B3:B31"/>
    <mergeCell ref="P3:P31"/>
    <mergeCell ref="E14:E15"/>
    <mergeCell ref="S14:S15"/>
    <mergeCell ref="E16:E17"/>
    <mergeCell ref="S16:S17"/>
    <mergeCell ref="E18:E23"/>
    <mergeCell ref="F18:F20"/>
    <mergeCell ref="S18:S23"/>
  </mergeCells>
  <phoneticPr fontId="1"/>
  <pageMargins left="0.70866141732283472" right="0.70866141732283472" top="0.38" bottom="0.2" header="0.31496062992125984" footer="0.31496062992125984"/>
  <pageSetup paperSize="8" scale="53" orientation="landscape"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92">
    <tabColor rgb="FFFF0000"/>
  </sheetPr>
  <dimension ref="A1:H1460"/>
  <sheetViews>
    <sheetView workbookViewId="0">
      <selection sqref="A1:XFD1048576"/>
    </sheetView>
  </sheetViews>
  <sheetFormatPr defaultColWidth="8.88671875" defaultRowHeight="17.399999999999999"/>
  <cols>
    <col min="1" max="1" width="8.88671875" style="1"/>
    <col min="2" max="2" width="33.109375" style="1" customWidth="1"/>
    <col min="3" max="4" width="8.88671875" style="1"/>
    <col min="5" max="5" width="33.109375" style="1" customWidth="1"/>
    <col min="6" max="7" width="8.88671875" style="1"/>
    <col min="8" max="8" width="33.109375" style="1" customWidth="1"/>
    <col min="9" max="16384" width="8.88671875" style="1"/>
  </cols>
  <sheetData>
    <row r="1" spans="1:8">
      <c r="A1" s="3" t="s">
        <v>2988</v>
      </c>
      <c r="B1" s="3" t="s">
        <v>160</v>
      </c>
      <c r="C1" s="2"/>
      <c r="D1" s="3" t="s">
        <v>3107</v>
      </c>
      <c r="E1" s="3" t="s">
        <v>160</v>
      </c>
      <c r="F1" s="2"/>
      <c r="G1" s="3" t="s">
        <v>3108</v>
      </c>
      <c r="H1" s="3" t="s">
        <v>160</v>
      </c>
    </row>
    <row r="2" spans="1:8">
      <c r="A2" s="8" t="s">
        <v>2989</v>
      </c>
      <c r="B2" s="9" t="s">
        <v>2981</v>
      </c>
      <c r="D2" s="10" t="s">
        <v>3493</v>
      </c>
      <c r="E2" s="9" t="s">
        <v>3109</v>
      </c>
      <c r="G2" s="5" t="s">
        <v>161</v>
      </c>
      <c r="H2" s="9" t="s">
        <v>162</v>
      </c>
    </row>
    <row r="3" spans="1:8">
      <c r="A3" s="8" t="s">
        <v>2990</v>
      </c>
      <c r="B3" s="9" t="s">
        <v>2894</v>
      </c>
      <c r="D3" s="10" t="s">
        <v>3494</v>
      </c>
      <c r="E3" s="9" t="s">
        <v>3110</v>
      </c>
      <c r="G3" s="5" t="s">
        <v>163</v>
      </c>
      <c r="H3" s="9" t="s">
        <v>164</v>
      </c>
    </row>
    <row r="4" spans="1:8">
      <c r="A4" s="8" t="s">
        <v>2991</v>
      </c>
      <c r="B4" s="9" t="s">
        <v>2895</v>
      </c>
      <c r="D4" s="10" t="s">
        <v>3495</v>
      </c>
      <c r="E4" s="9" t="s">
        <v>3111</v>
      </c>
      <c r="G4" s="5" t="s">
        <v>165</v>
      </c>
      <c r="H4" s="9" t="s">
        <v>166</v>
      </c>
    </row>
    <row r="5" spans="1:8">
      <c r="A5" s="8" t="s">
        <v>2992</v>
      </c>
      <c r="B5" s="9" t="s">
        <v>2896</v>
      </c>
      <c r="D5" s="10" t="s">
        <v>3496</v>
      </c>
      <c r="E5" s="9" t="s">
        <v>3112</v>
      </c>
      <c r="G5" s="5" t="s">
        <v>167</v>
      </c>
      <c r="H5" s="9" t="s">
        <v>168</v>
      </c>
    </row>
    <row r="6" spans="1:8">
      <c r="A6" s="8" t="s">
        <v>2993</v>
      </c>
      <c r="B6" s="9" t="s">
        <v>2982</v>
      </c>
      <c r="D6" s="10" t="s">
        <v>3497</v>
      </c>
      <c r="E6" s="9" t="s">
        <v>204</v>
      </c>
      <c r="G6" s="5" t="s">
        <v>169</v>
      </c>
      <c r="H6" s="9" t="s">
        <v>170</v>
      </c>
    </row>
    <row r="7" spans="1:8">
      <c r="A7" s="8" t="s">
        <v>2994</v>
      </c>
      <c r="B7" s="9" t="s">
        <v>2897</v>
      </c>
      <c r="D7" s="10" t="s">
        <v>3498</v>
      </c>
      <c r="E7" s="9" t="s">
        <v>3113</v>
      </c>
      <c r="G7" s="5" t="s">
        <v>171</v>
      </c>
      <c r="H7" s="9" t="s">
        <v>172</v>
      </c>
    </row>
    <row r="8" spans="1:8">
      <c r="A8" s="8" t="s">
        <v>2995</v>
      </c>
      <c r="B8" s="9" t="s">
        <v>2898</v>
      </c>
      <c r="D8" s="10" t="s">
        <v>3499</v>
      </c>
      <c r="E8" s="9" t="s">
        <v>208</v>
      </c>
      <c r="G8" s="5" t="s">
        <v>173</v>
      </c>
      <c r="H8" s="9" t="s">
        <v>174</v>
      </c>
    </row>
    <row r="9" spans="1:8">
      <c r="A9" s="8" t="s">
        <v>2996</v>
      </c>
      <c r="B9" s="9" t="s">
        <v>2899</v>
      </c>
      <c r="D9" s="10" t="s">
        <v>3500</v>
      </c>
      <c r="E9" s="9" t="s">
        <v>210</v>
      </c>
      <c r="G9" s="5" t="s">
        <v>175</v>
      </c>
      <c r="H9" s="9" t="s">
        <v>176</v>
      </c>
    </row>
    <row r="10" spans="1:8">
      <c r="A10" s="8" t="s">
        <v>2997</v>
      </c>
      <c r="B10" s="9" t="s">
        <v>2900</v>
      </c>
      <c r="D10" s="10" t="s">
        <v>3501</v>
      </c>
      <c r="E10" s="9" t="s">
        <v>3114</v>
      </c>
      <c r="G10" s="5" t="s">
        <v>177</v>
      </c>
      <c r="H10" s="9" t="s">
        <v>178</v>
      </c>
    </row>
    <row r="11" spans="1:8">
      <c r="A11" s="8" t="s">
        <v>2998</v>
      </c>
      <c r="B11" s="9" t="s">
        <v>2901</v>
      </c>
      <c r="D11" s="10" t="s">
        <v>3502</v>
      </c>
      <c r="E11" s="9" t="s">
        <v>3115</v>
      </c>
      <c r="G11" s="5" t="s">
        <v>179</v>
      </c>
      <c r="H11" s="9" t="s">
        <v>180</v>
      </c>
    </row>
    <row r="12" spans="1:8">
      <c r="A12" s="8" t="s">
        <v>2999</v>
      </c>
      <c r="B12" s="9" t="s">
        <v>2902</v>
      </c>
      <c r="D12" s="10" t="s">
        <v>3503</v>
      </c>
      <c r="E12" s="9" t="s">
        <v>224</v>
      </c>
      <c r="G12" s="5" t="s">
        <v>181</v>
      </c>
      <c r="H12" s="9" t="s">
        <v>182</v>
      </c>
    </row>
    <row r="13" spans="1:8">
      <c r="A13" s="8" t="s">
        <v>3000</v>
      </c>
      <c r="B13" s="9" t="s">
        <v>2903</v>
      </c>
      <c r="D13" s="10" t="s">
        <v>3504</v>
      </c>
      <c r="E13" s="9" t="s">
        <v>3116</v>
      </c>
      <c r="G13" s="5" t="s">
        <v>183</v>
      </c>
      <c r="H13" s="9" t="s">
        <v>184</v>
      </c>
    </row>
    <row r="14" spans="1:8">
      <c r="A14" s="8" t="s">
        <v>3001</v>
      </c>
      <c r="B14" s="9" t="s">
        <v>2904</v>
      </c>
      <c r="D14" s="10" t="s">
        <v>3505</v>
      </c>
      <c r="E14" s="9" t="s">
        <v>3117</v>
      </c>
      <c r="G14" s="5" t="s">
        <v>185</v>
      </c>
      <c r="H14" s="9" t="s">
        <v>186</v>
      </c>
    </row>
    <row r="15" spans="1:8">
      <c r="A15" s="8" t="s">
        <v>3002</v>
      </c>
      <c r="B15" s="9" t="s">
        <v>2905</v>
      </c>
      <c r="D15" s="10" t="s">
        <v>3506</v>
      </c>
      <c r="E15" s="9" t="s">
        <v>246</v>
      </c>
      <c r="G15" s="5" t="s">
        <v>187</v>
      </c>
      <c r="H15" s="9" t="s">
        <v>188</v>
      </c>
    </row>
    <row r="16" spans="1:8">
      <c r="A16" s="8" t="s">
        <v>3003</v>
      </c>
      <c r="B16" s="9" t="s">
        <v>2906</v>
      </c>
      <c r="D16" s="10" t="s">
        <v>3507</v>
      </c>
      <c r="E16" s="9" t="s">
        <v>3118</v>
      </c>
      <c r="G16" s="5" t="s">
        <v>189</v>
      </c>
      <c r="H16" s="9" t="s">
        <v>190</v>
      </c>
    </row>
    <row r="17" spans="1:8">
      <c r="A17" s="8" t="s">
        <v>3004</v>
      </c>
      <c r="B17" s="9" t="s">
        <v>2907</v>
      </c>
      <c r="D17" s="10" t="s">
        <v>3508</v>
      </c>
      <c r="E17" s="9" t="s">
        <v>3119</v>
      </c>
      <c r="G17" s="5" t="s">
        <v>191</v>
      </c>
      <c r="H17" s="9" t="s">
        <v>192</v>
      </c>
    </row>
    <row r="18" spans="1:8">
      <c r="A18" s="8" t="s">
        <v>3005</v>
      </c>
      <c r="B18" s="9" t="s">
        <v>2908</v>
      </c>
      <c r="D18" s="10" t="s">
        <v>3509</v>
      </c>
      <c r="E18" s="9" t="s">
        <v>262</v>
      </c>
      <c r="G18" s="5" t="s">
        <v>193</v>
      </c>
      <c r="H18" s="9" t="s">
        <v>194</v>
      </c>
    </row>
    <row r="19" spans="1:8">
      <c r="A19" s="8" t="s">
        <v>3006</v>
      </c>
      <c r="B19" s="9" t="s">
        <v>2909</v>
      </c>
      <c r="D19" s="10" t="s">
        <v>3510</v>
      </c>
      <c r="E19" s="9" t="s">
        <v>3120</v>
      </c>
      <c r="G19" s="5" t="s">
        <v>195</v>
      </c>
      <c r="H19" s="9" t="s">
        <v>196</v>
      </c>
    </row>
    <row r="20" spans="1:8">
      <c r="A20" s="8" t="s">
        <v>3007</v>
      </c>
      <c r="B20" s="9" t="s">
        <v>2910</v>
      </c>
      <c r="D20" s="10" t="s">
        <v>3511</v>
      </c>
      <c r="E20" s="9" t="s">
        <v>3121</v>
      </c>
      <c r="G20" s="5" t="s">
        <v>197</v>
      </c>
      <c r="H20" s="9" t="s">
        <v>198</v>
      </c>
    </row>
    <row r="21" spans="1:8">
      <c r="A21" s="8" t="s">
        <v>3008</v>
      </c>
      <c r="B21" s="9" t="s">
        <v>2911</v>
      </c>
      <c r="D21" s="10" t="s">
        <v>3512</v>
      </c>
      <c r="E21" s="9" t="s">
        <v>3122</v>
      </c>
      <c r="G21" s="5" t="s">
        <v>199</v>
      </c>
      <c r="H21" s="9" t="s">
        <v>200</v>
      </c>
    </row>
    <row r="22" spans="1:8">
      <c r="A22" s="8" t="s">
        <v>3009</v>
      </c>
      <c r="B22" s="9" t="s">
        <v>2912</v>
      </c>
      <c r="D22" s="10" t="s">
        <v>3513</v>
      </c>
      <c r="E22" s="9" t="s">
        <v>3123</v>
      </c>
      <c r="G22" s="5" t="s">
        <v>201</v>
      </c>
      <c r="H22" s="9" t="s">
        <v>202</v>
      </c>
    </row>
    <row r="23" spans="1:8">
      <c r="A23" s="8" t="s">
        <v>3010</v>
      </c>
      <c r="B23" s="9" t="s">
        <v>2913</v>
      </c>
      <c r="D23" s="10" t="s">
        <v>3514</v>
      </c>
      <c r="E23" s="9" t="s">
        <v>3124</v>
      </c>
      <c r="G23" s="5" t="s">
        <v>203</v>
      </c>
      <c r="H23" s="9" t="s">
        <v>204</v>
      </c>
    </row>
    <row r="24" spans="1:8">
      <c r="A24" s="8" t="s">
        <v>3011</v>
      </c>
      <c r="B24" s="9" t="s">
        <v>2914</v>
      </c>
      <c r="D24" s="10" t="s">
        <v>3515</v>
      </c>
      <c r="E24" s="9" t="s">
        <v>3125</v>
      </c>
      <c r="G24" s="5" t="s">
        <v>205</v>
      </c>
      <c r="H24" s="9" t="s">
        <v>162</v>
      </c>
    </row>
    <row r="25" spans="1:8">
      <c r="A25" s="8" t="s">
        <v>3012</v>
      </c>
      <c r="B25" s="9" t="s">
        <v>2915</v>
      </c>
      <c r="D25" s="10" t="s">
        <v>3516</v>
      </c>
      <c r="E25" s="9" t="s">
        <v>3126</v>
      </c>
      <c r="G25" s="5" t="s">
        <v>206</v>
      </c>
      <c r="H25" s="9" t="s">
        <v>164</v>
      </c>
    </row>
    <row r="26" spans="1:8">
      <c r="A26" s="8" t="s">
        <v>3013</v>
      </c>
      <c r="B26" s="9" t="s">
        <v>2916</v>
      </c>
      <c r="D26" s="10" t="s">
        <v>3517</v>
      </c>
      <c r="E26" s="9" t="s">
        <v>3127</v>
      </c>
      <c r="G26" s="5" t="s">
        <v>207</v>
      </c>
      <c r="H26" s="9" t="s">
        <v>208</v>
      </c>
    </row>
    <row r="27" spans="1:8">
      <c r="A27" s="8" t="s">
        <v>3014</v>
      </c>
      <c r="B27" s="9" t="s">
        <v>2917</v>
      </c>
      <c r="D27" s="10" t="s">
        <v>3518</v>
      </c>
      <c r="E27" s="9" t="s">
        <v>328</v>
      </c>
      <c r="G27" s="5" t="s">
        <v>209</v>
      </c>
      <c r="H27" s="9" t="s">
        <v>210</v>
      </c>
    </row>
    <row r="28" spans="1:8">
      <c r="A28" s="8" t="s">
        <v>3015</v>
      </c>
      <c r="B28" s="9" t="s">
        <v>2918</v>
      </c>
      <c r="D28" s="10" t="s">
        <v>3519</v>
      </c>
      <c r="E28" s="9" t="s">
        <v>3128</v>
      </c>
      <c r="G28" s="5" t="s">
        <v>211</v>
      </c>
      <c r="H28" s="9" t="s">
        <v>212</v>
      </c>
    </row>
    <row r="29" spans="1:8">
      <c r="A29" s="8" t="s">
        <v>3016</v>
      </c>
      <c r="B29" s="9" t="s">
        <v>2919</v>
      </c>
      <c r="D29" s="10" t="s">
        <v>3520</v>
      </c>
      <c r="E29" s="9" t="s">
        <v>336</v>
      </c>
      <c r="G29" s="5" t="s">
        <v>213</v>
      </c>
      <c r="H29" s="9" t="s">
        <v>214</v>
      </c>
    </row>
    <row r="30" spans="1:8">
      <c r="A30" s="8" t="s">
        <v>3017</v>
      </c>
      <c r="B30" s="9" t="s">
        <v>2920</v>
      </c>
      <c r="D30" s="10" t="s">
        <v>3521</v>
      </c>
      <c r="E30" s="9" t="s">
        <v>338</v>
      </c>
      <c r="G30" s="5" t="s">
        <v>215</v>
      </c>
      <c r="H30" s="9" t="s">
        <v>216</v>
      </c>
    </row>
    <row r="31" spans="1:8">
      <c r="A31" s="8" t="s">
        <v>3018</v>
      </c>
      <c r="B31" s="9" t="s">
        <v>2921</v>
      </c>
      <c r="D31" s="10" t="s">
        <v>3522</v>
      </c>
      <c r="E31" s="9" t="s">
        <v>340</v>
      </c>
      <c r="G31" s="5" t="s">
        <v>217</v>
      </c>
      <c r="H31" s="9" t="s">
        <v>218</v>
      </c>
    </row>
    <row r="32" spans="1:8">
      <c r="A32" s="8" t="s">
        <v>3019</v>
      </c>
      <c r="B32" s="9" t="s">
        <v>2922</v>
      </c>
      <c r="D32" s="10" t="s">
        <v>3523</v>
      </c>
      <c r="E32" s="9" t="s">
        <v>342</v>
      </c>
      <c r="G32" s="5" t="s">
        <v>219</v>
      </c>
      <c r="H32" s="9" t="s">
        <v>220</v>
      </c>
    </row>
    <row r="33" spans="1:8">
      <c r="A33" s="8" t="s">
        <v>3020</v>
      </c>
      <c r="B33" s="9" t="s">
        <v>2923</v>
      </c>
      <c r="D33" s="10" t="s">
        <v>3524</v>
      </c>
      <c r="E33" s="9" t="s">
        <v>3129</v>
      </c>
      <c r="G33" s="5" t="s">
        <v>221</v>
      </c>
      <c r="H33" s="9" t="s">
        <v>222</v>
      </c>
    </row>
    <row r="34" spans="1:8">
      <c r="A34" s="8" t="s">
        <v>3021</v>
      </c>
      <c r="B34" s="9" t="s">
        <v>2924</v>
      </c>
      <c r="D34" s="10" t="s">
        <v>3525</v>
      </c>
      <c r="E34" s="9" t="s">
        <v>3130</v>
      </c>
      <c r="G34" s="5" t="s">
        <v>223</v>
      </c>
      <c r="H34" s="9" t="s">
        <v>224</v>
      </c>
    </row>
    <row r="35" spans="1:8">
      <c r="A35" s="8" t="s">
        <v>3022</v>
      </c>
      <c r="B35" s="9" t="s">
        <v>2925</v>
      </c>
      <c r="D35" s="10" t="s">
        <v>3526</v>
      </c>
      <c r="E35" s="9" t="s">
        <v>3131</v>
      </c>
      <c r="G35" s="5" t="s">
        <v>225</v>
      </c>
      <c r="H35" s="9" t="s">
        <v>162</v>
      </c>
    </row>
    <row r="36" spans="1:8">
      <c r="A36" s="8" t="s">
        <v>3023</v>
      </c>
      <c r="B36" s="9" t="s">
        <v>1585</v>
      </c>
      <c r="D36" s="10" t="s">
        <v>3527</v>
      </c>
      <c r="E36" s="9" t="s">
        <v>3132</v>
      </c>
      <c r="G36" s="5" t="s">
        <v>226</v>
      </c>
      <c r="H36" s="9" t="s">
        <v>164</v>
      </c>
    </row>
    <row r="37" spans="1:8">
      <c r="A37" s="8" t="s">
        <v>3024</v>
      </c>
      <c r="B37" s="9" t="s">
        <v>2926</v>
      </c>
      <c r="D37" s="10" t="s">
        <v>3528</v>
      </c>
      <c r="E37" s="9" t="s">
        <v>3133</v>
      </c>
      <c r="G37" s="5" t="s">
        <v>227</v>
      </c>
      <c r="H37" s="9" t="s">
        <v>228</v>
      </c>
    </row>
    <row r="38" spans="1:8">
      <c r="A38" s="8" t="s">
        <v>3025</v>
      </c>
      <c r="B38" s="9" t="s">
        <v>2927</v>
      </c>
      <c r="D38" s="10" t="s">
        <v>3529</v>
      </c>
      <c r="E38" s="9" t="s">
        <v>368</v>
      </c>
      <c r="G38" s="5" t="s">
        <v>229</v>
      </c>
      <c r="H38" s="9" t="s">
        <v>230</v>
      </c>
    </row>
    <row r="39" spans="1:8">
      <c r="A39" s="8" t="s">
        <v>3026</v>
      </c>
      <c r="B39" s="9" t="s">
        <v>2928</v>
      </c>
      <c r="D39" s="10" t="s">
        <v>3530</v>
      </c>
      <c r="E39" s="9" t="s">
        <v>3134</v>
      </c>
      <c r="G39" s="5" t="s">
        <v>231</v>
      </c>
      <c r="H39" s="9" t="s">
        <v>232</v>
      </c>
    </row>
    <row r="40" spans="1:8">
      <c r="A40" s="8" t="s">
        <v>3027</v>
      </c>
      <c r="B40" s="9" t="s">
        <v>2929</v>
      </c>
      <c r="D40" s="10" t="s">
        <v>3531</v>
      </c>
      <c r="E40" s="9" t="s">
        <v>3135</v>
      </c>
      <c r="G40" s="5" t="s">
        <v>233</v>
      </c>
      <c r="H40" s="9" t="s">
        <v>234</v>
      </c>
    </row>
    <row r="41" spans="1:8">
      <c r="A41" s="8" t="s">
        <v>3028</v>
      </c>
      <c r="B41" s="9" t="s">
        <v>2930</v>
      </c>
      <c r="D41" s="10" t="s">
        <v>3532</v>
      </c>
      <c r="E41" s="9" t="s">
        <v>3136</v>
      </c>
      <c r="G41" s="5" t="s">
        <v>235</v>
      </c>
      <c r="H41" s="9" t="s">
        <v>236</v>
      </c>
    </row>
    <row r="42" spans="1:8">
      <c r="A42" s="8" t="s">
        <v>3029</v>
      </c>
      <c r="B42" s="9" t="s">
        <v>2931</v>
      </c>
      <c r="D42" s="10" t="s">
        <v>3533</v>
      </c>
      <c r="E42" s="9" t="s">
        <v>3137</v>
      </c>
      <c r="G42" s="5" t="s">
        <v>237</v>
      </c>
      <c r="H42" s="9" t="s">
        <v>238</v>
      </c>
    </row>
    <row r="43" spans="1:8">
      <c r="A43" s="8" t="s">
        <v>3030</v>
      </c>
      <c r="B43" s="9" t="s">
        <v>2932</v>
      </c>
      <c r="D43" s="10" t="s">
        <v>3534</v>
      </c>
      <c r="E43" s="9" t="s">
        <v>3138</v>
      </c>
      <c r="G43" s="5" t="s">
        <v>239</v>
      </c>
      <c r="H43" s="9" t="s">
        <v>240</v>
      </c>
    </row>
    <row r="44" spans="1:8">
      <c r="A44" s="8" t="s">
        <v>3031</v>
      </c>
      <c r="B44" s="9" t="s">
        <v>2933</v>
      </c>
      <c r="D44" s="10" t="s">
        <v>3535</v>
      </c>
      <c r="E44" s="9" t="s">
        <v>3139</v>
      </c>
      <c r="G44" s="5" t="s">
        <v>241</v>
      </c>
      <c r="H44" s="9" t="s">
        <v>242</v>
      </c>
    </row>
    <row r="45" spans="1:8">
      <c r="A45" s="8" t="s">
        <v>3032</v>
      </c>
      <c r="B45" s="9" t="s">
        <v>2934</v>
      </c>
      <c r="D45" s="10" t="s">
        <v>3536</v>
      </c>
      <c r="E45" s="9" t="s">
        <v>3140</v>
      </c>
      <c r="G45" s="5" t="s">
        <v>243</v>
      </c>
      <c r="H45" s="9" t="s">
        <v>244</v>
      </c>
    </row>
    <row r="46" spans="1:8">
      <c r="A46" s="8" t="s">
        <v>3033</v>
      </c>
      <c r="B46" s="9" t="s">
        <v>2935</v>
      </c>
      <c r="D46" s="10" t="s">
        <v>3537</v>
      </c>
      <c r="E46" s="9" t="s">
        <v>3141</v>
      </c>
      <c r="G46" s="5" t="s">
        <v>245</v>
      </c>
      <c r="H46" s="9" t="s">
        <v>246</v>
      </c>
    </row>
    <row r="47" spans="1:8">
      <c r="A47" s="8" t="s">
        <v>3034</v>
      </c>
      <c r="B47" s="9" t="s">
        <v>2936</v>
      </c>
      <c r="D47" s="10" t="s">
        <v>3538</v>
      </c>
      <c r="E47" s="9" t="s">
        <v>3142</v>
      </c>
      <c r="G47" s="5" t="s">
        <v>247</v>
      </c>
      <c r="H47" s="9" t="s">
        <v>162</v>
      </c>
    </row>
    <row r="48" spans="1:8">
      <c r="A48" s="8" t="s">
        <v>3035</v>
      </c>
      <c r="B48" s="9" t="s">
        <v>2937</v>
      </c>
      <c r="D48" s="10" t="s">
        <v>3539</v>
      </c>
      <c r="E48" s="9" t="s">
        <v>3143</v>
      </c>
      <c r="G48" s="5" t="s">
        <v>248</v>
      </c>
      <c r="H48" s="9" t="s">
        <v>164</v>
      </c>
    </row>
    <row r="49" spans="1:8">
      <c r="A49" s="8" t="s">
        <v>3036</v>
      </c>
      <c r="B49" s="9" t="s">
        <v>2938</v>
      </c>
      <c r="D49" s="10" t="s">
        <v>3540</v>
      </c>
      <c r="E49" s="9" t="s">
        <v>3144</v>
      </c>
      <c r="G49" s="5" t="s">
        <v>249</v>
      </c>
      <c r="H49" s="9" t="s">
        <v>250</v>
      </c>
    </row>
    <row r="50" spans="1:8">
      <c r="A50" s="8" t="s">
        <v>3037</v>
      </c>
      <c r="B50" s="9" t="s">
        <v>1785</v>
      </c>
      <c r="D50" s="10" t="s">
        <v>3541</v>
      </c>
      <c r="E50" s="9" t="s">
        <v>3145</v>
      </c>
      <c r="G50" s="5" t="s">
        <v>251</v>
      </c>
      <c r="H50" s="9" t="s">
        <v>252</v>
      </c>
    </row>
    <row r="51" spans="1:8">
      <c r="A51" s="8" t="s">
        <v>3038</v>
      </c>
      <c r="B51" s="9" t="s">
        <v>2939</v>
      </c>
      <c r="D51" s="10" t="s">
        <v>3542</v>
      </c>
      <c r="E51" s="9" t="s">
        <v>3146</v>
      </c>
      <c r="G51" s="5" t="s">
        <v>253</v>
      </c>
      <c r="H51" s="9" t="s">
        <v>254</v>
      </c>
    </row>
    <row r="52" spans="1:8">
      <c r="A52" s="8" t="s">
        <v>3039</v>
      </c>
      <c r="B52" s="9" t="s">
        <v>2940</v>
      </c>
      <c r="D52" s="10" t="s">
        <v>3543</v>
      </c>
      <c r="E52" s="9" t="s">
        <v>3147</v>
      </c>
      <c r="G52" s="5" t="s">
        <v>255</v>
      </c>
      <c r="H52" s="9" t="s">
        <v>256</v>
      </c>
    </row>
    <row r="53" spans="1:8">
      <c r="A53" s="8" t="s">
        <v>3040</v>
      </c>
      <c r="B53" s="9" t="s">
        <v>2941</v>
      </c>
      <c r="D53" s="10" t="s">
        <v>3544</v>
      </c>
      <c r="E53" s="9" t="s">
        <v>3148</v>
      </c>
      <c r="G53" s="5" t="s">
        <v>257</v>
      </c>
      <c r="H53" s="9" t="s">
        <v>258</v>
      </c>
    </row>
    <row r="54" spans="1:8">
      <c r="A54" s="8" t="s">
        <v>3041</v>
      </c>
      <c r="B54" s="9" t="s">
        <v>2983</v>
      </c>
      <c r="D54" s="10" t="s">
        <v>3545</v>
      </c>
      <c r="E54" s="9" t="s">
        <v>3149</v>
      </c>
      <c r="G54" s="5" t="s">
        <v>259</v>
      </c>
      <c r="H54" s="9" t="s">
        <v>260</v>
      </c>
    </row>
    <row r="55" spans="1:8">
      <c r="A55" s="8" t="s">
        <v>3042</v>
      </c>
      <c r="B55" s="9" t="s">
        <v>2942</v>
      </c>
      <c r="D55" s="10" t="s">
        <v>3546</v>
      </c>
      <c r="E55" s="9" t="s">
        <v>3150</v>
      </c>
      <c r="G55" s="5" t="s">
        <v>261</v>
      </c>
      <c r="H55" s="9" t="s">
        <v>262</v>
      </c>
    </row>
    <row r="56" spans="1:8">
      <c r="A56" s="8" t="s">
        <v>3043</v>
      </c>
      <c r="B56" s="9" t="s">
        <v>2943</v>
      </c>
      <c r="D56" s="10" t="s">
        <v>3547</v>
      </c>
      <c r="E56" s="9" t="s">
        <v>3151</v>
      </c>
      <c r="G56" s="5" t="s">
        <v>263</v>
      </c>
      <c r="H56" s="9" t="s">
        <v>162</v>
      </c>
    </row>
    <row r="57" spans="1:8">
      <c r="A57" s="8" t="s">
        <v>3044</v>
      </c>
      <c r="B57" s="9" t="s">
        <v>2944</v>
      </c>
      <c r="D57" s="10" t="s">
        <v>3548</v>
      </c>
      <c r="E57" s="9" t="s">
        <v>3152</v>
      </c>
      <c r="G57" s="5" t="s">
        <v>264</v>
      </c>
      <c r="H57" s="9" t="s">
        <v>164</v>
      </c>
    </row>
    <row r="58" spans="1:8">
      <c r="A58" s="8" t="s">
        <v>3045</v>
      </c>
      <c r="B58" s="9" t="s">
        <v>2945</v>
      </c>
      <c r="D58" s="10" t="s">
        <v>3549</v>
      </c>
      <c r="E58" s="9" t="s">
        <v>3153</v>
      </c>
      <c r="G58" s="5" t="s">
        <v>265</v>
      </c>
      <c r="H58" s="9" t="s">
        <v>266</v>
      </c>
    </row>
    <row r="59" spans="1:8">
      <c r="A59" s="8" t="s">
        <v>3046</v>
      </c>
      <c r="B59" s="9" t="s">
        <v>2946</v>
      </c>
      <c r="D59" s="11" t="s">
        <v>3553</v>
      </c>
      <c r="E59" s="9" t="s">
        <v>3154</v>
      </c>
      <c r="G59" s="5" t="s">
        <v>267</v>
      </c>
      <c r="H59" s="9" t="s">
        <v>268</v>
      </c>
    </row>
    <row r="60" spans="1:8">
      <c r="A60" s="8" t="s">
        <v>3047</v>
      </c>
      <c r="B60" s="9" t="s">
        <v>2947</v>
      </c>
      <c r="D60" s="11" t="s">
        <v>3554</v>
      </c>
      <c r="E60" s="9" t="s">
        <v>516</v>
      </c>
      <c r="G60" s="5" t="s">
        <v>269</v>
      </c>
      <c r="H60" s="9" t="s">
        <v>270</v>
      </c>
    </row>
    <row r="61" spans="1:8">
      <c r="A61" s="8" t="s">
        <v>3048</v>
      </c>
      <c r="B61" s="9" t="s">
        <v>2948</v>
      </c>
      <c r="D61" s="11" t="s">
        <v>3555</v>
      </c>
      <c r="E61" s="9" t="s">
        <v>3155</v>
      </c>
      <c r="G61" s="5" t="s">
        <v>271</v>
      </c>
      <c r="H61" s="9" t="s">
        <v>272</v>
      </c>
    </row>
    <row r="62" spans="1:8">
      <c r="A62" s="8" t="s">
        <v>3049</v>
      </c>
      <c r="B62" s="9" t="s">
        <v>2949</v>
      </c>
      <c r="D62" s="11" t="s">
        <v>3556</v>
      </c>
      <c r="E62" s="9" t="s">
        <v>3156</v>
      </c>
      <c r="G62" s="5" t="s">
        <v>273</v>
      </c>
      <c r="H62" s="9" t="s">
        <v>274</v>
      </c>
    </row>
    <row r="63" spans="1:8">
      <c r="A63" s="8" t="s">
        <v>3050</v>
      </c>
      <c r="B63" s="9" t="s">
        <v>2950</v>
      </c>
      <c r="D63" s="11" t="s">
        <v>3557</v>
      </c>
      <c r="E63" s="9" t="s">
        <v>530</v>
      </c>
      <c r="G63" s="5" t="s">
        <v>275</v>
      </c>
      <c r="H63" s="9" t="s">
        <v>276</v>
      </c>
    </row>
    <row r="64" spans="1:8">
      <c r="A64" s="8" t="s">
        <v>3051</v>
      </c>
      <c r="B64" s="9" t="s">
        <v>2951</v>
      </c>
      <c r="D64" s="11" t="s">
        <v>3558</v>
      </c>
      <c r="E64" s="9" t="s">
        <v>3157</v>
      </c>
      <c r="G64" s="5" t="s">
        <v>277</v>
      </c>
      <c r="H64" s="9" t="s">
        <v>278</v>
      </c>
    </row>
    <row r="65" spans="1:8">
      <c r="A65" s="8" t="s">
        <v>3052</v>
      </c>
      <c r="B65" s="9" t="s">
        <v>2984</v>
      </c>
      <c r="D65" s="11" t="s">
        <v>3559</v>
      </c>
      <c r="E65" s="9" t="s">
        <v>3158</v>
      </c>
      <c r="G65" s="5" t="s">
        <v>279</v>
      </c>
      <c r="H65" s="9" t="s">
        <v>280</v>
      </c>
    </row>
    <row r="66" spans="1:8">
      <c r="A66" s="8" t="s">
        <v>3053</v>
      </c>
      <c r="B66" s="9" t="s">
        <v>2985</v>
      </c>
      <c r="D66" s="11" t="s">
        <v>3560</v>
      </c>
      <c r="E66" s="9" t="s">
        <v>3159</v>
      </c>
      <c r="G66" s="5" t="s">
        <v>281</v>
      </c>
      <c r="H66" s="9" t="s">
        <v>282</v>
      </c>
    </row>
    <row r="67" spans="1:8">
      <c r="A67" s="8" t="s">
        <v>3054</v>
      </c>
      <c r="B67" s="9" t="s">
        <v>2952</v>
      </c>
      <c r="D67" s="11" t="s">
        <v>3561</v>
      </c>
      <c r="E67" s="9" t="s">
        <v>3160</v>
      </c>
      <c r="G67" s="5" t="s">
        <v>283</v>
      </c>
      <c r="H67" s="9" t="s">
        <v>284</v>
      </c>
    </row>
    <row r="68" spans="1:8">
      <c r="A68" s="8" t="s">
        <v>3055</v>
      </c>
      <c r="B68" s="9" t="s">
        <v>2986</v>
      </c>
      <c r="D68" s="11" t="s">
        <v>3562</v>
      </c>
      <c r="E68" s="9" t="s">
        <v>3161</v>
      </c>
      <c r="G68" s="5" t="s">
        <v>285</v>
      </c>
      <c r="H68" s="9" t="s">
        <v>286</v>
      </c>
    </row>
    <row r="69" spans="1:8">
      <c r="A69" s="8" t="s">
        <v>3056</v>
      </c>
      <c r="B69" s="9" t="s">
        <v>2953</v>
      </c>
      <c r="D69" s="11" t="s">
        <v>3563</v>
      </c>
      <c r="E69" s="9" t="s">
        <v>3162</v>
      </c>
      <c r="G69" s="5" t="s">
        <v>287</v>
      </c>
      <c r="H69" s="9" t="s">
        <v>288</v>
      </c>
    </row>
    <row r="70" spans="1:8">
      <c r="A70" s="8" t="s">
        <v>3057</v>
      </c>
      <c r="B70" s="9" t="s">
        <v>2954</v>
      </c>
      <c r="D70" s="11" t="s">
        <v>3564</v>
      </c>
      <c r="E70" s="9" t="s">
        <v>3163</v>
      </c>
      <c r="G70" s="5" t="s">
        <v>289</v>
      </c>
      <c r="H70" s="9" t="s">
        <v>290</v>
      </c>
    </row>
    <row r="71" spans="1:8">
      <c r="A71" s="8" t="s">
        <v>3058</v>
      </c>
      <c r="B71" s="9" t="s">
        <v>2955</v>
      </c>
      <c r="D71" s="11" t="s">
        <v>3565</v>
      </c>
      <c r="E71" s="9" t="s">
        <v>3164</v>
      </c>
      <c r="G71" s="5" t="s">
        <v>291</v>
      </c>
      <c r="H71" s="9" t="s">
        <v>292</v>
      </c>
    </row>
    <row r="72" spans="1:8">
      <c r="A72" s="8" t="s">
        <v>3059</v>
      </c>
      <c r="B72" s="9" t="s">
        <v>2956</v>
      </c>
      <c r="D72" s="11" t="s">
        <v>3566</v>
      </c>
      <c r="E72" s="9" t="s">
        <v>3165</v>
      </c>
      <c r="G72" s="5" t="s">
        <v>293</v>
      </c>
      <c r="H72" s="9" t="s">
        <v>294</v>
      </c>
    </row>
    <row r="73" spans="1:8">
      <c r="A73" s="8" t="s">
        <v>3060</v>
      </c>
      <c r="B73" s="9" t="s">
        <v>2957</v>
      </c>
      <c r="D73" s="11" t="s">
        <v>3567</v>
      </c>
      <c r="E73" s="9" t="s">
        <v>3166</v>
      </c>
      <c r="G73" s="5" t="s">
        <v>295</v>
      </c>
      <c r="H73" s="9" t="s">
        <v>296</v>
      </c>
    </row>
    <row r="74" spans="1:8">
      <c r="A74" s="8" t="s">
        <v>3061</v>
      </c>
      <c r="B74" s="9" t="s">
        <v>2388</v>
      </c>
      <c r="D74" s="11" t="s">
        <v>3568</v>
      </c>
      <c r="E74" s="9" t="s">
        <v>3167</v>
      </c>
      <c r="G74" s="5" t="s">
        <v>297</v>
      </c>
      <c r="H74" s="9" t="s">
        <v>298</v>
      </c>
    </row>
    <row r="75" spans="1:8">
      <c r="A75" s="8" t="s">
        <v>3062</v>
      </c>
      <c r="B75" s="9" t="s">
        <v>2958</v>
      </c>
      <c r="D75" s="11" t="s">
        <v>3569</v>
      </c>
      <c r="E75" s="9" t="s">
        <v>3168</v>
      </c>
      <c r="G75" s="5" t="s">
        <v>299</v>
      </c>
      <c r="H75" s="9" t="s">
        <v>300</v>
      </c>
    </row>
    <row r="76" spans="1:8">
      <c r="A76" s="8" t="s">
        <v>3063</v>
      </c>
      <c r="B76" s="9" t="s">
        <v>3099</v>
      </c>
      <c r="D76" s="11" t="s">
        <v>3570</v>
      </c>
      <c r="E76" s="9" t="s">
        <v>3169</v>
      </c>
      <c r="G76" s="5" t="s">
        <v>301</v>
      </c>
      <c r="H76" s="9" t="s">
        <v>302</v>
      </c>
    </row>
    <row r="77" spans="1:8">
      <c r="A77" s="8" t="s">
        <v>3064</v>
      </c>
      <c r="B77" s="9" t="s">
        <v>2959</v>
      </c>
      <c r="D77" s="11" t="s">
        <v>3571</v>
      </c>
      <c r="E77" s="9" t="s">
        <v>3170</v>
      </c>
      <c r="G77" s="5" t="s">
        <v>303</v>
      </c>
      <c r="H77" s="9" t="s">
        <v>304</v>
      </c>
    </row>
    <row r="78" spans="1:8">
      <c r="A78" s="8" t="s">
        <v>3065</v>
      </c>
      <c r="B78" s="9" t="s">
        <v>2960</v>
      </c>
      <c r="D78" s="11" t="s">
        <v>3572</v>
      </c>
      <c r="E78" s="9" t="s">
        <v>3171</v>
      </c>
      <c r="G78" s="5" t="s">
        <v>305</v>
      </c>
      <c r="H78" s="9" t="s">
        <v>306</v>
      </c>
    </row>
    <row r="79" spans="1:8">
      <c r="A79" s="8" t="s">
        <v>3066</v>
      </c>
      <c r="B79" s="9" t="s">
        <v>2961</v>
      </c>
      <c r="D79" s="11" t="s">
        <v>3573</v>
      </c>
      <c r="E79" s="9" t="s">
        <v>3172</v>
      </c>
      <c r="G79" s="5" t="s">
        <v>307</v>
      </c>
      <c r="H79" s="9" t="s">
        <v>308</v>
      </c>
    </row>
    <row r="80" spans="1:8">
      <c r="A80" s="8" t="s">
        <v>3067</v>
      </c>
      <c r="B80" s="9" t="s">
        <v>2962</v>
      </c>
      <c r="D80" s="11" t="s">
        <v>3574</v>
      </c>
      <c r="E80" s="9" t="s">
        <v>3173</v>
      </c>
      <c r="G80" s="5" t="s">
        <v>309</v>
      </c>
      <c r="H80" s="9" t="s">
        <v>310</v>
      </c>
    </row>
    <row r="81" spans="1:8">
      <c r="A81" s="8" t="s">
        <v>3068</v>
      </c>
      <c r="B81" s="9" t="s">
        <v>2963</v>
      </c>
      <c r="D81" s="11" t="s">
        <v>3575</v>
      </c>
      <c r="E81" s="9" t="s">
        <v>3174</v>
      </c>
      <c r="G81" s="5" t="s">
        <v>311</v>
      </c>
      <c r="H81" s="9" t="s">
        <v>312</v>
      </c>
    </row>
    <row r="82" spans="1:8">
      <c r="A82" s="8" t="s">
        <v>3069</v>
      </c>
      <c r="B82" s="9" t="s">
        <v>2964</v>
      </c>
      <c r="D82" s="11" t="s">
        <v>3576</v>
      </c>
      <c r="E82" s="9" t="s">
        <v>3175</v>
      </c>
      <c r="G82" s="5" t="s">
        <v>313</v>
      </c>
      <c r="H82" s="9" t="s">
        <v>314</v>
      </c>
    </row>
    <row r="83" spans="1:8">
      <c r="A83" s="8" t="s">
        <v>3070</v>
      </c>
      <c r="B83" s="9" t="s">
        <v>2987</v>
      </c>
      <c r="D83" s="11" t="s">
        <v>3577</v>
      </c>
      <c r="E83" s="9" t="s">
        <v>717</v>
      </c>
      <c r="G83" s="5" t="s">
        <v>315</v>
      </c>
      <c r="H83" s="9" t="s">
        <v>316</v>
      </c>
    </row>
    <row r="84" spans="1:8">
      <c r="A84" s="8" t="s">
        <v>3071</v>
      </c>
      <c r="B84" s="9" t="s">
        <v>2965</v>
      </c>
      <c r="D84" s="11" t="s">
        <v>3578</v>
      </c>
      <c r="E84" s="9" t="s">
        <v>719</v>
      </c>
      <c r="G84" s="5" t="s">
        <v>317</v>
      </c>
      <c r="H84" s="9" t="s">
        <v>318</v>
      </c>
    </row>
    <row r="85" spans="1:8">
      <c r="A85" s="8" t="s">
        <v>3072</v>
      </c>
      <c r="B85" s="9" t="s">
        <v>2966</v>
      </c>
      <c r="D85" s="11" t="s">
        <v>3579</v>
      </c>
      <c r="E85" s="9" t="s">
        <v>3176</v>
      </c>
      <c r="G85" s="5" t="s">
        <v>319</v>
      </c>
      <c r="H85" s="9" t="s">
        <v>320</v>
      </c>
    </row>
    <row r="86" spans="1:8">
      <c r="A86" s="8" t="s">
        <v>3073</v>
      </c>
      <c r="B86" s="9" t="s">
        <v>2967</v>
      </c>
      <c r="D86" s="11" t="s">
        <v>3580</v>
      </c>
      <c r="E86" s="9" t="s">
        <v>3177</v>
      </c>
      <c r="G86" s="5" t="s">
        <v>321</v>
      </c>
      <c r="H86" s="9" t="s">
        <v>322</v>
      </c>
    </row>
    <row r="87" spans="1:8">
      <c r="A87" s="8" t="s">
        <v>3074</v>
      </c>
      <c r="B87" s="9" t="s">
        <v>2741</v>
      </c>
      <c r="D87" s="11" t="s">
        <v>3581</v>
      </c>
      <c r="E87" s="9" t="s">
        <v>731</v>
      </c>
      <c r="G87" s="5" t="s">
        <v>323</v>
      </c>
      <c r="H87" s="9" t="s">
        <v>324</v>
      </c>
    </row>
    <row r="88" spans="1:8">
      <c r="A88" s="8" t="s">
        <v>3075</v>
      </c>
      <c r="B88" s="9" t="s">
        <v>2968</v>
      </c>
      <c r="D88" s="11" t="s">
        <v>3582</v>
      </c>
      <c r="E88" s="9" t="s">
        <v>3178</v>
      </c>
      <c r="G88" s="5" t="s">
        <v>325</v>
      </c>
      <c r="H88" s="9" t="s">
        <v>162</v>
      </c>
    </row>
    <row r="89" spans="1:8">
      <c r="A89" s="8" t="s">
        <v>3076</v>
      </c>
      <c r="B89" s="9" t="s">
        <v>2969</v>
      </c>
      <c r="D89" s="11" t="s">
        <v>3583</v>
      </c>
      <c r="E89" s="9" t="s">
        <v>3179</v>
      </c>
      <c r="G89" s="5" t="s">
        <v>326</v>
      </c>
      <c r="H89" s="9" t="s">
        <v>164</v>
      </c>
    </row>
    <row r="90" spans="1:8">
      <c r="A90" s="8" t="s">
        <v>3077</v>
      </c>
      <c r="B90" s="9" t="s">
        <v>2970</v>
      </c>
      <c r="D90" s="11" t="s">
        <v>3584</v>
      </c>
      <c r="E90" s="9" t="s">
        <v>3180</v>
      </c>
      <c r="G90" s="5" t="s">
        <v>327</v>
      </c>
      <c r="H90" s="9" t="s">
        <v>328</v>
      </c>
    </row>
    <row r="91" spans="1:8">
      <c r="A91" s="8" t="s">
        <v>3078</v>
      </c>
      <c r="B91" s="9" t="s">
        <v>2971</v>
      </c>
      <c r="D91" s="11" t="s">
        <v>3585</v>
      </c>
      <c r="E91" s="9" t="s">
        <v>3181</v>
      </c>
      <c r="G91" s="5" t="s">
        <v>329</v>
      </c>
      <c r="H91" s="9" t="s">
        <v>330</v>
      </c>
    </row>
    <row r="92" spans="1:8">
      <c r="A92" s="8" t="s">
        <v>3079</v>
      </c>
      <c r="B92" s="9" t="s">
        <v>2972</v>
      </c>
      <c r="D92" s="11" t="s">
        <v>3586</v>
      </c>
      <c r="E92" s="9" t="s">
        <v>761</v>
      </c>
      <c r="G92" s="5" t="s">
        <v>331</v>
      </c>
      <c r="H92" s="9" t="s">
        <v>332</v>
      </c>
    </row>
    <row r="93" spans="1:8">
      <c r="A93" s="8" t="s">
        <v>3080</v>
      </c>
      <c r="B93" s="9" t="s">
        <v>2973</v>
      </c>
      <c r="D93" s="11" t="s">
        <v>3587</v>
      </c>
      <c r="E93" s="9" t="s">
        <v>3182</v>
      </c>
      <c r="G93" s="5" t="s">
        <v>333</v>
      </c>
      <c r="H93" s="9" t="s">
        <v>334</v>
      </c>
    </row>
    <row r="94" spans="1:8">
      <c r="A94" s="8" t="s">
        <v>3081</v>
      </c>
      <c r="B94" s="9" t="s">
        <v>2974</v>
      </c>
      <c r="D94" s="11" t="s">
        <v>3588</v>
      </c>
      <c r="E94" s="9" t="s">
        <v>3183</v>
      </c>
      <c r="G94" s="5" t="s">
        <v>335</v>
      </c>
      <c r="H94" s="9" t="s">
        <v>336</v>
      </c>
    </row>
    <row r="95" spans="1:8">
      <c r="A95" s="8" t="s">
        <v>3082</v>
      </c>
      <c r="B95" s="9" t="s">
        <v>2975</v>
      </c>
      <c r="D95" s="11" t="s">
        <v>3589</v>
      </c>
      <c r="E95" s="9" t="s">
        <v>771</v>
      </c>
      <c r="G95" s="5" t="s">
        <v>337</v>
      </c>
      <c r="H95" s="9" t="s">
        <v>338</v>
      </c>
    </row>
    <row r="96" spans="1:8">
      <c r="A96" s="8" t="s">
        <v>3083</v>
      </c>
      <c r="B96" s="9" t="s">
        <v>2976</v>
      </c>
      <c r="D96" s="11" t="s">
        <v>3590</v>
      </c>
      <c r="E96" s="9" t="s">
        <v>3184</v>
      </c>
      <c r="G96" s="5" t="s">
        <v>339</v>
      </c>
      <c r="H96" s="9" t="s">
        <v>340</v>
      </c>
    </row>
    <row r="97" spans="1:8">
      <c r="A97" s="8" t="s">
        <v>3084</v>
      </c>
      <c r="B97" s="9" t="s">
        <v>2977</v>
      </c>
      <c r="D97" s="11" t="s">
        <v>3591</v>
      </c>
      <c r="E97" s="9" t="s">
        <v>777</v>
      </c>
      <c r="G97" s="5" t="s">
        <v>341</v>
      </c>
      <c r="H97" s="9" t="s">
        <v>342</v>
      </c>
    </row>
    <row r="98" spans="1:8">
      <c r="A98" s="8" t="s">
        <v>3085</v>
      </c>
      <c r="B98" s="9" t="s">
        <v>2978</v>
      </c>
      <c r="D98" s="11" t="s">
        <v>3592</v>
      </c>
      <c r="E98" s="9" t="s">
        <v>3185</v>
      </c>
      <c r="G98" s="5" t="s">
        <v>343</v>
      </c>
      <c r="H98" s="9" t="s">
        <v>162</v>
      </c>
    </row>
    <row r="99" spans="1:8">
      <c r="A99" s="8" t="s">
        <v>3086</v>
      </c>
      <c r="B99" s="9" t="s">
        <v>2979</v>
      </c>
      <c r="D99" s="11" t="s">
        <v>3593</v>
      </c>
      <c r="E99" s="9" t="s">
        <v>3186</v>
      </c>
      <c r="G99" s="5" t="s">
        <v>344</v>
      </c>
      <c r="H99" s="9" t="s">
        <v>164</v>
      </c>
    </row>
    <row r="100" spans="1:8">
      <c r="A100" s="8" t="s">
        <v>3087</v>
      </c>
      <c r="B100" s="9" t="s">
        <v>2980</v>
      </c>
      <c r="D100" s="11" t="s">
        <v>3594</v>
      </c>
      <c r="E100" s="9" t="s">
        <v>3187</v>
      </c>
      <c r="G100" s="5" t="s">
        <v>345</v>
      </c>
      <c r="H100" s="9" t="s">
        <v>346</v>
      </c>
    </row>
    <row r="101" spans="1:8">
      <c r="D101" s="11" t="s">
        <v>3595</v>
      </c>
      <c r="E101" s="9" t="s">
        <v>3188</v>
      </c>
      <c r="G101" s="5" t="s">
        <v>347</v>
      </c>
      <c r="H101" s="9" t="s">
        <v>348</v>
      </c>
    </row>
    <row r="102" spans="1:8">
      <c r="D102" s="11" t="s">
        <v>3596</v>
      </c>
      <c r="E102" s="9" t="s">
        <v>3189</v>
      </c>
      <c r="G102" s="5" t="s">
        <v>349</v>
      </c>
      <c r="H102" s="9" t="s">
        <v>350</v>
      </c>
    </row>
    <row r="103" spans="1:8">
      <c r="D103" s="11" t="s">
        <v>3597</v>
      </c>
      <c r="E103" s="9" t="s">
        <v>3190</v>
      </c>
      <c r="G103" s="5" t="s">
        <v>351</v>
      </c>
      <c r="H103" s="9" t="s">
        <v>352</v>
      </c>
    </row>
    <row r="104" spans="1:8">
      <c r="D104" s="11" t="s">
        <v>3598</v>
      </c>
      <c r="E104" s="9" t="s">
        <v>3191</v>
      </c>
      <c r="G104" s="5" t="s">
        <v>353</v>
      </c>
      <c r="H104" s="9" t="s">
        <v>354</v>
      </c>
    </row>
    <row r="105" spans="1:8">
      <c r="D105" s="11" t="s">
        <v>3599</v>
      </c>
      <c r="E105" s="9" t="s">
        <v>3192</v>
      </c>
      <c r="G105" s="5" t="s">
        <v>355</v>
      </c>
      <c r="H105" s="9" t="s">
        <v>356</v>
      </c>
    </row>
    <row r="106" spans="1:8">
      <c r="D106" s="11" t="s">
        <v>3600</v>
      </c>
      <c r="E106" s="9" t="s">
        <v>3193</v>
      </c>
      <c r="G106" s="5" t="s">
        <v>357</v>
      </c>
      <c r="H106" s="9" t="s">
        <v>358</v>
      </c>
    </row>
    <row r="107" spans="1:8">
      <c r="D107" s="11" t="s">
        <v>3601</v>
      </c>
      <c r="E107" s="9" t="s">
        <v>859</v>
      </c>
      <c r="G107" s="5" t="s">
        <v>359</v>
      </c>
      <c r="H107" s="9" t="s">
        <v>360</v>
      </c>
    </row>
    <row r="108" spans="1:8">
      <c r="D108" s="11" t="s">
        <v>3602</v>
      </c>
      <c r="E108" s="9" t="s">
        <v>861</v>
      </c>
      <c r="G108" s="5" t="s">
        <v>361</v>
      </c>
      <c r="H108" s="9" t="s">
        <v>362</v>
      </c>
    </row>
    <row r="109" spans="1:8">
      <c r="D109" s="11" t="s">
        <v>3603</v>
      </c>
      <c r="E109" s="9" t="s">
        <v>863</v>
      </c>
      <c r="G109" s="5" t="s">
        <v>363</v>
      </c>
      <c r="H109" s="9" t="s">
        <v>364</v>
      </c>
    </row>
    <row r="110" spans="1:8">
      <c r="D110" s="11" t="s">
        <v>3604</v>
      </c>
      <c r="E110" s="9" t="s">
        <v>865</v>
      </c>
      <c r="G110" s="5" t="s">
        <v>365</v>
      </c>
      <c r="H110" s="9" t="s">
        <v>366</v>
      </c>
    </row>
    <row r="111" spans="1:8">
      <c r="D111" s="11" t="s">
        <v>3605</v>
      </c>
      <c r="E111" s="9" t="s">
        <v>867</v>
      </c>
      <c r="G111" s="5" t="s">
        <v>367</v>
      </c>
      <c r="H111" s="9" t="s">
        <v>368</v>
      </c>
    </row>
    <row r="112" spans="1:8">
      <c r="D112" s="11" t="s">
        <v>3606</v>
      </c>
      <c r="E112" s="9" t="s">
        <v>3194</v>
      </c>
      <c r="G112" s="5" t="s">
        <v>369</v>
      </c>
      <c r="H112" s="9" t="s">
        <v>370</v>
      </c>
    </row>
    <row r="113" spans="4:8">
      <c r="D113" s="11" t="s">
        <v>3607</v>
      </c>
      <c r="E113" s="9" t="s">
        <v>3195</v>
      </c>
      <c r="G113" s="5" t="s">
        <v>371</v>
      </c>
      <c r="H113" s="9" t="s">
        <v>372</v>
      </c>
    </row>
    <row r="114" spans="4:8">
      <c r="D114" s="11" t="s">
        <v>3608</v>
      </c>
      <c r="E114" s="9" t="s">
        <v>3196</v>
      </c>
      <c r="G114" s="5" t="s">
        <v>373</v>
      </c>
      <c r="H114" s="9" t="s">
        <v>374</v>
      </c>
    </row>
    <row r="115" spans="4:8">
      <c r="D115" s="11" t="s">
        <v>3609</v>
      </c>
      <c r="E115" s="9" t="s">
        <v>3197</v>
      </c>
      <c r="G115" s="5" t="s">
        <v>375</v>
      </c>
      <c r="H115" s="9" t="s">
        <v>376</v>
      </c>
    </row>
    <row r="116" spans="4:8">
      <c r="D116" s="11" t="s">
        <v>3610</v>
      </c>
      <c r="E116" s="9" t="s">
        <v>3198</v>
      </c>
      <c r="G116" s="5" t="s">
        <v>377</v>
      </c>
      <c r="H116" s="9" t="s">
        <v>378</v>
      </c>
    </row>
    <row r="117" spans="4:8">
      <c r="D117" s="11" t="s">
        <v>3611</v>
      </c>
      <c r="E117" s="9" t="s">
        <v>3199</v>
      </c>
      <c r="G117" s="5" t="s">
        <v>379</v>
      </c>
      <c r="H117" s="9" t="s">
        <v>380</v>
      </c>
    </row>
    <row r="118" spans="4:8">
      <c r="D118" s="11" t="s">
        <v>3612</v>
      </c>
      <c r="E118" s="9" t="s">
        <v>3200</v>
      </c>
      <c r="G118" s="5" t="s">
        <v>381</v>
      </c>
      <c r="H118" s="9" t="s">
        <v>382</v>
      </c>
    </row>
    <row r="119" spans="4:8">
      <c r="D119" s="11" t="s">
        <v>3613</v>
      </c>
      <c r="E119" s="9" t="s">
        <v>3201</v>
      </c>
      <c r="G119" s="5" t="s">
        <v>383</v>
      </c>
      <c r="H119" s="9" t="s">
        <v>384</v>
      </c>
    </row>
    <row r="120" spans="4:8">
      <c r="D120" s="11" t="s">
        <v>3614</v>
      </c>
      <c r="E120" s="9" t="s">
        <v>3202</v>
      </c>
      <c r="G120" s="5" t="s">
        <v>385</v>
      </c>
      <c r="H120" s="9" t="s">
        <v>386</v>
      </c>
    </row>
    <row r="121" spans="4:8">
      <c r="D121" s="11" t="s">
        <v>3615</v>
      </c>
      <c r="E121" s="9" t="s">
        <v>3203</v>
      </c>
      <c r="G121" s="5" t="s">
        <v>387</v>
      </c>
      <c r="H121" s="9" t="s">
        <v>388</v>
      </c>
    </row>
    <row r="122" spans="4:8">
      <c r="D122" s="11" t="s">
        <v>3616</v>
      </c>
      <c r="E122" s="9" t="s">
        <v>3204</v>
      </c>
      <c r="G122" s="5" t="s">
        <v>389</v>
      </c>
      <c r="H122" s="9" t="s">
        <v>390</v>
      </c>
    </row>
    <row r="123" spans="4:8">
      <c r="D123" s="11" t="s">
        <v>3617</v>
      </c>
      <c r="E123" s="9" t="s">
        <v>3205</v>
      </c>
      <c r="G123" s="5" t="s">
        <v>391</v>
      </c>
      <c r="H123" s="9" t="s">
        <v>392</v>
      </c>
    </row>
    <row r="124" spans="4:8">
      <c r="D124" s="11" t="s">
        <v>3618</v>
      </c>
      <c r="E124" s="9" t="s">
        <v>3206</v>
      </c>
      <c r="G124" s="5" t="s">
        <v>393</v>
      </c>
      <c r="H124" s="9" t="s">
        <v>394</v>
      </c>
    </row>
    <row r="125" spans="4:8">
      <c r="D125" s="11" t="s">
        <v>3619</v>
      </c>
      <c r="E125" s="9" t="s">
        <v>951</v>
      </c>
      <c r="G125" s="5" t="s">
        <v>395</v>
      </c>
      <c r="H125" s="9" t="s">
        <v>396</v>
      </c>
    </row>
    <row r="126" spans="4:8">
      <c r="D126" s="11" t="s">
        <v>3620</v>
      </c>
      <c r="E126" s="9" t="s">
        <v>953</v>
      </c>
      <c r="G126" s="5" t="s">
        <v>397</v>
      </c>
      <c r="H126" s="9" t="s">
        <v>162</v>
      </c>
    </row>
    <row r="127" spans="4:8">
      <c r="D127" s="11" t="s">
        <v>3621</v>
      </c>
      <c r="E127" s="9" t="s">
        <v>955</v>
      </c>
      <c r="G127" s="5" t="s">
        <v>398</v>
      </c>
      <c r="H127" s="9" t="s">
        <v>164</v>
      </c>
    </row>
    <row r="128" spans="4:8">
      <c r="D128" s="11" t="s">
        <v>3622</v>
      </c>
      <c r="E128" s="9" t="s">
        <v>957</v>
      </c>
      <c r="G128" s="5" t="s">
        <v>399</v>
      </c>
      <c r="H128" s="9" t="s">
        <v>400</v>
      </c>
    </row>
    <row r="129" spans="4:8">
      <c r="D129" s="11" t="s">
        <v>3623</v>
      </c>
      <c r="E129" s="9" t="s">
        <v>959</v>
      </c>
      <c r="G129" s="5" t="s">
        <v>401</v>
      </c>
      <c r="H129" s="9" t="s">
        <v>402</v>
      </c>
    </row>
    <row r="130" spans="4:8">
      <c r="D130" s="11" t="s">
        <v>3624</v>
      </c>
      <c r="E130" s="9" t="s">
        <v>961</v>
      </c>
      <c r="G130" s="5" t="s">
        <v>403</v>
      </c>
      <c r="H130" s="9" t="s">
        <v>404</v>
      </c>
    </row>
    <row r="131" spans="4:8">
      <c r="D131" s="11" t="s">
        <v>3625</v>
      </c>
      <c r="E131" s="9" t="s">
        <v>3207</v>
      </c>
      <c r="G131" s="5" t="s">
        <v>405</v>
      </c>
      <c r="H131" s="9" t="s">
        <v>406</v>
      </c>
    </row>
    <row r="132" spans="4:8">
      <c r="D132" s="11" t="s">
        <v>3626</v>
      </c>
      <c r="E132" s="9" t="s">
        <v>967</v>
      </c>
      <c r="G132" s="5" t="s">
        <v>407</v>
      </c>
      <c r="H132" s="9" t="s">
        <v>408</v>
      </c>
    </row>
    <row r="133" spans="4:8">
      <c r="D133" s="11" t="s">
        <v>3627</v>
      </c>
      <c r="E133" s="9" t="s">
        <v>969</v>
      </c>
      <c r="G133" s="5" t="s">
        <v>409</v>
      </c>
      <c r="H133" s="9" t="s">
        <v>410</v>
      </c>
    </row>
    <row r="134" spans="4:8">
      <c r="D134" s="11" t="s">
        <v>3628</v>
      </c>
      <c r="E134" s="9" t="s">
        <v>3208</v>
      </c>
      <c r="G134" s="5" t="s">
        <v>411</v>
      </c>
      <c r="H134" s="9" t="s">
        <v>412</v>
      </c>
    </row>
    <row r="135" spans="4:8">
      <c r="D135" s="11" t="s">
        <v>3629</v>
      </c>
      <c r="E135" s="9" t="s">
        <v>3209</v>
      </c>
      <c r="G135" s="5" t="s">
        <v>413</v>
      </c>
      <c r="H135" s="9" t="s">
        <v>414</v>
      </c>
    </row>
    <row r="136" spans="4:8">
      <c r="D136" s="11" t="s">
        <v>3630</v>
      </c>
      <c r="E136" s="9" t="s">
        <v>3210</v>
      </c>
      <c r="G136" s="5" t="s">
        <v>415</v>
      </c>
      <c r="H136" s="9" t="s">
        <v>416</v>
      </c>
    </row>
    <row r="137" spans="4:8">
      <c r="D137" s="11" t="s">
        <v>3631</v>
      </c>
      <c r="E137" s="9" t="s">
        <v>3211</v>
      </c>
      <c r="G137" s="5" t="s">
        <v>417</v>
      </c>
      <c r="H137" s="9" t="s">
        <v>418</v>
      </c>
    </row>
    <row r="138" spans="4:8">
      <c r="D138" s="11" t="s">
        <v>3632</v>
      </c>
      <c r="E138" s="9" t="s">
        <v>3212</v>
      </c>
      <c r="G138" s="5" t="s">
        <v>419</v>
      </c>
      <c r="H138" s="9" t="s">
        <v>420</v>
      </c>
    </row>
    <row r="139" spans="4:8">
      <c r="D139" s="11" t="s">
        <v>3633</v>
      </c>
      <c r="E139" s="9" t="s">
        <v>3213</v>
      </c>
      <c r="G139" s="5" t="s">
        <v>421</v>
      </c>
      <c r="H139" s="9" t="s">
        <v>422</v>
      </c>
    </row>
    <row r="140" spans="4:8">
      <c r="D140" s="11" t="s">
        <v>3634</v>
      </c>
      <c r="E140" s="9" t="s">
        <v>3214</v>
      </c>
      <c r="G140" s="5" t="s">
        <v>423</v>
      </c>
      <c r="H140" s="9" t="s">
        <v>424</v>
      </c>
    </row>
    <row r="141" spans="4:8">
      <c r="D141" s="11" t="s">
        <v>3635</v>
      </c>
      <c r="E141" s="9" t="s">
        <v>3215</v>
      </c>
      <c r="G141" s="5" t="s">
        <v>425</v>
      </c>
      <c r="H141" s="9" t="s">
        <v>426</v>
      </c>
    </row>
    <row r="142" spans="4:8">
      <c r="D142" s="11" t="s">
        <v>3636</v>
      </c>
      <c r="E142" s="9" t="s">
        <v>3216</v>
      </c>
      <c r="G142" s="5" t="s">
        <v>427</v>
      </c>
      <c r="H142" s="9" t="s">
        <v>428</v>
      </c>
    </row>
    <row r="143" spans="4:8">
      <c r="D143" s="11" t="s">
        <v>3637</v>
      </c>
      <c r="E143" s="9" t="s">
        <v>3217</v>
      </c>
      <c r="G143" s="5" t="s">
        <v>429</v>
      </c>
      <c r="H143" s="9" t="s">
        <v>162</v>
      </c>
    </row>
    <row r="144" spans="4:8">
      <c r="D144" s="11" t="s">
        <v>3638</v>
      </c>
      <c r="E144" s="9" t="s">
        <v>3218</v>
      </c>
      <c r="G144" s="5" t="s">
        <v>430</v>
      </c>
      <c r="H144" s="9" t="s">
        <v>164</v>
      </c>
    </row>
    <row r="145" spans="4:8">
      <c r="D145" s="11" t="s">
        <v>3639</v>
      </c>
      <c r="E145" s="9" t="s">
        <v>3219</v>
      </c>
      <c r="G145" s="5" t="s">
        <v>431</v>
      </c>
      <c r="H145" s="9" t="s">
        <v>432</v>
      </c>
    </row>
    <row r="146" spans="4:8">
      <c r="D146" s="11" t="s">
        <v>3640</v>
      </c>
      <c r="E146" s="9" t="s">
        <v>1069</v>
      </c>
      <c r="G146" s="5" t="s">
        <v>433</v>
      </c>
      <c r="H146" s="9" t="s">
        <v>434</v>
      </c>
    </row>
    <row r="147" spans="4:8">
      <c r="D147" s="11" t="s">
        <v>3641</v>
      </c>
      <c r="E147" s="9" t="s">
        <v>3220</v>
      </c>
      <c r="G147" s="5" t="s">
        <v>435</v>
      </c>
      <c r="H147" s="9" t="s">
        <v>436</v>
      </c>
    </row>
    <row r="148" spans="4:8">
      <c r="D148" s="11" t="s">
        <v>3642</v>
      </c>
      <c r="E148" s="9" t="s">
        <v>3221</v>
      </c>
      <c r="G148" s="5" t="s">
        <v>437</v>
      </c>
      <c r="H148" s="9" t="s">
        <v>438</v>
      </c>
    </row>
    <row r="149" spans="4:8">
      <c r="D149" s="11" t="s">
        <v>3643</v>
      </c>
      <c r="E149" s="9" t="s">
        <v>3222</v>
      </c>
      <c r="G149" s="5" t="s">
        <v>439</v>
      </c>
      <c r="H149" s="9" t="s">
        <v>440</v>
      </c>
    </row>
    <row r="150" spans="4:8">
      <c r="D150" s="11" t="s">
        <v>3644</v>
      </c>
      <c r="E150" s="9" t="s">
        <v>3223</v>
      </c>
      <c r="G150" s="5" t="s">
        <v>441</v>
      </c>
      <c r="H150" s="9" t="s">
        <v>442</v>
      </c>
    </row>
    <row r="151" spans="4:8">
      <c r="D151" s="11" t="s">
        <v>3645</v>
      </c>
      <c r="E151" s="9" t="s">
        <v>3224</v>
      </c>
      <c r="G151" s="5" t="s">
        <v>443</v>
      </c>
      <c r="H151" s="9" t="s">
        <v>444</v>
      </c>
    </row>
    <row r="152" spans="4:8">
      <c r="D152" s="11" t="s">
        <v>3646</v>
      </c>
      <c r="E152" s="9" t="s">
        <v>3225</v>
      </c>
      <c r="G152" s="5" t="s">
        <v>445</v>
      </c>
      <c r="H152" s="9" t="s">
        <v>446</v>
      </c>
    </row>
    <row r="153" spans="4:8">
      <c r="D153" s="11" t="s">
        <v>3647</v>
      </c>
      <c r="E153" s="9" t="s">
        <v>3226</v>
      </c>
      <c r="G153" s="5" t="s">
        <v>447</v>
      </c>
      <c r="H153" s="9" t="s">
        <v>448</v>
      </c>
    </row>
    <row r="154" spans="4:8">
      <c r="D154" s="11" t="s">
        <v>3648</v>
      </c>
      <c r="E154" s="9" t="s">
        <v>3227</v>
      </c>
      <c r="G154" s="5" t="s">
        <v>449</v>
      </c>
      <c r="H154" s="9" t="s">
        <v>450</v>
      </c>
    </row>
    <row r="155" spans="4:8">
      <c r="D155" s="11" t="s">
        <v>3649</v>
      </c>
      <c r="E155" s="9" t="s">
        <v>3228</v>
      </c>
      <c r="G155" s="5" t="s">
        <v>451</v>
      </c>
      <c r="H155" s="9" t="s">
        <v>452</v>
      </c>
    </row>
    <row r="156" spans="4:8">
      <c r="D156" s="11" t="s">
        <v>3650</v>
      </c>
      <c r="E156" s="9" t="s">
        <v>3229</v>
      </c>
      <c r="G156" s="5" t="s">
        <v>453</v>
      </c>
      <c r="H156" s="9" t="s">
        <v>454</v>
      </c>
    </row>
    <row r="157" spans="4:8">
      <c r="D157" s="11" t="s">
        <v>3651</v>
      </c>
      <c r="E157" s="9" t="s">
        <v>3230</v>
      </c>
      <c r="G157" s="5" t="s">
        <v>455</v>
      </c>
      <c r="H157" s="9" t="s">
        <v>456</v>
      </c>
    </row>
    <row r="158" spans="4:8">
      <c r="D158" s="11" t="s">
        <v>3652</v>
      </c>
      <c r="E158" s="9" t="s">
        <v>3231</v>
      </c>
      <c r="G158" s="5" t="s">
        <v>457</v>
      </c>
      <c r="H158" s="9" t="s">
        <v>458</v>
      </c>
    </row>
    <row r="159" spans="4:8">
      <c r="D159" s="11" t="s">
        <v>3653</v>
      </c>
      <c r="E159" s="9" t="s">
        <v>1151</v>
      </c>
      <c r="G159" s="5" t="s">
        <v>459</v>
      </c>
      <c r="H159" s="9" t="s">
        <v>460</v>
      </c>
    </row>
    <row r="160" spans="4:8">
      <c r="D160" s="11" t="s">
        <v>3654</v>
      </c>
      <c r="E160" s="9" t="s">
        <v>3232</v>
      </c>
      <c r="G160" s="5" t="s">
        <v>461</v>
      </c>
      <c r="H160" s="9" t="s">
        <v>462</v>
      </c>
    </row>
    <row r="161" spans="4:8">
      <c r="D161" s="11" t="s">
        <v>3655</v>
      </c>
      <c r="E161" s="9" t="s">
        <v>3233</v>
      </c>
      <c r="G161" s="5" t="s">
        <v>463</v>
      </c>
      <c r="H161" s="9" t="s">
        <v>464</v>
      </c>
    </row>
    <row r="162" spans="4:8">
      <c r="D162" s="11" t="s">
        <v>3656</v>
      </c>
      <c r="E162" s="9" t="s">
        <v>3234</v>
      </c>
      <c r="G162" s="5" t="s">
        <v>465</v>
      </c>
      <c r="H162" s="9" t="s">
        <v>466</v>
      </c>
    </row>
    <row r="163" spans="4:8">
      <c r="D163" s="11" t="s">
        <v>3657</v>
      </c>
      <c r="E163" s="9" t="s">
        <v>3235</v>
      </c>
      <c r="G163" s="5" t="s">
        <v>467</v>
      </c>
      <c r="H163" s="9" t="s">
        <v>468</v>
      </c>
    </row>
    <row r="164" spans="4:8">
      <c r="D164" s="11" t="s">
        <v>3658</v>
      </c>
      <c r="E164" s="9" t="s">
        <v>3236</v>
      </c>
      <c r="G164" s="5" t="s">
        <v>469</v>
      </c>
      <c r="H164" s="9" t="s">
        <v>470</v>
      </c>
    </row>
    <row r="165" spans="4:8">
      <c r="D165" s="11" t="s">
        <v>3659</v>
      </c>
      <c r="E165" s="9" t="s">
        <v>3237</v>
      </c>
      <c r="G165" s="5" t="s">
        <v>471</v>
      </c>
      <c r="H165" s="9" t="s">
        <v>472</v>
      </c>
    </row>
    <row r="166" spans="4:8">
      <c r="D166" s="11" t="s">
        <v>3660</v>
      </c>
      <c r="E166" s="9" t="s">
        <v>1209</v>
      </c>
      <c r="G166" s="5" t="s">
        <v>473</v>
      </c>
      <c r="H166" s="9" t="s">
        <v>474</v>
      </c>
    </row>
    <row r="167" spans="4:8">
      <c r="D167" s="11" t="s">
        <v>3661</v>
      </c>
      <c r="E167" s="9" t="s">
        <v>3238</v>
      </c>
      <c r="G167" s="5" t="s">
        <v>475</v>
      </c>
      <c r="H167" s="9" t="s">
        <v>476</v>
      </c>
    </row>
    <row r="168" spans="4:8">
      <c r="D168" s="11" t="s">
        <v>3662</v>
      </c>
      <c r="E168" s="9" t="s">
        <v>3239</v>
      </c>
      <c r="G168" s="5" t="s">
        <v>477</v>
      </c>
      <c r="H168" s="9" t="s">
        <v>478</v>
      </c>
    </row>
    <row r="169" spans="4:8">
      <c r="D169" s="11" t="s">
        <v>3663</v>
      </c>
      <c r="E169" s="9" t="s">
        <v>3240</v>
      </c>
      <c r="G169" s="5" t="s">
        <v>479</v>
      </c>
      <c r="H169" s="9" t="s">
        <v>480</v>
      </c>
    </row>
    <row r="170" spans="4:8">
      <c r="D170" s="11" t="s">
        <v>3664</v>
      </c>
      <c r="E170" s="9" t="s">
        <v>3241</v>
      </c>
      <c r="G170" s="5" t="s">
        <v>481</v>
      </c>
      <c r="H170" s="9" t="s">
        <v>482</v>
      </c>
    </row>
    <row r="171" spans="4:8">
      <c r="D171" s="11" t="s">
        <v>3665</v>
      </c>
      <c r="E171" s="9" t="s">
        <v>3242</v>
      </c>
      <c r="G171" s="5" t="s">
        <v>483</v>
      </c>
      <c r="H171" s="9" t="s">
        <v>484</v>
      </c>
    </row>
    <row r="172" spans="4:8">
      <c r="D172" s="11" t="s">
        <v>3666</v>
      </c>
      <c r="E172" s="9" t="s">
        <v>3243</v>
      </c>
      <c r="G172" s="5" t="s">
        <v>485</v>
      </c>
      <c r="H172" s="9" t="s">
        <v>486</v>
      </c>
    </row>
    <row r="173" spans="4:8">
      <c r="D173" s="11" t="s">
        <v>3667</v>
      </c>
      <c r="E173" s="9" t="s">
        <v>3244</v>
      </c>
      <c r="G173" s="5" t="s">
        <v>487</v>
      </c>
      <c r="H173" s="9" t="s">
        <v>488</v>
      </c>
    </row>
    <row r="174" spans="4:8">
      <c r="D174" s="11" t="s">
        <v>3668</v>
      </c>
      <c r="E174" s="9" t="s">
        <v>1259</v>
      </c>
      <c r="G174" s="5" t="s">
        <v>489</v>
      </c>
      <c r="H174" s="9" t="s">
        <v>490</v>
      </c>
    </row>
    <row r="175" spans="4:8">
      <c r="D175" s="11" t="s">
        <v>3669</v>
      </c>
      <c r="E175" s="9" t="s">
        <v>1261</v>
      </c>
      <c r="G175" s="5" t="s">
        <v>491</v>
      </c>
      <c r="H175" s="9" t="s">
        <v>492</v>
      </c>
    </row>
    <row r="176" spans="4:8">
      <c r="D176" s="11" t="s">
        <v>3670</v>
      </c>
      <c r="E176" s="9" t="s">
        <v>3245</v>
      </c>
      <c r="G176" s="5" t="s">
        <v>493</v>
      </c>
      <c r="H176" s="9" t="s">
        <v>494</v>
      </c>
    </row>
    <row r="177" spans="4:8">
      <c r="D177" s="11" t="s">
        <v>3671</v>
      </c>
      <c r="E177" s="9" t="s">
        <v>3246</v>
      </c>
      <c r="G177" s="5" t="s">
        <v>495</v>
      </c>
      <c r="H177" s="9" t="s">
        <v>496</v>
      </c>
    </row>
    <row r="178" spans="4:8">
      <c r="D178" s="11" t="s">
        <v>3672</v>
      </c>
      <c r="E178" s="9" t="s">
        <v>3247</v>
      </c>
      <c r="G178" s="5" t="s">
        <v>497</v>
      </c>
      <c r="H178" s="9" t="s">
        <v>498</v>
      </c>
    </row>
    <row r="179" spans="4:8">
      <c r="D179" s="11" t="s">
        <v>3673</v>
      </c>
      <c r="E179" s="9" t="s">
        <v>3248</v>
      </c>
      <c r="G179" s="5" t="s">
        <v>499</v>
      </c>
      <c r="H179" s="9" t="s">
        <v>500</v>
      </c>
    </row>
    <row r="180" spans="4:8">
      <c r="D180" s="11" t="s">
        <v>3674</v>
      </c>
      <c r="E180" s="9" t="s">
        <v>3249</v>
      </c>
      <c r="G180" s="5" t="s">
        <v>501</v>
      </c>
      <c r="H180" s="9" t="s">
        <v>502</v>
      </c>
    </row>
    <row r="181" spans="4:8">
      <c r="D181" s="11" t="s">
        <v>3675</v>
      </c>
      <c r="E181" s="9" t="s">
        <v>3250</v>
      </c>
      <c r="G181" s="5" t="s">
        <v>503</v>
      </c>
      <c r="H181" s="9" t="s">
        <v>504</v>
      </c>
    </row>
    <row r="182" spans="4:8">
      <c r="D182" s="11" t="s">
        <v>3676</v>
      </c>
      <c r="E182" s="9" t="s">
        <v>3251</v>
      </c>
      <c r="G182" s="5" t="s">
        <v>505</v>
      </c>
      <c r="H182" s="9" t="s">
        <v>506</v>
      </c>
    </row>
    <row r="183" spans="4:8">
      <c r="D183" s="11" t="s">
        <v>3677</v>
      </c>
      <c r="E183" s="9" t="s">
        <v>3252</v>
      </c>
      <c r="G183" s="5" t="s">
        <v>507</v>
      </c>
      <c r="H183" s="9" t="s">
        <v>508</v>
      </c>
    </row>
    <row r="184" spans="4:8">
      <c r="D184" s="11" t="s">
        <v>3678</v>
      </c>
      <c r="E184" s="9" t="s">
        <v>3253</v>
      </c>
      <c r="G184" s="5" t="s">
        <v>509</v>
      </c>
      <c r="H184" s="9" t="s">
        <v>510</v>
      </c>
    </row>
    <row r="185" spans="4:8">
      <c r="D185" s="11" t="s">
        <v>3679</v>
      </c>
      <c r="E185" s="9" t="s">
        <v>3254</v>
      </c>
      <c r="G185" s="5" t="s">
        <v>511</v>
      </c>
      <c r="H185" s="9" t="s">
        <v>512</v>
      </c>
    </row>
    <row r="186" spans="4:8">
      <c r="D186" s="11" t="s">
        <v>3680</v>
      </c>
      <c r="E186" s="9" t="s">
        <v>3255</v>
      </c>
      <c r="G186" s="5" t="s">
        <v>513</v>
      </c>
      <c r="H186" s="9" t="s">
        <v>162</v>
      </c>
    </row>
    <row r="187" spans="4:8">
      <c r="D187" s="11" t="s">
        <v>3681</v>
      </c>
      <c r="E187" s="9" t="s">
        <v>3256</v>
      </c>
      <c r="G187" s="5" t="s">
        <v>514</v>
      </c>
      <c r="H187" s="9" t="s">
        <v>164</v>
      </c>
    </row>
    <row r="188" spans="4:8">
      <c r="D188" s="11" t="s">
        <v>3682</v>
      </c>
      <c r="E188" s="9" t="s">
        <v>1357</v>
      </c>
      <c r="G188" s="5" t="s">
        <v>515</v>
      </c>
      <c r="H188" s="9" t="s">
        <v>516</v>
      </c>
    </row>
    <row r="189" spans="4:8">
      <c r="D189" s="11" t="s">
        <v>3683</v>
      </c>
      <c r="E189" s="9" t="s">
        <v>3257</v>
      </c>
      <c r="G189" s="5" t="s">
        <v>517</v>
      </c>
      <c r="H189" s="9" t="s">
        <v>518</v>
      </c>
    </row>
    <row r="190" spans="4:8">
      <c r="D190" s="11" t="s">
        <v>3684</v>
      </c>
      <c r="E190" s="9" t="s">
        <v>3258</v>
      </c>
      <c r="G190" s="5" t="s">
        <v>519</v>
      </c>
      <c r="H190" s="9" t="s">
        <v>520</v>
      </c>
    </row>
    <row r="191" spans="4:8">
      <c r="D191" s="11" t="s">
        <v>3685</v>
      </c>
      <c r="E191" s="9" t="s">
        <v>3259</v>
      </c>
      <c r="G191" s="5" t="s">
        <v>521</v>
      </c>
      <c r="H191" s="9" t="s">
        <v>522</v>
      </c>
    </row>
    <row r="192" spans="4:8">
      <c r="D192" s="11" t="s">
        <v>3686</v>
      </c>
      <c r="E192" s="9" t="s">
        <v>3260</v>
      </c>
      <c r="G192" s="5" t="s">
        <v>523</v>
      </c>
      <c r="H192" s="9" t="s">
        <v>524</v>
      </c>
    </row>
    <row r="193" spans="4:8">
      <c r="D193" s="11" t="s">
        <v>3687</v>
      </c>
      <c r="E193" s="9" t="s">
        <v>3261</v>
      </c>
      <c r="G193" s="5" t="s">
        <v>525</v>
      </c>
      <c r="H193" s="9" t="s">
        <v>526</v>
      </c>
    </row>
    <row r="194" spans="4:8">
      <c r="D194" s="11" t="s">
        <v>3688</v>
      </c>
      <c r="E194" s="9" t="s">
        <v>3262</v>
      </c>
      <c r="G194" s="5" t="s">
        <v>527</v>
      </c>
      <c r="H194" s="9" t="s">
        <v>528</v>
      </c>
    </row>
    <row r="195" spans="4:8">
      <c r="D195" s="11" t="s">
        <v>3689</v>
      </c>
      <c r="E195" s="9" t="s">
        <v>1389</v>
      </c>
      <c r="G195" s="5" t="s">
        <v>529</v>
      </c>
      <c r="H195" s="9" t="s">
        <v>530</v>
      </c>
    </row>
    <row r="196" spans="4:8">
      <c r="D196" s="11" t="s">
        <v>3690</v>
      </c>
      <c r="E196" s="9" t="s">
        <v>3263</v>
      </c>
      <c r="G196" s="5" t="s">
        <v>531</v>
      </c>
      <c r="H196" s="9" t="s">
        <v>532</v>
      </c>
    </row>
    <row r="197" spans="4:8">
      <c r="D197" s="11" t="s">
        <v>3691</v>
      </c>
      <c r="E197" s="9" t="s">
        <v>3264</v>
      </c>
      <c r="G197" s="5" t="s">
        <v>533</v>
      </c>
      <c r="H197" s="9" t="s">
        <v>534</v>
      </c>
    </row>
    <row r="198" spans="4:8">
      <c r="D198" s="11" t="s">
        <v>3692</v>
      </c>
      <c r="E198" s="9" t="s">
        <v>3265</v>
      </c>
      <c r="G198" s="5" t="s">
        <v>535</v>
      </c>
      <c r="H198" s="9" t="s">
        <v>536</v>
      </c>
    </row>
    <row r="199" spans="4:8">
      <c r="D199" s="11" t="s">
        <v>3693</v>
      </c>
      <c r="E199" s="9" t="s">
        <v>3266</v>
      </c>
      <c r="G199" s="5" t="s">
        <v>537</v>
      </c>
      <c r="H199" s="9" t="s">
        <v>538</v>
      </c>
    </row>
    <row r="200" spans="4:8">
      <c r="D200" s="11" t="s">
        <v>3694</v>
      </c>
      <c r="E200" s="9" t="s">
        <v>3267</v>
      </c>
      <c r="G200" s="5" t="s">
        <v>539</v>
      </c>
      <c r="H200" s="9" t="s">
        <v>540</v>
      </c>
    </row>
    <row r="201" spans="4:8">
      <c r="D201" s="11" t="s">
        <v>3695</v>
      </c>
      <c r="E201" s="9" t="s">
        <v>3268</v>
      </c>
      <c r="G201" s="5" t="s">
        <v>541</v>
      </c>
      <c r="H201" s="9" t="s">
        <v>162</v>
      </c>
    </row>
    <row r="202" spans="4:8">
      <c r="D202" s="11" t="s">
        <v>3696</v>
      </c>
      <c r="E202" s="9" t="s">
        <v>3269</v>
      </c>
      <c r="G202" s="5" t="s">
        <v>542</v>
      </c>
      <c r="H202" s="9" t="s">
        <v>164</v>
      </c>
    </row>
    <row r="203" spans="4:8">
      <c r="D203" s="11" t="s">
        <v>3697</v>
      </c>
      <c r="E203" s="9" t="s">
        <v>3270</v>
      </c>
      <c r="G203" s="5" t="s">
        <v>543</v>
      </c>
      <c r="H203" s="9" t="s">
        <v>544</v>
      </c>
    </row>
    <row r="204" spans="4:8">
      <c r="D204" s="11" t="s">
        <v>3698</v>
      </c>
      <c r="E204" s="9" t="s">
        <v>1437</v>
      </c>
      <c r="G204" s="5" t="s">
        <v>545</v>
      </c>
      <c r="H204" s="9" t="s">
        <v>546</v>
      </c>
    </row>
    <row r="205" spans="4:8">
      <c r="D205" s="11" t="s">
        <v>3699</v>
      </c>
      <c r="E205" s="9" t="s">
        <v>3271</v>
      </c>
      <c r="G205" s="5" t="s">
        <v>547</v>
      </c>
      <c r="H205" s="9" t="s">
        <v>548</v>
      </c>
    </row>
    <row r="206" spans="4:8">
      <c r="D206" s="11" t="s">
        <v>3700</v>
      </c>
      <c r="E206" s="9" t="s">
        <v>3272</v>
      </c>
      <c r="G206" s="5" t="s">
        <v>549</v>
      </c>
      <c r="H206" s="9" t="s">
        <v>550</v>
      </c>
    </row>
    <row r="207" spans="4:8">
      <c r="D207" s="11" t="s">
        <v>3701</v>
      </c>
      <c r="E207" s="9" t="s">
        <v>3273</v>
      </c>
      <c r="G207" s="5" t="s">
        <v>551</v>
      </c>
      <c r="H207" s="9" t="s">
        <v>552</v>
      </c>
    </row>
    <row r="208" spans="4:8">
      <c r="D208" s="11" t="s">
        <v>3702</v>
      </c>
      <c r="E208" s="9" t="s">
        <v>3274</v>
      </c>
      <c r="G208" s="5" t="s">
        <v>553</v>
      </c>
      <c r="H208" s="9" t="s">
        <v>554</v>
      </c>
    </row>
    <row r="209" spans="4:8">
      <c r="D209" s="11" t="s">
        <v>3703</v>
      </c>
      <c r="E209" s="9" t="s">
        <v>3275</v>
      </c>
      <c r="G209" s="5" t="s">
        <v>555</v>
      </c>
      <c r="H209" s="9" t="s">
        <v>556</v>
      </c>
    </row>
    <row r="210" spans="4:8">
      <c r="D210" s="11" t="s">
        <v>3704</v>
      </c>
      <c r="E210" s="9" t="s">
        <v>3276</v>
      </c>
      <c r="G210" s="5" t="s">
        <v>557</v>
      </c>
      <c r="H210" s="9" t="s">
        <v>558</v>
      </c>
    </row>
    <row r="211" spans="4:8">
      <c r="D211" s="11" t="s">
        <v>3705</v>
      </c>
      <c r="E211" s="9" t="s">
        <v>3277</v>
      </c>
      <c r="G211" s="5" t="s">
        <v>559</v>
      </c>
      <c r="H211" s="9" t="s">
        <v>560</v>
      </c>
    </row>
    <row r="212" spans="4:8">
      <c r="D212" s="11" t="s">
        <v>3706</v>
      </c>
      <c r="E212" s="9" t="s">
        <v>3278</v>
      </c>
      <c r="G212" s="5" t="s">
        <v>561</v>
      </c>
      <c r="H212" s="9" t="s">
        <v>562</v>
      </c>
    </row>
    <row r="213" spans="4:8">
      <c r="D213" s="11" t="s">
        <v>3707</v>
      </c>
      <c r="E213" s="9" t="s">
        <v>3279</v>
      </c>
      <c r="G213" s="5" t="s">
        <v>563</v>
      </c>
      <c r="H213" s="9" t="s">
        <v>564</v>
      </c>
    </row>
    <row r="214" spans="4:8">
      <c r="D214" s="11" t="s">
        <v>3708</v>
      </c>
      <c r="E214" s="9" t="s">
        <v>3280</v>
      </c>
      <c r="G214" s="5" t="s">
        <v>565</v>
      </c>
      <c r="H214" s="9" t="s">
        <v>566</v>
      </c>
    </row>
    <row r="215" spans="4:8">
      <c r="D215" s="11" t="s">
        <v>3709</v>
      </c>
      <c r="E215" s="9" t="s">
        <v>3281</v>
      </c>
      <c r="G215" s="5" t="s">
        <v>567</v>
      </c>
      <c r="H215" s="9" t="s">
        <v>568</v>
      </c>
    </row>
    <row r="216" spans="4:8">
      <c r="D216" s="11" t="s">
        <v>3710</v>
      </c>
      <c r="E216" s="9" t="s">
        <v>3282</v>
      </c>
      <c r="G216" s="5" t="s">
        <v>569</v>
      </c>
      <c r="H216" s="9" t="s">
        <v>570</v>
      </c>
    </row>
    <row r="217" spans="4:8">
      <c r="D217" s="11" t="s">
        <v>3711</v>
      </c>
      <c r="E217" s="9" t="s">
        <v>3283</v>
      </c>
      <c r="G217" s="5" t="s">
        <v>571</v>
      </c>
      <c r="H217" s="9" t="s">
        <v>572</v>
      </c>
    </row>
    <row r="218" spans="4:8">
      <c r="D218" s="11" t="s">
        <v>3712</v>
      </c>
      <c r="E218" s="9" t="s">
        <v>3284</v>
      </c>
      <c r="G218" s="5" t="s">
        <v>573</v>
      </c>
      <c r="H218" s="9" t="s">
        <v>574</v>
      </c>
    </row>
    <row r="219" spans="4:8">
      <c r="D219" s="11" t="s">
        <v>3713</v>
      </c>
      <c r="E219" s="9" t="s">
        <v>1523</v>
      </c>
      <c r="G219" s="5" t="s">
        <v>575</v>
      </c>
      <c r="H219" s="9" t="s">
        <v>576</v>
      </c>
    </row>
    <row r="220" spans="4:8">
      <c r="D220" s="11" t="s">
        <v>3714</v>
      </c>
      <c r="E220" s="9" t="s">
        <v>3285</v>
      </c>
      <c r="G220" s="5" t="s">
        <v>577</v>
      </c>
      <c r="H220" s="9" t="s">
        <v>578</v>
      </c>
    </row>
    <row r="221" spans="4:8">
      <c r="D221" s="11" t="s">
        <v>3715</v>
      </c>
      <c r="E221" s="9" t="s">
        <v>3286</v>
      </c>
      <c r="G221" s="5" t="s">
        <v>579</v>
      </c>
      <c r="H221" s="9" t="s">
        <v>580</v>
      </c>
    </row>
    <row r="222" spans="4:8">
      <c r="D222" s="11" t="s">
        <v>3716</v>
      </c>
      <c r="E222" s="9" t="s">
        <v>3287</v>
      </c>
      <c r="G222" s="5" t="s">
        <v>581</v>
      </c>
      <c r="H222" s="9" t="s">
        <v>582</v>
      </c>
    </row>
    <row r="223" spans="4:8">
      <c r="D223" s="11" t="s">
        <v>3717</v>
      </c>
      <c r="E223" s="9" t="s">
        <v>1541</v>
      </c>
      <c r="G223" s="5" t="s">
        <v>583</v>
      </c>
      <c r="H223" s="9" t="s">
        <v>584</v>
      </c>
    </row>
    <row r="224" spans="4:8">
      <c r="D224" s="11" t="s">
        <v>3718</v>
      </c>
      <c r="E224" s="9" t="s">
        <v>3288</v>
      </c>
      <c r="G224" s="5" t="s">
        <v>585</v>
      </c>
      <c r="H224" s="9" t="s">
        <v>586</v>
      </c>
    </row>
    <row r="225" spans="4:8">
      <c r="D225" s="11" t="s">
        <v>3719</v>
      </c>
      <c r="E225" s="9" t="s">
        <v>3289</v>
      </c>
      <c r="G225" s="5" t="s">
        <v>587</v>
      </c>
      <c r="H225" s="9" t="s">
        <v>588</v>
      </c>
    </row>
    <row r="226" spans="4:8">
      <c r="D226" s="11" t="s">
        <v>3720</v>
      </c>
      <c r="E226" s="9" t="s">
        <v>3290</v>
      </c>
      <c r="G226" s="5" t="s">
        <v>589</v>
      </c>
      <c r="H226" s="9" t="s">
        <v>590</v>
      </c>
    </row>
    <row r="227" spans="4:8">
      <c r="D227" s="11" t="s">
        <v>3721</v>
      </c>
      <c r="E227" s="9" t="s">
        <v>2924</v>
      </c>
      <c r="G227" s="5" t="s">
        <v>591</v>
      </c>
      <c r="H227" s="9" t="s">
        <v>592</v>
      </c>
    </row>
    <row r="228" spans="4:8">
      <c r="D228" s="11" t="s">
        <v>3722</v>
      </c>
      <c r="E228" s="9" t="s">
        <v>3291</v>
      </c>
      <c r="G228" s="5" t="s">
        <v>593</v>
      </c>
      <c r="H228" s="9" t="s">
        <v>594</v>
      </c>
    </row>
    <row r="229" spans="4:8">
      <c r="D229" s="11" t="s">
        <v>3723</v>
      </c>
      <c r="E229" s="9" t="s">
        <v>2925</v>
      </c>
      <c r="G229" s="5" t="s">
        <v>595</v>
      </c>
      <c r="H229" s="9" t="s">
        <v>596</v>
      </c>
    </row>
    <row r="230" spans="4:8">
      <c r="D230" s="11" t="s">
        <v>3724</v>
      </c>
      <c r="E230" s="9" t="s">
        <v>3292</v>
      </c>
      <c r="G230" s="5" t="s">
        <v>597</v>
      </c>
      <c r="H230" s="9" t="s">
        <v>598</v>
      </c>
    </row>
    <row r="231" spans="4:8">
      <c r="D231" s="11" t="s">
        <v>3725</v>
      </c>
      <c r="E231" s="9" t="s">
        <v>1585</v>
      </c>
      <c r="G231" s="5" t="s">
        <v>599</v>
      </c>
      <c r="H231" s="9" t="s">
        <v>600</v>
      </c>
    </row>
    <row r="232" spans="4:8">
      <c r="D232" s="11" t="s">
        <v>3726</v>
      </c>
      <c r="E232" s="9" t="s">
        <v>3293</v>
      </c>
      <c r="G232" s="5" t="s">
        <v>601</v>
      </c>
      <c r="H232" s="9" t="s">
        <v>602</v>
      </c>
    </row>
    <row r="233" spans="4:8">
      <c r="D233" s="11" t="s">
        <v>3727</v>
      </c>
      <c r="E233" s="9" t="s">
        <v>1589</v>
      </c>
      <c r="G233" s="5" t="s">
        <v>603</v>
      </c>
      <c r="H233" s="9" t="s">
        <v>604</v>
      </c>
    </row>
    <row r="234" spans="4:8">
      <c r="D234" s="11" t="s">
        <v>3728</v>
      </c>
      <c r="E234" s="9" t="s">
        <v>1591</v>
      </c>
      <c r="G234" s="5" t="s">
        <v>605</v>
      </c>
      <c r="H234" s="9" t="s">
        <v>606</v>
      </c>
    </row>
    <row r="235" spans="4:8">
      <c r="D235" s="11" t="s">
        <v>3729</v>
      </c>
      <c r="E235" s="9" t="s">
        <v>3294</v>
      </c>
      <c r="G235" s="5" t="s">
        <v>607</v>
      </c>
      <c r="H235" s="9" t="s">
        <v>608</v>
      </c>
    </row>
    <row r="236" spans="4:8">
      <c r="D236" s="11" t="s">
        <v>3730</v>
      </c>
      <c r="E236" s="9" t="s">
        <v>3295</v>
      </c>
      <c r="G236" s="5" t="s">
        <v>609</v>
      </c>
      <c r="H236" s="9" t="s">
        <v>610</v>
      </c>
    </row>
    <row r="237" spans="4:8">
      <c r="D237" s="11" t="s">
        <v>3731</v>
      </c>
      <c r="E237" s="9" t="s">
        <v>3296</v>
      </c>
      <c r="G237" s="5" t="s">
        <v>611</v>
      </c>
      <c r="H237" s="9" t="s">
        <v>612</v>
      </c>
    </row>
    <row r="238" spans="4:8">
      <c r="D238" s="11" t="s">
        <v>3732</v>
      </c>
      <c r="E238" s="9" t="s">
        <v>1607</v>
      </c>
      <c r="G238" s="5" t="s">
        <v>613</v>
      </c>
      <c r="H238" s="9" t="s">
        <v>614</v>
      </c>
    </row>
    <row r="239" spans="4:8">
      <c r="D239" s="11" t="s">
        <v>3733</v>
      </c>
      <c r="E239" s="9" t="s">
        <v>1609</v>
      </c>
      <c r="G239" s="5" t="s">
        <v>615</v>
      </c>
      <c r="H239" s="9" t="s">
        <v>616</v>
      </c>
    </row>
    <row r="240" spans="4:8">
      <c r="D240" s="11" t="s">
        <v>3734</v>
      </c>
      <c r="E240" s="9" t="s">
        <v>3297</v>
      </c>
      <c r="G240" s="5" t="s">
        <v>617</v>
      </c>
      <c r="H240" s="9" t="s">
        <v>618</v>
      </c>
    </row>
    <row r="241" spans="4:8">
      <c r="D241" s="11" t="s">
        <v>3735</v>
      </c>
      <c r="E241" s="9" t="s">
        <v>1613</v>
      </c>
      <c r="G241" s="5" t="s">
        <v>619</v>
      </c>
      <c r="H241" s="9" t="s">
        <v>620</v>
      </c>
    </row>
    <row r="242" spans="4:8">
      <c r="D242" s="11" t="s">
        <v>3736</v>
      </c>
      <c r="E242" s="9" t="s">
        <v>3298</v>
      </c>
      <c r="G242" s="5" t="s">
        <v>621</v>
      </c>
      <c r="H242" s="9" t="s">
        <v>2889</v>
      </c>
    </row>
    <row r="243" spans="4:8">
      <c r="D243" s="11" t="s">
        <v>3737</v>
      </c>
      <c r="E243" s="9" t="s">
        <v>3299</v>
      </c>
      <c r="G243" s="5" t="s">
        <v>622</v>
      </c>
      <c r="H243" s="9" t="s">
        <v>623</v>
      </c>
    </row>
    <row r="244" spans="4:8">
      <c r="D244" s="11" t="s">
        <v>3738</v>
      </c>
      <c r="E244" s="9" t="s">
        <v>3300</v>
      </c>
      <c r="G244" s="5" t="s">
        <v>624</v>
      </c>
      <c r="H244" s="9" t="s">
        <v>625</v>
      </c>
    </row>
    <row r="245" spans="4:8">
      <c r="D245" s="11" t="s">
        <v>3739</v>
      </c>
      <c r="E245" s="9" t="s">
        <v>3301</v>
      </c>
      <c r="G245" s="5" t="s">
        <v>626</v>
      </c>
      <c r="H245" s="9" t="s">
        <v>627</v>
      </c>
    </row>
    <row r="246" spans="4:8">
      <c r="D246" s="11" t="s">
        <v>3740</v>
      </c>
      <c r="E246" s="9" t="s">
        <v>3302</v>
      </c>
      <c r="G246" s="5" t="s">
        <v>628</v>
      </c>
      <c r="H246" s="9" t="s">
        <v>629</v>
      </c>
    </row>
    <row r="247" spans="4:8">
      <c r="D247" s="11" t="s">
        <v>3741</v>
      </c>
      <c r="E247" s="9" t="s">
        <v>3303</v>
      </c>
      <c r="G247" s="5" t="s">
        <v>630</v>
      </c>
      <c r="H247" s="9" t="s">
        <v>631</v>
      </c>
    </row>
    <row r="248" spans="4:8">
      <c r="D248" s="11" t="s">
        <v>3742</v>
      </c>
      <c r="E248" s="9" t="s">
        <v>2930</v>
      </c>
      <c r="G248" s="5" t="s">
        <v>632</v>
      </c>
      <c r="H248" s="9" t="s">
        <v>633</v>
      </c>
    </row>
    <row r="249" spans="4:8">
      <c r="D249" s="11" t="s">
        <v>3743</v>
      </c>
      <c r="E249" s="9" t="s">
        <v>3304</v>
      </c>
      <c r="G249" s="5" t="s">
        <v>634</v>
      </c>
      <c r="H249" s="9" t="s">
        <v>635</v>
      </c>
    </row>
    <row r="250" spans="4:8">
      <c r="D250" s="11" t="s">
        <v>3744</v>
      </c>
      <c r="E250" s="9" t="s">
        <v>3305</v>
      </c>
      <c r="G250" s="5" t="s">
        <v>636</v>
      </c>
      <c r="H250" s="9" t="s">
        <v>637</v>
      </c>
    </row>
    <row r="251" spans="4:8">
      <c r="D251" s="11" t="s">
        <v>3745</v>
      </c>
      <c r="E251" s="9" t="s">
        <v>3306</v>
      </c>
      <c r="G251" s="5" t="s">
        <v>638</v>
      </c>
      <c r="H251" s="9" t="s">
        <v>639</v>
      </c>
    </row>
    <row r="252" spans="4:8">
      <c r="D252" s="11" t="s">
        <v>3746</v>
      </c>
      <c r="E252" s="9" t="s">
        <v>1667</v>
      </c>
      <c r="G252" s="5" t="s">
        <v>640</v>
      </c>
      <c r="H252" s="9" t="s">
        <v>641</v>
      </c>
    </row>
    <row r="253" spans="4:8">
      <c r="D253" s="11" t="s">
        <v>3747</v>
      </c>
      <c r="E253" s="9" t="s">
        <v>1669</v>
      </c>
      <c r="G253" s="5" t="s">
        <v>642</v>
      </c>
      <c r="H253" s="9" t="s">
        <v>643</v>
      </c>
    </row>
    <row r="254" spans="4:8">
      <c r="D254" s="11" t="s">
        <v>3748</v>
      </c>
      <c r="E254" s="9" t="s">
        <v>1671</v>
      </c>
      <c r="G254" s="5" t="s">
        <v>644</v>
      </c>
      <c r="H254" s="9" t="s">
        <v>645</v>
      </c>
    </row>
    <row r="255" spans="4:8">
      <c r="D255" s="11" t="s">
        <v>3749</v>
      </c>
      <c r="E255" s="9" t="s">
        <v>3307</v>
      </c>
      <c r="G255" s="5" t="s">
        <v>646</v>
      </c>
      <c r="H255" s="9" t="s">
        <v>647</v>
      </c>
    </row>
    <row r="256" spans="4:8">
      <c r="D256" s="11" t="s">
        <v>3750</v>
      </c>
      <c r="E256" s="9" t="s">
        <v>3308</v>
      </c>
      <c r="G256" s="5" t="s">
        <v>648</v>
      </c>
      <c r="H256" s="9" t="s">
        <v>649</v>
      </c>
    </row>
    <row r="257" spans="4:8">
      <c r="D257" s="11" t="s">
        <v>3751</v>
      </c>
      <c r="E257" s="9" t="s">
        <v>2932</v>
      </c>
      <c r="G257" s="5" t="s">
        <v>650</v>
      </c>
      <c r="H257" s="9" t="s">
        <v>651</v>
      </c>
    </row>
    <row r="258" spans="4:8">
      <c r="D258" s="11" t="s">
        <v>3752</v>
      </c>
      <c r="E258" s="9" t="s">
        <v>3309</v>
      </c>
      <c r="G258" s="5" t="s">
        <v>652</v>
      </c>
      <c r="H258" s="9" t="s">
        <v>653</v>
      </c>
    </row>
    <row r="259" spans="4:8">
      <c r="D259" s="11" t="s">
        <v>3753</v>
      </c>
      <c r="E259" s="9" t="s">
        <v>1697</v>
      </c>
      <c r="G259" s="5" t="s">
        <v>654</v>
      </c>
      <c r="H259" s="9" t="s">
        <v>655</v>
      </c>
    </row>
    <row r="260" spans="4:8">
      <c r="D260" s="11" t="s">
        <v>3754</v>
      </c>
      <c r="E260" s="9" t="s">
        <v>1699</v>
      </c>
      <c r="G260" s="5" t="s">
        <v>656</v>
      </c>
      <c r="H260" s="9" t="s">
        <v>657</v>
      </c>
    </row>
    <row r="261" spans="4:8">
      <c r="D261" s="11" t="s">
        <v>3755</v>
      </c>
      <c r="E261" s="9" t="s">
        <v>1701</v>
      </c>
      <c r="G261" s="5" t="s">
        <v>658</v>
      </c>
      <c r="H261" s="9" t="s">
        <v>659</v>
      </c>
    </row>
    <row r="262" spans="4:8">
      <c r="D262" s="11" t="s">
        <v>3756</v>
      </c>
      <c r="E262" s="9" t="s">
        <v>3310</v>
      </c>
      <c r="G262" s="5" t="s">
        <v>660</v>
      </c>
      <c r="H262" s="9" t="s">
        <v>661</v>
      </c>
    </row>
    <row r="263" spans="4:8">
      <c r="D263" s="11" t="s">
        <v>3757</v>
      </c>
      <c r="E263" s="9" t="s">
        <v>3311</v>
      </c>
      <c r="G263" s="5" t="s">
        <v>662</v>
      </c>
      <c r="H263" s="9" t="s">
        <v>663</v>
      </c>
    </row>
    <row r="264" spans="4:8">
      <c r="D264" s="11" t="s">
        <v>3758</v>
      </c>
      <c r="E264" s="9" t="s">
        <v>3312</v>
      </c>
      <c r="G264" s="5" t="s">
        <v>664</v>
      </c>
      <c r="H264" s="9" t="s">
        <v>665</v>
      </c>
    </row>
    <row r="265" spans="4:8">
      <c r="D265" s="11" t="s">
        <v>3759</v>
      </c>
      <c r="E265" s="9" t="s">
        <v>1713</v>
      </c>
      <c r="G265" s="5" t="s">
        <v>666</v>
      </c>
      <c r="H265" s="9" t="s">
        <v>667</v>
      </c>
    </row>
    <row r="266" spans="4:8">
      <c r="D266" s="11" t="s">
        <v>3760</v>
      </c>
      <c r="E266" s="9" t="s">
        <v>1715</v>
      </c>
      <c r="G266" s="5" t="s">
        <v>668</v>
      </c>
      <c r="H266" s="9" t="s">
        <v>669</v>
      </c>
    </row>
    <row r="267" spans="4:8">
      <c r="D267" s="11" t="s">
        <v>3761</v>
      </c>
      <c r="E267" s="9" t="s">
        <v>1717</v>
      </c>
      <c r="G267" s="5" t="s">
        <v>670</v>
      </c>
      <c r="H267" s="9" t="s">
        <v>162</v>
      </c>
    </row>
    <row r="268" spans="4:8">
      <c r="D268" s="11" t="s">
        <v>3762</v>
      </c>
      <c r="E268" s="9" t="s">
        <v>1719</v>
      </c>
      <c r="G268" s="5" t="s">
        <v>671</v>
      </c>
      <c r="H268" s="9" t="s">
        <v>164</v>
      </c>
    </row>
    <row r="269" spans="4:8">
      <c r="D269" s="11" t="s">
        <v>3763</v>
      </c>
      <c r="E269" s="9" t="s">
        <v>3313</v>
      </c>
      <c r="G269" s="5" t="s">
        <v>672</v>
      </c>
      <c r="H269" s="9" t="s">
        <v>673</v>
      </c>
    </row>
    <row r="270" spans="4:8">
      <c r="D270" s="11" t="s">
        <v>3764</v>
      </c>
      <c r="E270" s="9" t="s">
        <v>3314</v>
      </c>
      <c r="G270" s="5" t="s">
        <v>674</v>
      </c>
      <c r="H270" s="9" t="s">
        <v>675</v>
      </c>
    </row>
    <row r="271" spans="4:8">
      <c r="D271" s="11" t="s">
        <v>3765</v>
      </c>
      <c r="E271" s="9" t="s">
        <v>3315</v>
      </c>
      <c r="G271" s="5" t="s">
        <v>676</v>
      </c>
      <c r="H271" s="9" t="s">
        <v>677</v>
      </c>
    </row>
    <row r="272" spans="4:8">
      <c r="D272" s="11" t="s">
        <v>3766</v>
      </c>
      <c r="E272" s="9" t="s">
        <v>3316</v>
      </c>
      <c r="G272" s="5" t="s">
        <v>678</v>
      </c>
      <c r="H272" s="9" t="s">
        <v>679</v>
      </c>
    </row>
    <row r="273" spans="4:8">
      <c r="D273" s="11" t="s">
        <v>3767</v>
      </c>
      <c r="E273" s="9" t="s">
        <v>3317</v>
      </c>
      <c r="G273" s="5" t="s">
        <v>680</v>
      </c>
      <c r="H273" s="9" t="s">
        <v>681</v>
      </c>
    </row>
    <row r="274" spans="4:8">
      <c r="D274" s="11" t="s">
        <v>3768</v>
      </c>
      <c r="E274" s="9" t="s">
        <v>3318</v>
      </c>
      <c r="G274" s="5" t="s">
        <v>682</v>
      </c>
      <c r="H274" s="9" t="s">
        <v>683</v>
      </c>
    </row>
    <row r="275" spans="4:8">
      <c r="D275" s="11" t="s">
        <v>3769</v>
      </c>
      <c r="E275" s="9" t="s">
        <v>1743</v>
      </c>
      <c r="G275" s="5" t="s">
        <v>684</v>
      </c>
      <c r="H275" s="9" t="s">
        <v>685</v>
      </c>
    </row>
    <row r="276" spans="4:8">
      <c r="D276" s="11" t="s">
        <v>3770</v>
      </c>
      <c r="E276" s="9" t="s">
        <v>1745</v>
      </c>
      <c r="G276" s="5" t="s">
        <v>686</v>
      </c>
      <c r="H276" s="9" t="s">
        <v>687</v>
      </c>
    </row>
    <row r="277" spans="4:8">
      <c r="D277" s="11" t="s">
        <v>3771</v>
      </c>
      <c r="E277" s="9" t="s">
        <v>3319</v>
      </c>
      <c r="G277" s="5" t="s">
        <v>688</v>
      </c>
      <c r="H277" s="9" t="s">
        <v>689</v>
      </c>
    </row>
    <row r="278" spans="4:8">
      <c r="D278" s="11" t="s">
        <v>3772</v>
      </c>
      <c r="E278" s="9" t="s">
        <v>1749</v>
      </c>
      <c r="G278" s="5" t="s">
        <v>690</v>
      </c>
      <c r="H278" s="9" t="s">
        <v>691</v>
      </c>
    </row>
    <row r="279" spans="4:8">
      <c r="D279" s="11" t="s">
        <v>3773</v>
      </c>
      <c r="E279" s="9" t="s">
        <v>1751</v>
      </c>
      <c r="G279" s="5" t="s">
        <v>692</v>
      </c>
      <c r="H279" s="9" t="s">
        <v>693</v>
      </c>
    </row>
    <row r="280" spans="4:8">
      <c r="D280" s="11" t="s">
        <v>3774</v>
      </c>
      <c r="E280" s="9" t="s">
        <v>3320</v>
      </c>
      <c r="G280" s="5" t="s">
        <v>694</v>
      </c>
      <c r="H280" s="9" t="s">
        <v>695</v>
      </c>
    </row>
    <row r="281" spans="4:8">
      <c r="D281" s="11" t="s">
        <v>3775</v>
      </c>
      <c r="E281" s="9" t="s">
        <v>1755</v>
      </c>
      <c r="G281" s="5" t="s">
        <v>696</v>
      </c>
      <c r="H281" s="9" t="s">
        <v>697</v>
      </c>
    </row>
    <row r="282" spans="4:8">
      <c r="D282" s="11" t="s">
        <v>3776</v>
      </c>
      <c r="E282" s="9" t="s">
        <v>3321</v>
      </c>
      <c r="G282" s="5" t="s">
        <v>698</v>
      </c>
      <c r="H282" s="9" t="s">
        <v>699</v>
      </c>
    </row>
    <row r="283" spans="4:8">
      <c r="D283" s="11" t="s">
        <v>3777</v>
      </c>
      <c r="E283" s="9" t="s">
        <v>1761</v>
      </c>
      <c r="G283" s="5" t="s">
        <v>700</v>
      </c>
      <c r="H283" s="9" t="s">
        <v>701</v>
      </c>
    </row>
    <row r="284" spans="4:8">
      <c r="D284" s="11" t="s">
        <v>3778</v>
      </c>
      <c r="E284" s="9" t="s">
        <v>3322</v>
      </c>
      <c r="G284" s="5" t="s">
        <v>702</v>
      </c>
      <c r="H284" s="9" t="s">
        <v>703</v>
      </c>
    </row>
    <row r="285" spans="4:8">
      <c r="D285" s="11" t="s">
        <v>3779</v>
      </c>
      <c r="E285" s="9" t="s">
        <v>3323</v>
      </c>
      <c r="G285" s="5" t="s">
        <v>704</v>
      </c>
      <c r="H285" s="9" t="s">
        <v>705</v>
      </c>
    </row>
    <row r="286" spans="4:8">
      <c r="D286" s="11" t="s">
        <v>3780</v>
      </c>
      <c r="E286" s="9" t="s">
        <v>3324</v>
      </c>
      <c r="G286" s="5" t="s">
        <v>706</v>
      </c>
      <c r="H286" s="9" t="s">
        <v>707</v>
      </c>
    </row>
    <row r="287" spans="4:8">
      <c r="D287" s="11" t="s">
        <v>3781</v>
      </c>
      <c r="E287" s="9" t="s">
        <v>3325</v>
      </c>
      <c r="G287" s="5" t="s">
        <v>708</v>
      </c>
      <c r="H287" s="9" t="s">
        <v>162</v>
      </c>
    </row>
    <row r="288" spans="4:8">
      <c r="D288" s="11" t="s">
        <v>3782</v>
      </c>
      <c r="E288" s="9" t="s">
        <v>1785</v>
      </c>
      <c r="G288" s="5" t="s">
        <v>709</v>
      </c>
      <c r="H288" s="9" t="s">
        <v>164</v>
      </c>
    </row>
    <row r="289" spans="4:8">
      <c r="D289" s="11" t="s">
        <v>3783</v>
      </c>
      <c r="E289" s="9" t="s">
        <v>3326</v>
      </c>
      <c r="G289" s="5" t="s">
        <v>710</v>
      </c>
      <c r="H289" s="9" t="s">
        <v>711</v>
      </c>
    </row>
    <row r="290" spans="4:8">
      <c r="D290" s="11" t="s">
        <v>3784</v>
      </c>
      <c r="E290" s="9" t="s">
        <v>2939</v>
      </c>
      <c r="G290" s="5" t="s">
        <v>712</v>
      </c>
      <c r="H290" s="9" t="s">
        <v>713</v>
      </c>
    </row>
    <row r="291" spans="4:8">
      <c r="D291" s="11" t="s">
        <v>3785</v>
      </c>
      <c r="E291" s="9" t="s">
        <v>3327</v>
      </c>
      <c r="G291" s="5" t="s">
        <v>714</v>
      </c>
      <c r="H291" s="9" t="s">
        <v>715</v>
      </c>
    </row>
    <row r="292" spans="4:8">
      <c r="D292" s="11" t="s">
        <v>3786</v>
      </c>
      <c r="E292" s="9" t="s">
        <v>3328</v>
      </c>
      <c r="G292" s="5" t="s">
        <v>716</v>
      </c>
      <c r="H292" s="9" t="s">
        <v>717</v>
      </c>
    </row>
    <row r="293" spans="4:8">
      <c r="D293" s="11" t="s">
        <v>3787</v>
      </c>
      <c r="E293" s="9" t="s">
        <v>3329</v>
      </c>
      <c r="G293" s="5" t="s">
        <v>718</v>
      </c>
      <c r="H293" s="9" t="s">
        <v>719</v>
      </c>
    </row>
    <row r="294" spans="4:8">
      <c r="D294" s="11" t="s">
        <v>3788</v>
      </c>
      <c r="E294" s="9" t="s">
        <v>3330</v>
      </c>
      <c r="G294" s="5" t="s">
        <v>720</v>
      </c>
      <c r="H294" s="9" t="s">
        <v>721</v>
      </c>
    </row>
    <row r="295" spans="4:8">
      <c r="D295" s="11" t="s">
        <v>3789</v>
      </c>
      <c r="E295" s="9" t="s">
        <v>3331</v>
      </c>
      <c r="G295" s="5" t="s">
        <v>722</v>
      </c>
      <c r="H295" s="9" t="s">
        <v>723</v>
      </c>
    </row>
    <row r="296" spans="4:8">
      <c r="D296" s="11" t="s">
        <v>3790</v>
      </c>
      <c r="E296" s="9" t="s">
        <v>3332</v>
      </c>
      <c r="G296" s="5" t="s">
        <v>724</v>
      </c>
      <c r="H296" s="9" t="s">
        <v>725</v>
      </c>
    </row>
    <row r="297" spans="4:8">
      <c r="D297" s="11" t="s">
        <v>3791</v>
      </c>
      <c r="E297" s="9" t="s">
        <v>3333</v>
      </c>
      <c r="G297" s="5" t="s">
        <v>726</v>
      </c>
      <c r="H297" s="9" t="s">
        <v>727</v>
      </c>
    </row>
    <row r="298" spans="4:8">
      <c r="D298" s="11" t="s">
        <v>3792</v>
      </c>
      <c r="E298" s="9" t="s">
        <v>3334</v>
      </c>
      <c r="G298" s="5" t="s">
        <v>728</v>
      </c>
      <c r="H298" s="9" t="s">
        <v>162</v>
      </c>
    </row>
    <row r="299" spans="4:8">
      <c r="D299" s="11" t="s">
        <v>3793</v>
      </c>
      <c r="E299" s="9" t="s">
        <v>3335</v>
      </c>
      <c r="G299" s="5" t="s">
        <v>729</v>
      </c>
      <c r="H299" s="9" t="s">
        <v>164</v>
      </c>
    </row>
    <row r="300" spans="4:8">
      <c r="D300" s="11" t="s">
        <v>3794</v>
      </c>
      <c r="E300" s="9" t="s">
        <v>3336</v>
      </c>
      <c r="G300" s="5" t="s">
        <v>730</v>
      </c>
      <c r="H300" s="9" t="s">
        <v>731</v>
      </c>
    </row>
    <row r="301" spans="4:8">
      <c r="D301" s="11" t="s">
        <v>3795</v>
      </c>
      <c r="E301" s="9" t="s">
        <v>3337</v>
      </c>
      <c r="G301" s="5" t="s">
        <v>732</v>
      </c>
      <c r="H301" s="9" t="s">
        <v>733</v>
      </c>
    </row>
    <row r="302" spans="4:8">
      <c r="D302" s="11" t="s">
        <v>3796</v>
      </c>
      <c r="E302" s="9" t="s">
        <v>3338</v>
      </c>
      <c r="G302" s="5" t="s">
        <v>734</v>
      </c>
      <c r="H302" s="9" t="s">
        <v>735</v>
      </c>
    </row>
    <row r="303" spans="4:8">
      <c r="D303" s="11" t="s">
        <v>3797</v>
      </c>
      <c r="E303" s="9" t="s">
        <v>3339</v>
      </c>
      <c r="G303" s="5" t="s">
        <v>736</v>
      </c>
      <c r="H303" s="9" t="s">
        <v>737</v>
      </c>
    </row>
    <row r="304" spans="4:8">
      <c r="D304" s="11" t="s">
        <v>3798</v>
      </c>
      <c r="E304" s="9" t="s">
        <v>3340</v>
      </c>
      <c r="G304" s="5" t="s">
        <v>738</v>
      </c>
      <c r="H304" s="9" t="s">
        <v>739</v>
      </c>
    </row>
    <row r="305" spans="4:8">
      <c r="D305" s="11" t="s">
        <v>3799</v>
      </c>
      <c r="E305" s="9" t="s">
        <v>3341</v>
      </c>
      <c r="G305" s="5" t="s">
        <v>740</v>
      </c>
      <c r="H305" s="9" t="s">
        <v>741</v>
      </c>
    </row>
    <row r="306" spans="4:8">
      <c r="D306" s="11" t="s">
        <v>3800</v>
      </c>
      <c r="E306" s="9" t="s">
        <v>3342</v>
      </c>
      <c r="G306" s="5" t="s">
        <v>742</v>
      </c>
      <c r="H306" s="9" t="s">
        <v>743</v>
      </c>
    </row>
    <row r="307" spans="4:8">
      <c r="D307" s="11" t="s">
        <v>3801</v>
      </c>
      <c r="E307" s="9" t="s">
        <v>3343</v>
      </c>
      <c r="G307" s="5" t="s">
        <v>744</v>
      </c>
      <c r="H307" s="9" t="s">
        <v>745</v>
      </c>
    </row>
    <row r="308" spans="4:8">
      <c r="D308" s="11" t="s">
        <v>3802</v>
      </c>
      <c r="E308" s="9" t="s">
        <v>3344</v>
      </c>
      <c r="G308" s="5" t="s">
        <v>746</v>
      </c>
      <c r="H308" s="9" t="s">
        <v>747</v>
      </c>
    </row>
    <row r="309" spans="4:8">
      <c r="D309" s="11" t="s">
        <v>3803</v>
      </c>
      <c r="E309" s="9" t="s">
        <v>3345</v>
      </c>
      <c r="G309" s="5" t="s">
        <v>748</v>
      </c>
      <c r="H309" s="9" t="s">
        <v>749</v>
      </c>
    </row>
    <row r="310" spans="4:8">
      <c r="D310" s="11" t="s">
        <v>3804</v>
      </c>
      <c r="E310" s="9" t="s">
        <v>3346</v>
      </c>
      <c r="G310" s="5" t="s">
        <v>750</v>
      </c>
      <c r="H310" s="9" t="s">
        <v>751</v>
      </c>
    </row>
    <row r="311" spans="4:8">
      <c r="D311" s="11" t="s">
        <v>3805</v>
      </c>
      <c r="E311" s="9" t="s">
        <v>3347</v>
      </c>
      <c r="G311" s="5" t="s">
        <v>752</v>
      </c>
      <c r="H311" s="9" t="s">
        <v>753</v>
      </c>
    </row>
    <row r="312" spans="4:8">
      <c r="D312" s="11" t="s">
        <v>3806</v>
      </c>
      <c r="E312" s="9" t="s">
        <v>3348</v>
      </c>
      <c r="G312" s="5" t="s">
        <v>754</v>
      </c>
      <c r="H312" s="9" t="s">
        <v>755</v>
      </c>
    </row>
    <row r="313" spans="4:8">
      <c r="D313" s="11" t="s">
        <v>3807</v>
      </c>
      <c r="E313" s="9" t="s">
        <v>3349</v>
      </c>
      <c r="G313" s="5" t="s">
        <v>756</v>
      </c>
      <c r="H313" s="9" t="s">
        <v>757</v>
      </c>
    </row>
    <row r="314" spans="4:8">
      <c r="D314" s="11" t="s">
        <v>3808</v>
      </c>
      <c r="E314" s="9" t="s">
        <v>3350</v>
      </c>
      <c r="G314" s="5" t="s">
        <v>758</v>
      </c>
      <c r="H314" s="9" t="s">
        <v>759</v>
      </c>
    </row>
    <row r="315" spans="4:8">
      <c r="D315" s="11" t="s">
        <v>3809</v>
      </c>
      <c r="E315" s="9" t="s">
        <v>3351</v>
      </c>
      <c r="G315" s="5" t="s">
        <v>760</v>
      </c>
      <c r="H315" s="9" t="s">
        <v>761</v>
      </c>
    </row>
    <row r="316" spans="4:8">
      <c r="D316" s="11" t="s">
        <v>3810</v>
      </c>
      <c r="E316" s="9" t="s">
        <v>1973</v>
      </c>
      <c r="G316" s="5" t="s">
        <v>762</v>
      </c>
      <c r="H316" s="9" t="s">
        <v>162</v>
      </c>
    </row>
    <row r="317" spans="4:8">
      <c r="D317" s="11" t="s">
        <v>3811</v>
      </c>
      <c r="E317" s="9" t="s">
        <v>1975</v>
      </c>
      <c r="G317" s="5" t="s">
        <v>763</v>
      </c>
      <c r="H317" s="9" t="s">
        <v>164</v>
      </c>
    </row>
    <row r="318" spans="4:8">
      <c r="D318" s="11" t="s">
        <v>3812</v>
      </c>
      <c r="E318" s="9" t="s">
        <v>3352</v>
      </c>
      <c r="G318" s="5" t="s">
        <v>764</v>
      </c>
      <c r="H318" s="9" t="s">
        <v>765</v>
      </c>
    </row>
    <row r="319" spans="4:8">
      <c r="D319" s="11" t="s">
        <v>3813</v>
      </c>
      <c r="E319" s="9" t="s">
        <v>3353</v>
      </c>
      <c r="G319" s="5" t="s">
        <v>766</v>
      </c>
      <c r="H319" s="9" t="s">
        <v>767</v>
      </c>
    </row>
    <row r="320" spans="4:8">
      <c r="D320" s="11" t="s">
        <v>3814</v>
      </c>
      <c r="E320" s="9" t="s">
        <v>1984</v>
      </c>
      <c r="G320" s="5" t="s">
        <v>768</v>
      </c>
      <c r="H320" s="9" t="s">
        <v>769</v>
      </c>
    </row>
    <row r="321" spans="4:8">
      <c r="D321" s="11" t="s">
        <v>3815</v>
      </c>
      <c r="E321" s="9" t="s">
        <v>3354</v>
      </c>
      <c r="G321" s="5" t="s">
        <v>770</v>
      </c>
      <c r="H321" s="9" t="s">
        <v>771</v>
      </c>
    </row>
    <row r="322" spans="4:8">
      <c r="D322" s="11" t="s">
        <v>3816</v>
      </c>
      <c r="E322" s="9" t="s">
        <v>3355</v>
      </c>
      <c r="G322" s="5" t="s">
        <v>772</v>
      </c>
      <c r="H322" s="9" t="s">
        <v>773</v>
      </c>
    </row>
    <row r="323" spans="4:8">
      <c r="D323" s="11" t="s">
        <v>3817</v>
      </c>
      <c r="E323" s="9" t="s">
        <v>3356</v>
      </c>
      <c r="G323" s="5" t="s">
        <v>774</v>
      </c>
      <c r="H323" s="9" t="s">
        <v>775</v>
      </c>
    </row>
    <row r="324" spans="4:8">
      <c r="D324" s="11" t="s">
        <v>3818</v>
      </c>
      <c r="E324" s="9" t="s">
        <v>3357</v>
      </c>
      <c r="G324" s="5" t="s">
        <v>776</v>
      </c>
      <c r="H324" s="9" t="s">
        <v>777</v>
      </c>
    </row>
    <row r="325" spans="4:8">
      <c r="D325" s="11" t="s">
        <v>3819</v>
      </c>
      <c r="E325" s="9" t="s">
        <v>2005</v>
      </c>
      <c r="G325" s="5" t="s">
        <v>778</v>
      </c>
      <c r="H325" s="9" t="s">
        <v>162</v>
      </c>
    </row>
    <row r="326" spans="4:8">
      <c r="D326" s="11" t="s">
        <v>3820</v>
      </c>
      <c r="E326" s="9" t="s">
        <v>3358</v>
      </c>
      <c r="G326" s="5" t="s">
        <v>779</v>
      </c>
      <c r="H326" s="9" t="s">
        <v>164</v>
      </c>
    </row>
    <row r="327" spans="4:8">
      <c r="D327" s="11" t="s">
        <v>3821</v>
      </c>
      <c r="E327" s="9" t="s">
        <v>3359</v>
      </c>
      <c r="G327" s="5" t="s">
        <v>780</v>
      </c>
      <c r="H327" s="9" t="s">
        <v>781</v>
      </c>
    </row>
    <row r="328" spans="4:8">
      <c r="D328" s="11" t="s">
        <v>3822</v>
      </c>
      <c r="E328" s="9" t="s">
        <v>2015</v>
      </c>
      <c r="G328" s="5" t="s">
        <v>782</v>
      </c>
      <c r="H328" s="9" t="s">
        <v>783</v>
      </c>
    </row>
    <row r="329" spans="4:8">
      <c r="D329" s="11" t="s">
        <v>3823</v>
      </c>
      <c r="E329" s="9" t="s">
        <v>2017</v>
      </c>
      <c r="G329" s="5" t="s">
        <v>784</v>
      </c>
      <c r="H329" s="9" t="s">
        <v>785</v>
      </c>
    </row>
    <row r="330" spans="4:8">
      <c r="D330" s="11" t="s">
        <v>3824</v>
      </c>
      <c r="E330" s="9" t="s">
        <v>3360</v>
      </c>
      <c r="G330" s="5" t="s">
        <v>786</v>
      </c>
      <c r="H330" s="9" t="s">
        <v>787</v>
      </c>
    </row>
    <row r="331" spans="4:8">
      <c r="D331" s="11" t="s">
        <v>3825</v>
      </c>
      <c r="E331" s="9" t="s">
        <v>3361</v>
      </c>
      <c r="G331" s="5" t="s">
        <v>788</v>
      </c>
      <c r="H331" s="9" t="s">
        <v>789</v>
      </c>
    </row>
    <row r="332" spans="4:8">
      <c r="D332" s="11" t="s">
        <v>3826</v>
      </c>
      <c r="E332" s="9" t="s">
        <v>3362</v>
      </c>
      <c r="G332" s="5" t="s">
        <v>790</v>
      </c>
      <c r="H332" s="9" t="s">
        <v>791</v>
      </c>
    </row>
    <row r="333" spans="4:8">
      <c r="D333" s="11" t="s">
        <v>3827</v>
      </c>
      <c r="E333" s="9" t="s">
        <v>3363</v>
      </c>
      <c r="G333" s="5" t="s">
        <v>792</v>
      </c>
      <c r="H333" s="9" t="s">
        <v>793</v>
      </c>
    </row>
    <row r="334" spans="4:8">
      <c r="D334" s="11" t="s">
        <v>3828</v>
      </c>
      <c r="E334" s="9" t="s">
        <v>2056</v>
      </c>
      <c r="G334" s="5" t="s">
        <v>794</v>
      </c>
      <c r="H334" s="9" t="s">
        <v>795</v>
      </c>
    </row>
    <row r="335" spans="4:8">
      <c r="D335" s="11" t="s">
        <v>3829</v>
      </c>
      <c r="E335" s="9" t="s">
        <v>3364</v>
      </c>
      <c r="G335" s="5" t="s">
        <v>796</v>
      </c>
      <c r="H335" s="9" t="s">
        <v>797</v>
      </c>
    </row>
    <row r="336" spans="4:8">
      <c r="D336" s="11" t="s">
        <v>3830</v>
      </c>
      <c r="E336" s="9" t="s">
        <v>3365</v>
      </c>
      <c r="G336" s="5" t="s">
        <v>798</v>
      </c>
      <c r="H336" s="9" t="s">
        <v>799</v>
      </c>
    </row>
    <row r="337" spans="4:8">
      <c r="D337" s="11" t="s">
        <v>3831</v>
      </c>
      <c r="E337" s="9" t="s">
        <v>3366</v>
      </c>
      <c r="G337" s="5" t="s">
        <v>800</v>
      </c>
      <c r="H337" s="9" t="s">
        <v>801</v>
      </c>
    </row>
    <row r="338" spans="4:8">
      <c r="D338" s="11" t="s">
        <v>3832</v>
      </c>
      <c r="E338" s="9" t="s">
        <v>3367</v>
      </c>
      <c r="G338" s="5" t="s">
        <v>802</v>
      </c>
      <c r="H338" s="9" t="s">
        <v>803</v>
      </c>
    </row>
    <row r="339" spans="4:8">
      <c r="D339" s="11" t="s">
        <v>3833</v>
      </c>
      <c r="E339" s="9" t="s">
        <v>3368</v>
      </c>
      <c r="G339" s="5" t="s">
        <v>804</v>
      </c>
      <c r="H339" s="9" t="s">
        <v>805</v>
      </c>
    </row>
    <row r="340" spans="4:8">
      <c r="D340" s="11" t="s">
        <v>3834</v>
      </c>
      <c r="E340" s="9" t="s">
        <v>3369</v>
      </c>
      <c r="G340" s="5" t="s">
        <v>806</v>
      </c>
      <c r="H340" s="9" t="s">
        <v>807</v>
      </c>
    </row>
    <row r="341" spans="4:8">
      <c r="D341" s="11" t="s">
        <v>3835</v>
      </c>
      <c r="E341" s="9" t="s">
        <v>3370</v>
      </c>
      <c r="G341" s="5" t="s">
        <v>808</v>
      </c>
      <c r="H341" s="9" t="s">
        <v>809</v>
      </c>
    </row>
    <row r="342" spans="4:8">
      <c r="D342" s="11" t="s">
        <v>3836</v>
      </c>
      <c r="E342" s="9" t="s">
        <v>3371</v>
      </c>
      <c r="G342" s="5" t="s">
        <v>810</v>
      </c>
      <c r="H342" s="9" t="s">
        <v>811</v>
      </c>
    </row>
    <row r="343" spans="4:8">
      <c r="D343" s="11" t="s">
        <v>3837</v>
      </c>
      <c r="E343" s="9" t="s">
        <v>3372</v>
      </c>
      <c r="G343" s="5" t="s">
        <v>812</v>
      </c>
      <c r="H343" s="9" t="s">
        <v>813</v>
      </c>
    </row>
    <row r="344" spans="4:8">
      <c r="D344" s="11" t="s">
        <v>3838</v>
      </c>
      <c r="E344" s="9" t="s">
        <v>3373</v>
      </c>
      <c r="G344" s="5" t="s">
        <v>814</v>
      </c>
      <c r="H344" s="9" t="s">
        <v>815</v>
      </c>
    </row>
    <row r="345" spans="4:8">
      <c r="D345" s="11" t="s">
        <v>3839</v>
      </c>
      <c r="E345" s="9" t="s">
        <v>3374</v>
      </c>
      <c r="G345" s="5" t="s">
        <v>816</v>
      </c>
      <c r="H345" s="9" t="s">
        <v>817</v>
      </c>
    </row>
    <row r="346" spans="4:8">
      <c r="D346" s="11" t="s">
        <v>3840</v>
      </c>
      <c r="E346" s="9" t="s">
        <v>3375</v>
      </c>
      <c r="G346" s="5" t="s">
        <v>818</v>
      </c>
      <c r="H346" s="9" t="s">
        <v>819</v>
      </c>
    </row>
    <row r="347" spans="4:8">
      <c r="D347" s="11" t="s">
        <v>3841</v>
      </c>
      <c r="E347" s="9" t="s">
        <v>3376</v>
      </c>
      <c r="G347" s="5" t="s">
        <v>820</v>
      </c>
      <c r="H347" s="9" t="s">
        <v>821</v>
      </c>
    </row>
    <row r="348" spans="4:8">
      <c r="D348" s="11" t="s">
        <v>3842</v>
      </c>
      <c r="E348" s="9" t="s">
        <v>2152</v>
      </c>
      <c r="G348" s="5" t="s">
        <v>822</v>
      </c>
      <c r="H348" s="9" t="s">
        <v>823</v>
      </c>
    </row>
    <row r="349" spans="4:8">
      <c r="D349" s="11" t="s">
        <v>3843</v>
      </c>
      <c r="E349" s="9" t="s">
        <v>2154</v>
      </c>
      <c r="G349" s="5" t="s">
        <v>824</v>
      </c>
      <c r="H349" s="9" t="s">
        <v>825</v>
      </c>
    </row>
    <row r="350" spans="4:8">
      <c r="D350" s="11" t="s">
        <v>3844</v>
      </c>
      <c r="E350" s="9" t="s">
        <v>3377</v>
      </c>
      <c r="G350" s="5" t="s">
        <v>826</v>
      </c>
      <c r="H350" s="9" t="s">
        <v>827</v>
      </c>
    </row>
    <row r="351" spans="4:8">
      <c r="D351" s="11" t="s">
        <v>3845</v>
      </c>
      <c r="E351" s="9" t="s">
        <v>2158</v>
      </c>
      <c r="G351" s="5" t="s">
        <v>828</v>
      </c>
      <c r="H351" s="9" t="s">
        <v>829</v>
      </c>
    </row>
    <row r="352" spans="4:8">
      <c r="D352" s="11" t="s">
        <v>3846</v>
      </c>
      <c r="E352" s="9" t="s">
        <v>3378</v>
      </c>
      <c r="G352" s="5" t="s">
        <v>830</v>
      </c>
      <c r="H352" s="9" t="s">
        <v>831</v>
      </c>
    </row>
    <row r="353" spans="4:8">
      <c r="D353" s="11" t="s">
        <v>3847</v>
      </c>
      <c r="E353" s="9" t="s">
        <v>3379</v>
      </c>
      <c r="G353" s="5" t="s">
        <v>832</v>
      </c>
      <c r="H353" s="9" t="s">
        <v>833</v>
      </c>
    </row>
    <row r="354" spans="4:8">
      <c r="D354" s="11" t="s">
        <v>3848</v>
      </c>
      <c r="E354" s="9" t="s">
        <v>3380</v>
      </c>
      <c r="G354" s="5" t="s">
        <v>834</v>
      </c>
      <c r="H354" s="9" t="s">
        <v>835</v>
      </c>
    </row>
    <row r="355" spans="4:8">
      <c r="D355" s="11" t="s">
        <v>3849</v>
      </c>
      <c r="E355" s="9" t="s">
        <v>3381</v>
      </c>
      <c r="G355" s="5" t="s">
        <v>836</v>
      </c>
      <c r="H355" s="9" t="s">
        <v>837</v>
      </c>
    </row>
    <row r="356" spans="4:8">
      <c r="D356" s="11" t="s">
        <v>3850</v>
      </c>
      <c r="E356" s="9" t="s">
        <v>3382</v>
      </c>
      <c r="G356" s="5" t="s">
        <v>838</v>
      </c>
      <c r="H356" s="9" t="s">
        <v>839</v>
      </c>
    </row>
    <row r="357" spans="4:8">
      <c r="D357" s="11" t="s">
        <v>3851</v>
      </c>
      <c r="E357" s="9" t="s">
        <v>3383</v>
      </c>
      <c r="G357" s="5" t="s">
        <v>840</v>
      </c>
      <c r="H357" s="9" t="s">
        <v>841</v>
      </c>
    </row>
    <row r="358" spans="4:8">
      <c r="D358" s="11" t="s">
        <v>3852</v>
      </c>
      <c r="E358" s="9" t="s">
        <v>2194</v>
      </c>
      <c r="G358" s="5" t="s">
        <v>842</v>
      </c>
      <c r="H358" s="9" t="s">
        <v>843</v>
      </c>
    </row>
    <row r="359" spans="4:8">
      <c r="D359" s="11" t="s">
        <v>3853</v>
      </c>
      <c r="E359" s="9" t="s">
        <v>3384</v>
      </c>
      <c r="G359" s="5" t="s">
        <v>844</v>
      </c>
      <c r="H359" s="9" t="s">
        <v>845</v>
      </c>
    </row>
    <row r="360" spans="4:8">
      <c r="D360" s="11" t="s">
        <v>3854</v>
      </c>
      <c r="E360" s="9" t="s">
        <v>3385</v>
      </c>
      <c r="G360" s="5" t="s">
        <v>846</v>
      </c>
      <c r="H360" s="9" t="s">
        <v>847</v>
      </c>
    </row>
    <row r="361" spans="4:8">
      <c r="D361" s="11" t="s">
        <v>3855</v>
      </c>
      <c r="E361" s="9" t="s">
        <v>3386</v>
      </c>
      <c r="G361" s="5" t="s">
        <v>848</v>
      </c>
      <c r="H361" s="9" t="s">
        <v>849</v>
      </c>
    </row>
    <row r="362" spans="4:8">
      <c r="D362" s="11" t="s">
        <v>3856</v>
      </c>
      <c r="E362" s="9" t="s">
        <v>3387</v>
      </c>
      <c r="G362" s="5" t="s">
        <v>850</v>
      </c>
      <c r="H362" s="9" t="s">
        <v>851</v>
      </c>
    </row>
    <row r="363" spans="4:8">
      <c r="D363" s="11" t="s">
        <v>3857</v>
      </c>
      <c r="E363" s="9" t="s">
        <v>3388</v>
      </c>
      <c r="G363" s="5" t="s">
        <v>852</v>
      </c>
      <c r="H363" s="9" t="s">
        <v>853</v>
      </c>
    </row>
    <row r="364" spans="4:8">
      <c r="D364" s="11" t="s">
        <v>3858</v>
      </c>
      <c r="E364" s="9" t="s">
        <v>3389</v>
      </c>
      <c r="G364" s="5" t="s">
        <v>854</v>
      </c>
      <c r="H364" s="9" t="s">
        <v>855</v>
      </c>
    </row>
    <row r="365" spans="4:8">
      <c r="D365" s="11" t="s">
        <v>3859</v>
      </c>
      <c r="E365" s="9" t="s">
        <v>3390</v>
      </c>
      <c r="G365" s="5" t="s">
        <v>856</v>
      </c>
      <c r="H365" s="9" t="s">
        <v>162</v>
      </c>
    </row>
    <row r="366" spans="4:8">
      <c r="D366" s="11" t="s">
        <v>3860</v>
      </c>
      <c r="E366" s="9" t="s">
        <v>3391</v>
      </c>
      <c r="G366" s="5" t="s">
        <v>857</v>
      </c>
      <c r="H366" s="9" t="s">
        <v>164</v>
      </c>
    </row>
    <row r="367" spans="4:8">
      <c r="D367" s="11" t="s">
        <v>3861</v>
      </c>
      <c r="E367" s="9" t="s">
        <v>3392</v>
      </c>
      <c r="G367" s="5" t="s">
        <v>858</v>
      </c>
      <c r="H367" s="9" t="s">
        <v>859</v>
      </c>
    </row>
    <row r="368" spans="4:8">
      <c r="D368" s="11" t="s">
        <v>3862</v>
      </c>
      <c r="E368" s="9" t="s">
        <v>3393</v>
      </c>
      <c r="G368" s="5" t="s">
        <v>860</v>
      </c>
      <c r="H368" s="9" t="s">
        <v>861</v>
      </c>
    </row>
    <row r="369" spans="4:8">
      <c r="D369" s="11" t="s">
        <v>3863</v>
      </c>
      <c r="E369" s="9" t="s">
        <v>3394</v>
      </c>
      <c r="G369" s="5" t="s">
        <v>862</v>
      </c>
      <c r="H369" s="9" t="s">
        <v>863</v>
      </c>
    </row>
    <row r="370" spans="4:8">
      <c r="D370" s="11" t="s">
        <v>3864</v>
      </c>
      <c r="E370" s="9" t="s">
        <v>3395</v>
      </c>
      <c r="G370" s="5" t="s">
        <v>864</v>
      </c>
      <c r="H370" s="9" t="s">
        <v>865</v>
      </c>
    </row>
    <row r="371" spans="4:8">
      <c r="D371" s="11" t="s">
        <v>3865</v>
      </c>
      <c r="E371" s="9" t="s">
        <v>3396</v>
      </c>
      <c r="G371" s="5" t="s">
        <v>866</v>
      </c>
      <c r="H371" s="9" t="s">
        <v>867</v>
      </c>
    </row>
    <row r="372" spans="4:8">
      <c r="D372" s="11" t="s">
        <v>3866</v>
      </c>
      <c r="E372" s="9" t="s">
        <v>3397</v>
      </c>
      <c r="G372" s="5" t="s">
        <v>868</v>
      </c>
      <c r="H372" s="9" t="s">
        <v>162</v>
      </c>
    </row>
    <row r="373" spans="4:8">
      <c r="D373" s="11" t="s">
        <v>3867</v>
      </c>
      <c r="E373" s="9" t="s">
        <v>3398</v>
      </c>
      <c r="G373" s="5" t="s">
        <v>869</v>
      </c>
      <c r="H373" s="9" t="s">
        <v>164</v>
      </c>
    </row>
    <row r="374" spans="4:8">
      <c r="D374" s="11" t="s">
        <v>3868</v>
      </c>
      <c r="E374" s="9" t="s">
        <v>3399</v>
      </c>
      <c r="G374" s="5" t="s">
        <v>870</v>
      </c>
      <c r="H374" s="9" t="s">
        <v>871</v>
      </c>
    </row>
    <row r="375" spans="4:8">
      <c r="D375" s="11" t="s">
        <v>3869</v>
      </c>
      <c r="E375" s="9" t="s">
        <v>3400</v>
      </c>
      <c r="G375" s="5" t="s">
        <v>872</v>
      </c>
      <c r="H375" s="9" t="s">
        <v>873</v>
      </c>
    </row>
    <row r="376" spans="4:8">
      <c r="D376" s="11" t="s">
        <v>3870</v>
      </c>
      <c r="E376" s="9" t="s">
        <v>2294</v>
      </c>
      <c r="G376" s="5" t="s">
        <v>874</v>
      </c>
      <c r="H376" s="9" t="s">
        <v>875</v>
      </c>
    </row>
    <row r="377" spans="4:8">
      <c r="D377" s="11" t="s">
        <v>3871</v>
      </c>
      <c r="E377" s="9" t="s">
        <v>3401</v>
      </c>
      <c r="G377" s="5" t="s">
        <v>876</v>
      </c>
      <c r="H377" s="9" t="s">
        <v>877</v>
      </c>
    </row>
    <row r="378" spans="4:8">
      <c r="D378" s="11" t="s">
        <v>3872</v>
      </c>
      <c r="E378" s="9" t="s">
        <v>3402</v>
      </c>
      <c r="G378" s="5" t="s">
        <v>878</v>
      </c>
      <c r="H378" s="9" t="s">
        <v>879</v>
      </c>
    </row>
    <row r="379" spans="4:8">
      <c r="D379" s="11" t="s">
        <v>3873</v>
      </c>
      <c r="E379" s="9" t="s">
        <v>3403</v>
      </c>
      <c r="G379" s="5" t="s">
        <v>880</v>
      </c>
      <c r="H379" s="9" t="s">
        <v>881</v>
      </c>
    </row>
    <row r="380" spans="4:8">
      <c r="D380" s="11" t="s">
        <v>3874</v>
      </c>
      <c r="E380" s="9" t="s">
        <v>2308</v>
      </c>
      <c r="G380" s="5" t="s">
        <v>882</v>
      </c>
      <c r="H380" s="9" t="s">
        <v>883</v>
      </c>
    </row>
    <row r="381" spans="4:8">
      <c r="D381" s="11" t="s">
        <v>3875</v>
      </c>
      <c r="E381" s="9" t="s">
        <v>2310</v>
      </c>
      <c r="G381" s="5" t="s">
        <v>884</v>
      </c>
      <c r="H381" s="9" t="s">
        <v>885</v>
      </c>
    </row>
    <row r="382" spans="4:8">
      <c r="D382" s="11" t="s">
        <v>3876</v>
      </c>
      <c r="E382" s="9" t="s">
        <v>3404</v>
      </c>
      <c r="G382" s="5" t="s">
        <v>886</v>
      </c>
      <c r="H382" s="9" t="s">
        <v>887</v>
      </c>
    </row>
    <row r="383" spans="4:8">
      <c r="D383" s="11" t="s">
        <v>3877</v>
      </c>
      <c r="E383" s="9" t="s">
        <v>3405</v>
      </c>
      <c r="G383" s="5" t="s">
        <v>888</v>
      </c>
      <c r="H383" s="9" t="s">
        <v>889</v>
      </c>
    </row>
    <row r="384" spans="4:8">
      <c r="D384" s="11" t="s">
        <v>3878</v>
      </c>
      <c r="E384" s="9" t="s">
        <v>3406</v>
      </c>
      <c r="G384" s="5" t="s">
        <v>890</v>
      </c>
      <c r="H384" s="9" t="s">
        <v>891</v>
      </c>
    </row>
    <row r="385" spans="4:8">
      <c r="D385" s="11" t="s">
        <v>3879</v>
      </c>
      <c r="E385" s="9" t="s">
        <v>3407</v>
      </c>
      <c r="G385" s="5" t="s">
        <v>892</v>
      </c>
      <c r="H385" s="9" t="s">
        <v>893</v>
      </c>
    </row>
    <row r="386" spans="4:8">
      <c r="D386" s="11" t="s">
        <v>3880</v>
      </c>
      <c r="E386" s="9" t="s">
        <v>2326</v>
      </c>
      <c r="G386" s="5" t="s">
        <v>894</v>
      </c>
      <c r="H386" s="9" t="s">
        <v>895</v>
      </c>
    </row>
    <row r="387" spans="4:8">
      <c r="D387" s="11" t="s">
        <v>3881</v>
      </c>
      <c r="E387" s="9" t="s">
        <v>2328</v>
      </c>
      <c r="G387" s="5" t="s">
        <v>896</v>
      </c>
      <c r="H387" s="9" t="s">
        <v>897</v>
      </c>
    </row>
    <row r="388" spans="4:8">
      <c r="D388" s="11" t="s">
        <v>3882</v>
      </c>
      <c r="E388" s="9" t="s">
        <v>3408</v>
      </c>
      <c r="G388" s="5" t="s">
        <v>898</v>
      </c>
      <c r="H388" s="9" t="s">
        <v>899</v>
      </c>
    </row>
    <row r="389" spans="4:8">
      <c r="D389" s="11" t="s">
        <v>3883</v>
      </c>
      <c r="E389" s="9" t="s">
        <v>3409</v>
      </c>
      <c r="G389" s="5" t="s">
        <v>900</v>
      </c>
      <c r="H389" s="9" t="s">
        <v>901</v>
      </c>
    </row>
    <row r="390" spans="4:8">
      <c r="D390" s="11" t="s">
        <v>3884</v>
      </c>
      <c r="E390" s="9" t="s">
        <v>3410</v>
      </c>
      <c r="G390" s="5" t="s">
        <v>902</v>
      </c>
      <c r="H390" s="9" t="s">
        <v>903</v>
      </c>
    </row>
    <row r="391" spans="4:8">
      <c r="D391" s="11" t="s">
        <v>3885</v>
      </c>
      <c r="E391" s="9" t="s">
        <v>2347</v>
      </c>
      <c r="G391" s="5" t="s">
        <v>904</v>
      </c>
      <c r="H391" s="9" t="s">
        <v>905</v>
      </c>
    </row>
    <row r="392" spans="4:8">
      <c r="D392" s="11" t="s">
        <v>3886</v>
      </c>
      <c r="E392" s="9" t="s">
        <v>3411</v>
      </c>
      <c r="G392" s="5" t="s">
        <v>906</v>
      </c>
      <c r="H392" s="9" t="s">
        <v>907</v>
      </c>
    </row>
    <row r="393" spans="4:8">
      <c r="D393" s="11" t="s">
        <v>3887</v>
      </c>
      <c r="E393" s="9" t="s">
        <v>3412</v>
      </c>
      <c r="G393" s="5" t="s">
        <v>908</v>
      </c>
      <c r="H393" s="9" t="s">
        <v>909</v>
      </c>
    </row>
    <row r="394" spans="4:8">
      <c r="D394" s="11" t="s">
        <v>3888</v>
      </c>
      <c r="E394" s="9" t="s">
        <v>3413</v>
      </c>
      <c r="G394" s="5" t="s">
        <v>910</v>
      </c>
      <c r="H394" s="9" t="s">
        <v>911</v>
      </c>
    </row>
    <row r="395" spans="4:8">
      <c r="D395" s="11" t="s">
        <v>3889</v>
      </c>
      <c r="E395" s="9" t="s">
        <v>2358</v>
      </c>
      <c r="G395" s="5" t="s">
        <v>912</v>
      </c>
      <c r="H395" s="9" t="s">
        <v>913</v>
      </c>
    </row>
    <row r="396" spans="4:8">
      <c r="D396" s="11" t="s">
        <v>3890</v>
      </c>
      <c r="E396" s="9" t="s">
        <v>3414</v>
      </c>
      <c r="G396" s="5" t="s">
        <v>914</v>
      </c>
      <c r="H396" s="9" t="s">
        <v>915</v>
      </c>
    </row>
    <row r="397" spans="4:8">
      <c r="D397" s="11" t="s">
        <v>3891</v>
      </c>
      <c r="E397" s="9" t="s">
        <v>2364</v>
      </c>
      <c r="G397" s="5" t="s">
        <v>916</v>
      </c>
      <c r="H397" s="9" t="s">
        <v>917</v>
      </c>
    </row>
    <row r="398" spans="4:8">
      <c r="D398" s="11" t="s">
        <v>3892</v>
      </c>
      <c r="E398" s="9" t="s">
        <v>2366</v>
      </c>
      <c r="G398" s="5" t="s">
        <v>918</v>
      </c>
      <c r="H398" s="9" t="s">
        <v>919</v>
      </c>
    </row>
    <row r="399" spans="4:8">
      <c r="D399" s="11" t="s">
        <v>3893</v>
      </c>
      <c r="E399" s="9" t="s">
        <v>3415</v>
      </c>
      <c r="G399" s="5" t="s">
        <v>920</v>
      </c>
      <c r="H399" s="9" t="s">
        <v>162</v>
      </c>
    </row>
    <row r="400" spans="4:8">
      <c r="D400" s="11" t="s">
        <v>3894</v>
      </c>
      <c r="E400" s="9" t="s">
        <v>3416</v>
      </c>
      <c r="G400" s="5" t="s">
        <v>921</v>
      </c>
      <c r="H400" s="9" t="s">
        <v>164</v>
      </c>
    </row>
    <row r="401" spans="4:8">
      <c r="D401" s="11" t="s">
        <v>3895</v>
      </c>
      <c r="E401" s="9" t="s">
        <v>3417</v>
      </c>
      <c r="G401" s="5" t="s">
        <v>922</v>
      </c>
      <c r="H401" s="9" t="s">
        <v>923</v>
      </c>
    </row>
    <row r="402" spans="4:8">
      <c r="D402" s="11" t="s">
        <v>3896</v>
      </c>
      <c r="E402" s="9" t="s">
        <v>3418</v>
      </c>
      <c r="G402" s="5" t="s">
        <v>924</v>
      </c>
      <c r="H402" s="9" t="s">
        <v>925</v>
      </c>
    </row>
    <row r="403" spans="4:8">
      <c r="D403" s="11" t="s">
        <v>3897</v>
      </c>
      <c r="E403" s="9" t="s">
        <v>2388</v>
      </c>
      <c r="G403" s="5" t="s">
        <v>926</v>
      </c>
      <c r="H403" s="9" t="s">
        <v>927</v>
      </c>
    </row>
    <row r="404" spans="4:8">
      <c r="D404" s="11" t="s">
        <v>3898</v>
      </c>
      <c r="E404" s="9" t="s">
        <v>3419</v>
      </c>
      <c r="G404" s="5" t="s">
        <v>928</v>
      </c>
      <c r="H404" s="9" t="s">
        <v>929</v>
      </c>
    </row>
    <row r="405" spans="4:8">
      <c r="D405" s="11" t="s">
        <v>3899</v>
      </c>
      <c r="E405" s="9" t="s">
        <v>2391</v>
      </c>
      <c r="G405" s="5" t="s">
        <v>930</v>
      </c>
      <c r="H405" s="9" t="s">
        <v>931</v>
      </c>
    </row>
    <row r="406" spans="4:8">
      <c r="D406" s="11" t="s">
        <v>3900</v>
      </c>
      <c r="E406" s="9" t="s">
        <v>3420</v>
      </c>
      <c r="G406" s="5" t="s">
        <v>932</v>
      </c>
      <c r="H406" s="9" t="s">
        <v>933</v>
      </c>
    </row>
    <row r="407" spans="4:8">
      <c r="D407" s="11" t="s">
        <v>3901</v>
      </c>
      <c r="E407" s="9" t="s">
        <v>2399</v>
      </c>
      <c r="G407" s="5" t="s">
        <v>934</v>
      </c>
      <c r="H407" s="9" t="s">
        <v>935</v>
      </c>
    </row>
    <row r="408" spans="4:8">
      <c r="D408" s="11" t="s">
        <v>3902</v>
      </c>
      <c r="E408" s="9" t="s">
        <v>3421</v>
      </c>
      <c r="G408" s="5" t="s">
        <v>936</v>
      </c>
      <c r="H408" s="9" t="s">
        <v>937</v>
      </c>
    </row>
    <row r="409" spans="4:8">
      <c r="D409" s="11" t="s">
        <v>3903</v>
      </c>
      <c r="E409" s="9" t="s">
        <v>3422</v>
      </c>
      <c r="G409" s="5" t="s">
        <v>938</v>
      </c>
      <c r="H409" s="9" t="s">
        <v>939</v>
      </c>
    </row>
    <row r="410" spans="4:8">
      <c r="D410" s="11" t="s">
        <v>3904</v>
      </c>
      <c r="E410" s="9" t="s">
        <v>3423</v>
      </c>
      <c r="G410" s="5" t="s">
        <v>940</v>
      </c>
      <c r="H410" s="9" t="s">
        <v>941</v>
      </c>
    </row>
    <row r="411" spans="4:8">
      <c r="D411" s="11" t="s">
        <v>3905</v>
      </c>
      <c r="E411" s="9" t="s">
        <v>2415</v>
      </c>
      <c r="G411" s="5" t="s">
        <v>942</v>
      </c>
      <c r="H411" s="9" t="s">
        <v>943</v>
      </c>
    </row>
    <row r="412" spans="4:8">
      <c r="D412" s="11" t="s">
        <v>3906</v>
      </c>
      <c r="E412" s="9" t="s">
        <v>3424</v>
      </c>
      <c r="G412" s="5" t="s">
        <v>944</v>
      </c>
      <c r="H412" s="9" t="s">
        <v>945</v>
      </c>
    </row>
    <row r="413" spans="4:8">
      <c r="D413" s="11" t="s">
        <v>3907</v>
      </c>
      <c r="E413" s="9" t="s">
        <v>2419</v>
      </c>
      <c r="G413" s="5" t="s">
        <v>946</v>
      </c>
      <c r="H413" s="9" t="s">
        <v>947</v>
      </c>
    </row>
    <row r="414" spans="4:8">
      <c r="D414" s="11" t="s">
        <v>3908</v>
      </c>
      <c r="E414" s="9" t="s">
        <v>2421</v>
      </c>
      <c r="G414" s="5" t="s">
        <v>948</v>
      </c>
      <c r="H414" s="9" t="s">
        <v>162</v>
      </c>
    </row>
    <row r="415" spans="4:8">
      <c r="D415" s="11" t="s">
        <v>3909</v>
      </c>
      <c r="E415" s="9" t="s">
        <v>2423</v>
      </c>
      <c r="G415" s="5" t="s">
        <v>949</v>
      </c>
      <c r="H415" s="9" t="s">
        <v>164</v>
      </c>
    </row>
    <row r="416" spans="4:8">
      <c r="D416" s="11" t="s">
        <v>3910</v>
      </c>
      <c r="E416" s="9" t="s">
        <v>3425</v>
      </c>
      <c r="G416" s="5" t="s">
        <v>950</v>
      </c>
      <c r="H416" s="9" t="s">
        <v>951</v>
      </c>
    </row>
    <row r="417" spans="4:8">
      <c r="D417" s="11" t="s">
        <v>3911</v>
      </c>
      <c r="E417" s="9" t="s">
        <v>3426</v>
      </c>
      <c r="G417" s="5" t="s">
        <v>952</v>
      </c>
      <c r="H417" s="9" t="s">
        <v>953</v>
      </c>
    </row>
    <row r="418" spans="4:8">
      <c r="D418" s="11" t="s">
        <v>3912</v>
      </c>
      <c r="E418" s="9" t="s">
        <v>2433</v>
      </c>
      <c r="G418" s="5" t="s">
        <v>954</v>
      </c>
      <c r="H418" s="9" t="s">
        <v>955</v>
      </c>
    </row>
    <row r="419" spans="4:8">
      <c r="D419" s="11" t="s">
        <v>3913</v>
      </c>
      <c r="E419" s="9" t="s">
        <v>3427</v>
      </c>
      <c r="G419" s="5" t="s">
        <v>956</v>
      </c>
      <c r="H419" s="9" t="s">
        <v>957</v>
      </c>
    </row>
    <row r="420" spans="4:8">
      <c r="D420" s="11" t="s">
        <v>3914</v>
      </c>
      <c r="E420" s="9" t="s">
        <v>2447</v>
      </c>
      <c r="G420" s="5" t="s">
        <v>958</v>
      </c>
      <c r="H420" s="9" t="s">
        <v>959</v>
      </c>
    </row>
    <row r="421" spans="4:8">
      <c r="D421" s="11" t="s">
        <v>3915</v>
      </c>
      <c r="E421" s="9" t="s">
        <v>2449</v>
      </c>
      <c r="G421" s="5" t="s">
        <v>960</v>
      </c>
      <c r="H421" s="9" t="s">
        <v>961</v>
      </c>
    </row>
    <row r="422" spans="4:8">
      <c r="D422" s="11" t="s">
        <v>3916</v>
      </c>
      <c r="E422" s="9" t="s">
        <v>2451</v>
      </c>
      <c r="G422" s="5" t="s">
        <v>962</v>
      </c>
      <c r="H422" s="9" t="s">
        <v>963</v>
      </c>
    </row>
    <row r="423" spans="4:8">
      <c r="D423" s="11" t="s">
        <v>3917</v>
      </c>
      <c r="E423" s="9" t="s">
        <v>2453</v>
      </c>
      <c r="G423" s="5" t="s">
        <v>964</v>
      </c>
      <c r="H423" s="9" t="s">
        <v>965</v>
      </c>
    </row>
    <row r="424" spans="4:8">
      <c r="D424" s="11" t="s">
        <v>3918</v>
      </c>
      <c r="E424" s="9" t="s">
        <v>2455</v>
      </c>
      <c r="G424" s="5" t="s">
        <v>966</v>
      </c>
      <c r="H424" s="9" t="s">
        <v>967</v>
      </c>
    </row>
    <row r="425" spans="4:8">
      <c r="D425" s="11" t="s">
        <v>3919</v>
      </c>
      <c r="E425" s="9" t="s">
        <v>3428</v>
      </c>
      <c r="G425" s="5" t="s">
        <v>968</v>
      </c>
      <c r="H425" s="9" t="s">
        <v>969</v>
      </c>
    </row>
    <row r="426" spans="4:8">
      <c r="D426" s="11" t="s">
        <v>3920</v>
      </c>
      <c r="E426" s="9" t="s">
        <v>3429</v>
      </c>
      <c r="G426" s="5" t="s">
        <v>970</v>
      </c>
      <c r="H426" s="9" t="s">
        <v>162</v>
      </c>
    </row>
    <row r="427" spans="4:8">
      <c r="D427" s="11" t="s">
        <v>3921</v>
      </c>
      <c r="E427" s="9" t="s">
        <v>2464</v>
      </c>
      <c r="G427" s="5" t="s">
        <v>971</v>
      </c>
      <c r="H427" s="9" t="s">
        <v>164</v>
      </c>
    </row>
    <row r="428" spans="4:8">
      <c r="D428" s="11" t="s">
        <v>3922</v>
      </c>
      <c r="E428" s="9" t="s">
        <v>2466</v>
      </c>
      <c r="G428" s="5" t="s">
        <v>972</v>
      </c>
      <c r="H428" s="9" t="s">
        <v>973</v>
      </c>
    </row>
    <row r="429" spans="4:8">
      <c r="D429" s="11" t="s">
        <v>3923</v>
      </c>
      <c r="E429" s="9" t="s">
        <v>3430</v>
      </c>
      <c r="G429" s="5" t="s">
        <v>974</v>
      </c>
      <c r="H429" s="9" t="s">
        <v>975</v>
      </c>
    </row>
    <row r="430" spans="4:8">
      <c r="D430" s="11" t="s">
        <v>3924</v>
      </c>
      <c r="E430" s="9" t="s">
        <v>3431</v>
      </c>
      <c r="G430" s="5" t="s">
        <v>976</v>
      </c>
      <c r="H430" s="9" t="s">
        <v>977</v>
      </c>
    </row>
    <row r="431" spans="4:8">
      <c r="D431" s="11" t="s">
        <v>3925</v>
      </c>
      <c r="E431" s="9" t="s">
        <v>2476</v>
      </c>
      <c r="G431" s="5" t="s">
        <v>978</v>
      </c>
      <c r="H431" s="9" t="s">
        <v>979</v>
      </c>
    </row>
    <row r="432" spans="4:8">
      <c r="D432" s="11" t="s">
        <v>3926</v>
      </c>
      <c r="E432" s="9" t="s">
        <v>2478</v>
      </c>
      <c r="G432" s="5" t="s">
        <v>980</v>
      </c>
      <c r="H432" s="9" t="s">
        <v>981</v>
      </c>
    </row>
    <row r="433" spans="4:8">
      <c r="D433" s="11" t="s">
        <v>3927</v>
      </c>
      <c r="E433" s="9" t="s">
        <v>2480</v>
      </c>
      <c r="G433" s="5" t="s">
        <v>982</v>
      </c>
      <c r="H433" s="9" t="s">
        <v>983</v>
      </c>
    </row>
    <row r="434" spans="4:8">
      <c r="D434" s="11" t="s">
        <v>3928</v>
      </c>
      <c r="E434" s="9" t="s">
        <v>2482</v>
      </c>
      <c r="G434" s="5" t="s">
        <v>984</v>
      </c>
      <c r="H434" s="9" t="s">
        <v>985</v>
      </c>
    </row>
    <row r="435" spans="4:8">
      <c r="D435" s="11" t="s">
        <v>3929</v>
      </c>
      <c r="E435" s="9" t="s">
        <v>3432</v>
      </c>
      <c r="G435" s="5" t="s">
        <v>986</v>
      </c>
      <c r="H435" s="9" t="s">
        <v>987</v>
      </c>
    </row>
    <row r="436" spans="4:8">
      <c r="D436" s="11" t="s">
        <v>3930</v>
      </c>
      <c r="E436" s="9" t="s">
        <v>3433</v>
      </c>
      <c r="G436" s="5" t="s">
        <v>988</v>
      </c>
      <c r="H436" s="9" t="s">
        <v>989</v>
      </c>
    </row>
    <row r="437" spans="4:8">
      <c r="D437" s="11" t="s">
        <v>3931</v>
      </c>
      <c r="E437" s="9" t="s">
        <v>3434</v>
      </c>
      <c r="G437" s="5" t="s">
        <v>990</v>
      </c>
      <c r="H437" s="9" t="s">
        <v>991</v>
      </c>
    </row>
    <row r="438" spans="4:8">
      <c r="D438" s="11" t="s">
        <v>3932</v>
      </c>
      <c r="E438" s="9" t="s">
        <v>3435</v>
      </c>
      <c r="G438" s="5" t="s">
        <v>992</v>
      </c>
      <c r="H438" s="9" t="s">
        <v>993</v>
      </c>
    </row>
    <row r="439" spans="4:8">
      <c r="D439" s="11" t="s">
        <v>3933</v>
      </c>
      <c r="E439" s="9" t="s">
        <v>2503</v>
      </c>
      <c r="G439" s="5" t="s">
        <v>994</v>
      </c>
      <c r="H439" s="9" t="s">
        <v>995</v>
      </c>
    </row>
    <row r="440" spans="4:8">
      <c r="D440" s="11" t="s">
        <v>3934</v>
      </c>
      <c r="E440" s="9" t="s">
        <v>2505</v>
      </c>
      <c r="G440" s="5" t="s">
        <v>996</v>
      </c>
      <c r="H440" s="9" t="s">
        <v>997</v>
      </c>
    </row>
    <row r="441" spans="4:8">
      <c r="D441" s="11" t="s">
        <v>3935</v>
      </c>
      <c r="E441" s="9" t="s">
        <v>3436</v>
      </c>
      <c r="G441" s="5" t="s">
        <v>998</v>
      </c>
      <c r="H441" s="9" t="s">
        <v>999</v>
      </c>
    </row>
    <row r="442" spans="4:8">
      <c r="D442" s="11" t="s">
        <v>3936</v>
      </c>
      <c r="E442" s="9" t="s">
        <v>3437</v>
      </c>
      <c r="G442" s="5" t="s">
        <v>1000</v>
      </c>
      <c r="H442" s="9" t="s">
        <v>1001</v>
      </c>
    </row>
    <row r="443" spans="4:8">
      <c r="D443" s="11" t="s">
        <v>3937</v>
      </c>
      <c r="E443" s="9" t="s">
        <v>3438</v>
      </c>
      <c r="G443" s="5" t="s">
        <v>1002</v>
      </c>
      <c r="H443" s="9" t="s">
        <v>1003</v>
      </c>
    </row>
    <row r="444" spans="4:8">
      <c r="D444" s="11" t="s">
        <v>3938</v>
      </c>
      <c r="E444" s="9" t="s">
        <v>3439</v>
      </c>
      <c r="G444" s="5" t="s">
        <v>1004</v>
      </c>
      <c r="H444" s="9" t="s">
        <v>1005</v>
      </c>
    </row>
    <row r="445" spans="4:8">
      <c r="D445" s="11" t="s">
        <v>3939</v>
      </c>
      <c r="E445" s="9" t="s">
        <v>2526</v>
      </c>
      <c r="G445" s="5" t="s">
        <v>1006</v>
      </c>
      <c r="H445" s="9" t="s">
        <v>1007</v>
      </c>
    </row>
    <row r="446" spans="4:8">
      <c r="D446" s="11" t="s">
        <v>3940</v>
      </c>
      <c r="E446" s="9" t="s">
        <v>3440</v>
      </c>
      <c r="G446" s="5" t="s">
        <v>1008</v>
      </c>
      <c r="H446" s="9" t="s">
        <v>1009</v>
      </c>
    </row>
    <row r="447" spans="4:8">
      <c r="D447" s="11" t="s">
        <v>3941</v>
      </c>
      <c r="E447" s="9" t="s">
        <v>3441</v>
      </c>
      <c r="G447" s="5" t="s">
        <v>1010</v>
      </c>
      <c r="H447" s="9" t="s">
        <v>1011</v>
      </c>
    </row>
    <row r="448" spans="4:8">
      <c r="D448" s="11" t="s">
        <v>3942</v>
      </c>
      <c r="E448" s="9" t="s">
        <v>3442</v>
      </c>
      <c r="G448" s="5" t="s">
        <v>1012</v>
      </c>
      <c r="H448" s="9" t="s">
        <v>1013</v>
      </c>
    </row>
    <row r="449" spans="4:8">
      <c r="D449" s="11" t="s">
        <v>3943</v>
      </c>
      <c r="E449" s="9" t="s">
        <v>3443</v>
      </c>
      <c r="G449" s="5" t="s">
        <v>1014</v>
      </c>
      <c r="H449" s="9" t="s">
        <v>1015</v>
      </c>
    </row>
    <row r="450" spans="4:8">
      <c r="D450" s="11" t="s">
        <v>3944</v>
      </c>
      <c r="E450" s="9" t="s">
        <v>3444</v>
      </c>
      <c r="G450" s="5" t="s">
        <v>1016</v>
      </c>
      <c r="H450" s="9" t="s">
        <v>1017</v>
      </c>
    </row>
    <row r="451" spans="4:8">
      <c r="D451" s="11" t="s">
        <v>3945</v>
      </c>
      <c r="E451" s="9" t="s">
        <v>3445</v>
      </c>
      <c r="G451" s="5" t="s">
        <v>1018</v>
      </c>
      <c r="H451" s="9" t="s">
        <v>1019</v>
      </c>
    </row>
    <row r="452" spans="4:8">
      <c r="D452" s="11" t="s">
        <v>3946</v>
      </c>
      <c r="E452" s="9" t="s">
        <v>3446</v>
      </c>
      <c r="G452" s="5" t="s">
        <v>1020</v>
      </c>
      <c r="H452" s="9" t="s">
        <v>1021</v>
      </c>
    </row>
    <row r="453" spans="4:8">
      <c r="D453" s="11" t="s">
        <v>3947</v>
      </c>
      <c r="E453" s="9" t="s">
        <v>2599</v>
      </c>
      <c r="G453" s="5" t="s">
        <v>1022</v>
      </c>
      <c r="H453" s="9" t="s">
        <v>1023</v>
      </c>
    </row>
    <row r="454" spans="4:8">
      <c r="D454" s="11" t="s">
        <v>3948</v>
      </c>
      <c r="E454" s="9" t="s">
        <v>2601</v>
      </c>
      <c r="G454" s="5" t="s">
        <v>1024</v>
      </c>
      <c r="H454" s="9" t="s">
        <v>1025</v>
      </c>
    </row>
    <row r="455" spans="4:8">
      <c r="D455" s="11" t="s">
        <v>3949</v>
      </c>
      <c r="E455" s="9" t="s">
        <v>2603</v>
      </c>
      <c r="G455" s="5" t="s">
        <v>1026</v>
      </c>
      <c r="H455" s="9" t="s">
        <v>1027</v>
      </c>
    </row>
    <row r="456" spans="4:8">
      <c r="D456" s="11" t="s">
        <v>3950</v>
      </c>
      <c r="E456" s="9" t="s">
        <v>3447</v>
      </c>
      <c r="G456" s="5" t="s">
        <v>1028</v>
      </c>
      <c r="H456" s="9" t="s">
        <v>1029</v>
      </c>
    </row>
    <row r="457" spans="4:8">
      <c r="D457" s="11" t="s">
        <v>3951</v>
      </c>
      <c r="E457" s="9" t="s">
        <v>2609</v>
      </c>
      <c r="G457" s="5" t="s">
        <v>1030</v>
      </c>
      <c r="H457" s="9" t="s">
        <v>1031</v>
      </c>
    </row>
    <row r="458" spans="4:8">
      <c r="D458" s="11" t="s">
        <v>3952</v>
      </c>
      <c r="E458" s="9" t="s">
        <v>3448</v>
      </c>
      <c r="G458" s="5" t="s">
        <v>1032</v>
      </c>
      <c r="H458" s="9" t="s">
        <v>1033</v>
      </c>
    </row>
    <row r="459" spans="4:8">
      <c r="D459" s="11" t="s">
        <v>3953</v>
      </c>
      <c r="E459" s="9" t="s">
        <v>3449</v>
      </c>
      <c r="G459" s="5" t="s">
        <v>1034</v>
      </c>
      <c r="H459" s="9" t="s">
        <v>1035</v>
      </c>
    </row>
    <row r="460" spans="4:8">
      <c r="D460" s="11" t="s">
        <v>3954</v>
      </c>
      <c r="E460" s="9" t="s">
        <v>2621</v>
      </c>
      <c r="G460" s="5" t="s">
        <v>1036</v>
      </c>
      <c r="H460" s="9" t="s">
        <v>1037</v>
      </c>
    </row>
    <row r="461" spans="4:8">
      <c r="D461" s="11" t="s">
        <v>3955</v>
      </c>
      <c r="E461" s="9" t="s">
        <v>3450</v>
      </c>
      <c r="G461" s="5" t="s">
        <v>1038</v>
      </c>
      <c r="H461" s="9" t="s">
        <v>1039</v>
      </c>
    </row>
    <row r="462" spans="4:8">
      <c r="D462" s="11" t="s">
        <v>3956</v>
      </c>
      <c r="E462" s="9" t="s">
        <v>3451</v>
      </c>
      <c r="G462" s="5" t="s">
        <v>1040</v>
      </c>
      <c r="H462" s="9" t="s">
        <v>1041</v>
      </c>
    </row>
    <row r="463" spans="4:8">
      <c r="D463" s="11" t="s">
        <v>3957</v>
      </c>
      <c r="E463" s="9" t="s">
        <v>3452</v>
      </c>
      <c r="G463" s="5" t="s">
        <v>1042</v>
      </c>
      <c r="H463" s="9" t="s">
        <v>1043</v>
      </c>
    </row>
    <row r="464" spans="4:8">
      <c r="D464" s="11" t="s">
        <v>3958</v>
      </c>
      <c r="E464" s="9" t="s">
        <v>3453</v>
      </c>
      <c r="G464" s="5" t="s">
        <v>1044</v>
      </c>
      <c r="H464" s="9" t="s">
        <v>1045</v>
      </c>
    </row>
    <row r="465" spans="4:8">
      <c r="D465" s="11" t="s">
        <v>3959</v>
      </c>
      <c r="E465" s="9" t="s">
        <v>2646</v>
      </c>
      <c r="G465" s="5" t="s">
        <v>1046</v>
      </c>
      <c r="H465" s="9" t="s">
        <v>1047</v>
      </c>
    </row>
    <row r="466" spans="4:8">
      <c r="D466" s="11" t="s">
        <v>3960</v>
      </c>
      <c r="E466" s="9" t="s">
        <v>3454</v>
      </c>
      <c r="G466" s="5" t="s">
        <v>1048</v>
      </c>
      <c r="H466" s="9" t="s">
        <v>1049</v>
      </c>
    </row>
    <row r="467" spans="4:8">
      <c r="D467" s="11" t="s">
        <v>3961</v>
      </c>
      <c r="E467" s="9" t="s">
        <v>2662</v>
      </c>
      <c r="G467" s="5" t="s">
        <v>1050</v>
      </c>
      <c r="H467" s="9" t="s">
        <v>1051</v>
      </c>
    </row>
    <row r="468" spans="4:8">
      <c r="D468" s="11" t="s">
        <v>3962</v>
      </c>
      <c r="E468" s="9" t="s">
        <v>3455</v>
      </c>
      <c r="G468" s="5" t="s">
        <v>1052</v>
      </c>
      <c r="H468" s="9" t="s">
        <v>1053</v>
      </c>
    </row>
    <row r="469" spans="4:8">
      <c r="D469" s="11" t="s">
        <v>3963</v>
      </c>
      <c r="E469" s="9" t="s">
        <v>3456</v>
      </c>
      <c r="G469" s="5" t="s">
        <v>1054</v>
      </c>
      <c r="H469" s="9" t="s">
        <v>1055</v>
      </c>
    </row>
    <row r="470" spans="4:8">
      <c r="D470" s="11" t="s">
        <v>3964</v>
      </c>
      <c r="E470" s="9" t="s">
        <v>3457</v>
      </c>
      <c r="G470" s="5" t="s">
        <v>1056</v>
      </c>
      <c r="H470" s="9" t="s">
        <v>1057</v>
      </c>
    </row>
    <row r="471" spans="4:8">
      <c r="D471" s="11" t="s">
        <v>3965</v>
      </c>
      <c r="E471" s="9" t="s">
        <v>2674</v>
      </c>
      <c r="G471" s="5" t="s">
        <v>1058</v>
      </c>
      <c r="H471" s="9" t="s">
        <v>1059</v>
      </c>
    </row>
    <row r="472" spans="4:8">
      <c r="D472" s="11" t="s">
        <v>3966</v>
      </c>
      <c r="E472" s="9" t="s">
        <v>3458</v>
      </c>
      <c r="G472" s="5" t="s">
        <v>1060</v>
      </c>
      <c r="H472" s="9" t="s">
        <v>162</v>
      </c>
    </row>
    <row r="473" spans="4:8">
      <c r="D473" s="11" t="s">
        <v>3967</v>
      </c>
      <c r="E473" s="9" t="s">
        <v>3459</v>
      </c>
      <c r="G473" s="5" t="s">
        <v>1061</v>
      </c>
      <c r="H473" s="9" t="s">
        <v>164</v>
      </c>
    </row>
    <row r="474" spans="4:8">
      <c r="D474" s="11" t="s">
        <v>3968</v>
      </c>
      <c r="E474" s="9" t="s">
        <v>3460</v>
      </c>
      <c r="G474" s="5" t="s">
        <v>1062</v>
      </c>
      <c r="H474" s="9" t="s">
        <v>1063</v>
      </c>
    </row>
    <row r="475" spans="4:8">
      <c r="D475" s="11" t="s">
        <v>3969</v>
      </c>
      <c r="E475" s="9" t="s">
        <v>3461</v>
      </c>
      <c r="G475" s="5" t="s">
        <v>1064</v>
      </c>
      <c r="H475" s="9" t="s">
        <v>1065</v>
      </c>
    </row>
    <row r="476" spans="4:8">
      <c r="D476" s="11" t="s">
        <v>3970</v>
      </c>
      <c r="E476" s="9" t="s">
        <v>2690</v>
      </c>
      <c r="G476" s="5" t="s">
        <v>1066</v>
      </c>
      <c r="H476" s="9" t="s">
        <v>1067</v>
      </c>
    </row>
    <row r="477" spans="4:8">
      <c r="D477" s="11" t="s">
        <v>3971</v>
      </c>
      <c r="E477" s="9" t="s">
        <v>3462</v>
      </c>
      <c r="G477" s="5" t="s">
        <v>1068</v>
      </c>
      <c r="H477" s="9" t="s">
        <v>1069</v>
      </c>
    </row>
    <row r="478" spans="4:8">
      <c r="D478" s="11" t="s">
        <v>3972</v>
      </c>
      <c r="E478" s="9" t="s">
        <v>3463</v>
      </c>
      <c r="G478" s="5" t="s">
        <v>1070</v>
      </c>
      <c r="H478" s="9" t="s">
        <v>1071</v>
      </c>
    </row>
    <row r="479" spans="4:8">
      <c r="D479" s="11" t="s">
        <v>3973</v>
      </c>
      <c r="E479" s="9" t="s">
        <v>3464</v>
      </c>
      <c r="G479" s="5" t="s">
        <v>1072</v>
      </c>
      <c r="H479" s="9" t="s">
        <v>1073</v>
      </c>
    </row>
    <row r="480" spans="4:8">
      <c r="D480" s="11" t="s">
        <v>3974</v>
      </c>
      <c r="E480" s="9" t="s">
        <v>2710</v>
      </c>
      <c r="G480" s="5" t="s">
        <v>1074</v>
      </c>
      <c r="H480" s="9" t="s">
        <v>1075</v>
      </c>
    </row>
    <row r="481" spans="4:8">
      <c r="D481" s="11" t="s">
        <v>3975</v>
      </c>
      <c r="E481" s="9" t="s">
        <v>2712</v>
      </c>
      <c r="G481" s="5" t="s">
        <v>1076</v>
      </c>
      <c r="H481" s="9" t="s">
        <v>1077</v>
      </c>
    </row>
    <row r="482" spans="4:8">
      <c r="D482" s="11" t="s">
        <v>3976</v>
      </c>
      <c r="E482" s="9" t="s">
        <v>3465</v>
      </c>
      <c r="G482" s="5" t="s">
        <v>1078</v>
      </c>
      <c r="H482" s="9" t="s">
        <v>1079</v>
      </c>
    </row>
    <row r="483" spans="4:8">
      <c r="D483" s="11" t="s">
        <v>3977</v>
      </c>
      <c r="E483" s="9" t="s">
        <v>3466</v>
      </c>
      <c r="G483" s="5" t="s">
        <v>1080</v>
      </c>
      <c r="H483" s="9" t="s">
        <v>1081</v>
      </c>
    </row>
    <row r="484" spans="4:8">
      <c r="D484" s="11" t="s">
        <v>3978</v>
      </c>
      <c r="E484" s="9" t="s">
        <v>3467</v>
      </c>
      <c r="G484" s="5" t="s">
        <v>1082</v>
      </c>
      <c r="H484" s="9" t="s">
        <v>1083</v>
      </c>
    </row>
    <row r="485" spans="4:8">
      <c r="D485" s="11" t="s">
        <v>3979</v>
      </c>
      <c r="E485" s="9" t="s">
        <v>3468</v>
      </c>
      <c r="G485" s="5" t="s">
        <v>1084</v>
      </c>
      <c r="H485" s="9" t="s">
        <v>1085</v>
      </c>
    </row>
    <row r="486" spans="4:8">
      <c r="D486" s="11" t="s">
        <v>3980</v>
      </c>
      <c r="E486" s="9" t="s">
        <v>3469</v>
      </c>
      <c r="G486" s="5" t="s">
        <v>1086</v>
      </c>
      <c r="H486" s="9" t="s">
        <v>1087</v>
      </c>
    </row>
    <row r="487" spans="4:8">
      <c r="D487" s="11" t="s">
        <v>3981</v>
      </c>
      <c r="E487" s="9" t="s">
        <v>2741</v>
      </c>
      <c r="G487" s="5" t="s">
        <v>1088</v>
      </c>
      <c r="H487" s="9" t="s">
        <v>1089</v>
      </c>
    </row>
    <row r="488" spans="4:8">
      <c r="D488" s="11" t="s">
        <v>3982</v>
      </c>
      <c r="E488" s="9" t="s">
        <v>3470</v>
      </c>
      <c r="G488" s="5" t="s">
        <v>1090</v>
      </c>
      <c r="H488" s="9" t="s">
        <v>1091</v>
      </c>
    </row>
    <row r="489" spans="4:8">
      <c r="D489" s="11" t="s">
        <v>3983</v>
      </c>
      <c r="E489" s="9" t="s">
        <v>3471</v>
      </c>
      <c r="G489" s="5" t="s">
        <v>1092</v>
      </c>
      <c r="H489" s="9" t="s">
        <v>1093</v>
      </c>
    </row>
    <row r="490" spans="4:8">
      <c r="D490" s="11" t="s">
        <v>3984</v>
      </c>
      <c r="E490" s="9" t="s">
        <v>3472</v>
      </c>
      <c r="G490" s="5" t="s">
        <v>1094</v>
      </c>
      <c r="H490" s="9" t="s">
        <v>1095</v>
      </c>
    </row>
    <row r="491" spans="4:8">
      <c r="D491" s="11" t="s">
        <v>3985</v>
      </c>
      <c r="E491" s="9" t="s">
        <v>2756</v>
      </c>
      <c r="G491" s="5" t="s">
        <v>1096</v>
      </c>
      <c r="H491" s="9" t="s">
        <v>1097</v>
      </c>
    </row>
    <row r="492" spans="4:8">
      <c r="D492" s="11" t="s">
        <v>3986</v>
      </c>
      <c r="E492" s="9" t="s">
        <v>3473</v>
      </c>
      <c r="G492" s="5" t="s">
        <v>1098</v>
      </c>
      <c r="H492" s="9" t="s">
        <v>1099</v>
      </c>
    </row>
    <row r="493" spans="4:8">
      <c r="D493" s="11" t="s">
        <v>3987</v>
      </c>
      <c r="E493" s="9" t="s">
        <v>3474</v>
      </c>
      <c r="G493" s="5" t="s">
        <v>1100</v>
      </c>
      <c r="H493" s="9" t="s">
        <v>1101</v>
      </c>
    </row>
    <row r="494" spans="4:8">
      <c r="D494" s="11" t="s">
        <v>3988</v>
      </c>
      <c r="E494" s="9" t="s">
        <v>3475</v>
      </c>
      <c r="G494" s="5" t="s">
        <v>1102</v>
      </c>
      <c r="H494" s="9" t="s">
        <v>1103</v>
      </c>
    </row>
    <row r="495" spans="4:8">
      <c r="D495" s="11" t="s">
        <v>3989</v>
      </c>
      <c r="E495" s="9" t="s">
        <v>3476</v>
      </c>
      <c r="G495" s="5" t="s">
        <v>1104</v>
      </c>
      <c r="H495" s="9" t="s">
        <v>1105</v>
      </c>
    </row>
    <row r="496" spans="4:8">
      <c r="D496" s="11" t="s">
        <v>3990</v>
      </c>
      <c r="E496" s="9" t="s">
        <v>3477</v>
      </c>
      <c r="G496" s="5" t="s">
        <v>1106</v>
      </c>
      <c r="H496" s="9" t="s">
        <v>1107</v>
      </c>
    </row>
    <row r="497" spans="4:8">
      <c r="D497" s="11" t="s">
        <v>3991</v>
      </c>
      <c r="E497" s="9" t="s">
        <v>2970</v>
      </c>
      <c r="G497" s="5" t="s">
        <v>1108</v>
      </c>
      <c r="H497" s="9" t="s">
        <v>1109</v>
      </c>
    </row>
    <row r="498" spans="4:8">
      <c r="D498" s="11" t="s">
        <v>3992</v>
      </c>
      <c r="E498" s="9" t="s">
        <v>3478</v>
      </c>
      <c r="G498" s="5" t="s">
        <v>1110</v>
      </c>
      <c r="H498" s="9" t="s">
        <v>162</v>
      </c>
    </row>
    <row r="499" spans="4:8">
      <c r="D499" s="11" t="s">
        <v>3993</v>
      </c>
      <c r="E499" s="9" t="s">
        <v>3479</v>
      </c>
      <c r="G499" s="5" t="s">
        <v>1111</v>
      </c>
      <c r="H499" s="9" t="s">
        <v>164</v>
      </c>
    </row>
    <row r="500" spans="4:8">
      <c r="D500" s="11" t="s">
        <v>3994</v>
      </c>
      <c r="E500" s="9" t="s">
        <v>2797</v>
      </c>
      <c r="G500" s="5" t="s">
        <v>1112</v>
      </c>
      <c r="H500" s="9" t="s">
        <v>1113</v>
      </c>
    </row>
    <row r="501" spans="4:8">
      <c r="D501" s="11" t="s">
        <v>3995</v>
      </c>
      <c r="E501" s="9" t="s">
        <v>2799</v>
      </c>
      <c r="G501" s="5" t="s">
        <v>1114</v>
      </c>
      <c r="H501" s="9" t="s">
        <v>1115</v>
      </c>
    </row>
    <row r="502" spans="4:8">
      <c r="D502" s="11" t="s">
        <v>3996</v>
      </c>
      <c r="E502" s="9" t="s">
        <v>3480</v>
      </c>
      <c r="G502" s="5" t="s">
        <v>1116</v>
      </c>
      <c r="H502" s="9" t="s">
        <v>1117</v>
      </c>
    </row>
    <row r="503" spans="4:8">
      <c r="D503" s="11" t="s">
        <v>3997</v>
      </c>
      <c r="E503" s="9" t="s">
        <v>3481</v>
      </c>
      <c r="G503" s="5" t="s">
        <v>1118</v>
      </c>
      <c r="H503" s="9" t="s">
        <v>1119</v>
      </c>
    </row>
    <row r="504" spans="4:8">
      <c r="D504" s="11" t="s">
        <v>3998</v>
      </c>
      <c r="E504" s="9" t="s">
        <v>2813</v>
      </c>
      <c r="G504" s="5" t="s">
        <v>1120</v>
      </c>
      <c r="H504" s="9" t="s">
        <v>1121</v>
      </c>
    </row>
    <row r="505" spans="4:8">
      <c r="D505" s="11" t="s">
        <v>3999</v>
      </c>
      <c r="E505" s="9" t="s">
        <v>2815</v>
      </c>
      <c r="G505" s="5" t="s">
        <v>1122</v>
      </c>
      <c r="H505" s="9" t="s">
        <v>1123</v>
      </c>
    </row>
    <row r="506" spans="4:8">
      <c r="D506" s="11" t="s">
        <v>4000</v>
      </c>
      <c r="E506" s="9" t="s">
        <v>3482</v>
      </c>
      <c r="G506" s="5" t="s">
        <v>1124</v>
      </c>
      <c r="H506" s="9" t="s">
        <v>1125</v>
      </c>
    </row>
    <row r="507" spans="4:8">
      <c r="D507" s="11" t="s">
        <v>4001</v>
      </c>
      <c r="E507" s="9" t="s">
        <v>3483</v>
      </c>
      <c r="G507" s="5" t="s">
        <v>1126</v>
      </c>
      <c r="H507" s="9" t="s">
        <v>1127</v>
      </c>
    </row>
    <row r="508" spans="4:8">
      <c r="D508" s="11" t="s">
        <v>4002</v>
      </c>
      <c r="E508" s="9" t="s">
        <v>3484</v>
      </c>
      <c r="G508" s="5" t="s">
        <v>1128</v>
      </c>
      <c r="H508" s="9" t="s">
        <v>1129</v>
      </c>
    </row>
    <row r="509" spans="4:8">
      <c r="D509" s="11" t="s">
        <v>4003</v>
      </c>
      <c r="E509" s="9" t="s">
        <v>2827</v>
      </c>
      <c r="G509" s="5" t="s">
        <v>1130</v>
      </c>
      <c r="H509" s="9" t="s">
        <v>1131</v>
      </c>
    </row>
    <row r="510" spans="4:8">
      <c r="D510" s="11" t="s">
        <v>4004</v>
      </c>
      <c r="E510" s="9" t="s">
        <v>3485</v>
      </c>
      <c r="G510" s="5" t="s">
        <v>1132</v>
      </c>
      <c r="H510" s="9" t="s">
        <v>1133</v>
      </c>
    </row>
    <row r="511" spans="4:8">
      <c r="D511" s="11" t="s">
        <v>4005</v>
      </c>
      <c r="E511" s="9" t="s">
        <v>3486</v>
      </c>
      <c r="G511" s="5" t="s">
        <v>1134</v>
      </c>
      <c r="H511" s="9" t="s">
        <v>1135</v>
      </c>
    </row>
    <row r="512" spans="4:8">
      <c r="D512" s="11" t="s">
        <v>4006</v>
      </c>
      <c r="E512" s="9" t="s">
        <v>2843</v>
      </c>
      <c r="G512" s="5" t="s">
        <v>1136</v>
      </c>
      <c r="H512" s="9" t="s">
        <v>1137</v>
      </c>
    </row>
    <row r="513" spans="4:8">
      <c r="D513" s="11" t="s">
        <v>4007</v>
      </c>
      <c r="E513" s="9" t="s">
        <v>3487</v>
      </c>
      <c r="G513" s="5" t="s">
        <v>1138</v>
      </c>
      <c r="H513" s="9" t="s">
        <v>1139</v>
      </c>
    </row>
    <row r="514" spans="4:8">
      <c r="D514" s="11" t="s">
        <v>4008</v>
      </c>
      <c r="E514" s="9" t="s">
        <v>2849</v>
      </c>
      <c r="G514" s="5" t="s">
        <v>1140</v>
      </c>
      <c r="H514" s="9" t="s">
        <v>1141</v>
      </c>
    </row>
    <row r="515" spans="4:8">
      <c r="D515" s="11" t="s">
        <v>4009</v>
      </c>
      <c r="E515" s="9" t="s">
        <v>2851</v>
      </c>
      <c r="G515" s="5" t="s">
        <v>1142</v>
      </c>
      <c r="H515" s="9" t="s">
        <v>1143</v>
      </c>
    </row>
    <row r="516" spans="4:8">
      <c r="D516" s="11" t="s">
        <v>4010</v>
      </c>
      <c r="E516" s="9" t="s">
        <v>3488</v>
      </c>
      <c r="G516" s="5" t="s">
        <v>1144</v>
      </c>
      <c r="H516" s="9" t="s">
        <v>1145</v>
      </c>
    </row>
    <row r="517" spans="4:8">
      <c r="D517" s="11" t="s">
        <v>4011</v>
      </c>
      <c r="E517" s="9" t="s">
        <v>3489</v>
      </c>
      <c r="G517" s="5" t="s">
        <v>1146</v>
      </c>
      <c r="H517" s="9" t="s">
        <v>1147</v>
      </c>
    </row>
    <row r="518" spans="4:8">
      <c r="D518" s="11" t="s">
        <v>4012</v>
      </c>
      <c r="E518" s="9" t="s">
        <v>3490</v>
      </c>
      <c r="G518" s="5" t="s">
        <v>1148</v>
      </c>
      <c r="H518" s="9" t="s">
        <v>162</v>
      </c>
    </row>
    <row r="519" spans="4:8">
      <c r="D519" s="11" t="s">
        <v>4013</v>
      </c>
      <c r="E519" s="9" t="s">
        <v>3491</v>
      </c>
      <c r="G519" s="5" t="s">
        <v>1149</v>
      </c>
      <c r="H519" s="9" t="s">
        <v>164</v>
      </c>
    </row>
    <row r="520" spans="4:8">
      <c r="D520" s="11" t="s">
        <v>4014</v>
      </c>
      <c r="E520" s="9" t="s">
        <v>3492</v>
      </c>
      <c r="G520" s="5" t="s">
        <v>1150</v>
      </c>
      <c r="H520" s="9" t="s">
        <v>1151</v>
      </c>
    </row>
    <row r="521" spans="4:8">
      <c r="D521" s="11" t="s">
        <v>4015</v>
      </c>
      <c r="E521" s="9" t="s">
        <v>2870</v>
      </c>
      <c r="G521" s="5" t="s">
        <v>1152</v>
      </c>
      <c r="H521" s="9" t="s">
        <v>1153</v>
      </c>
    </row>
    <row r="522" spans="4:8">
      <c r="D522" s="11" t="s">
        <v>4016</v>
      </c>
      <c r="E522" s="9" t="s">
        <v>2872</v>
      </c>
      <c r="G522" s="5" t="s">
        <v>1154</v>
      </c>
      <c r="H522" s="9" t="s">
        <v>1155</v>
      </c>
    </row>
    <row r="523" spans="4:8">
      <c r="D523" s="11" t="s">
        <v>4017</v>
      </c>
      <c r="E523" s="9" t="s">
        <v>2874</v>
      </c>
      <c r="G523" s="5" t="s">
        <v>1156</v>
      </c>
      <c r="H523" s="9" t="s">
        <v>1157</v>
      </c>
    </row>
    <row r="524" spans="4:8">
      <c r="D524" s="11" t="s">
        <v>4018</v>
      </c>
      <c r="E524" s="9" t="s">
        <v>2876</v>
      </c>
      <c r="G524" s="5" t="s">
        <v>1158</v>
      </c>
      <c r="H524" s="9" t="s">
        <v>1159</v>
      </c>
    </row>
    <row r="525" spans="4:8">
      <c r="D525" s="11" t="s">
        <v>4019</v>
      </c>
      <c r="E525" s="9" t="s">
        <v>2878</v>
      </c>
      <c r="G525" s="5" t="s">
        <v>1160</v>
      </c>
      <c r="H525" s="9" t="s">
        <v>1161</v>
      </c>
    </row>
    <row r="526" spans="4:8">
      <c r="D526" s="11" t="s">
        <v>4020</v>
      </c>
      <c r="E526" s="9" t="s">
        <v>2880</v>
      </c>
      <c r="G526" s="5" t="s">
        <v>1162</v>
      </c>
      <c r="H526" s="9" t="s">
        <v>1163</v>
      </c>
    </row>
    <row r="527" spans="4:8">
      <c r="D527" s="11" t="s">
        <v>4021</v>
      </c>
      <c r="E527" s="9" t="s">
        <v>2882</v>
      </c>
      <c r="G527" s="5" t="s">
        <v>1164</v>
      </c>
      <c r="H527" s="9" t="s">
        <v>1165</v>
      </c>
    </row>
    <row r="528" spans="4:8">
      <c r="D528" s="11" t="s">
        <v>4022</v>
      </c>
      <c r="E528" s="9" t="s">
        <v>2884</v>
      </c>
      <c r="G528" s="5" t="s">
        <v>1166</v>
      </c>
      <c r="H528" s="9" t="s">
        <v>1167</v>
      </c>
    </row>
    <row r="529" spans="4:8">
      <c r="D529" s="11" t="s">
        <v>4023</v>
      </c>
      <c r="E529" s="9" t="s">
        <v>2886</v>
      </c>
      <c r="G529" s="5" t="s">
        <v>1168</v>
      </c>
      <c r="H529" s="9" t="s">
        <v>1169</v>
      </c>
    </row>
    <row r="530" spans="4:8">
      <c r="D530" s="11" t="s">
        <v>4024</v>
      </c>
      <c r="E530" s="9" t="s">
        <v>2888</v>
      </c>
      <c r="G530" s="5" t="s">
        <v>1170</v>
      </c>
      <c r="H530" s="9" t="s">
        <v>1171</v>
      </c>
    </row>
    <row r="531" spans="4:8">
      <c r="D531" s="11" t="s">
        <v>4025</v>
      </c>
      <c r="E531" s="9" t="s">
        <v>2980</v>
      </c>
      <c r="G531" s="5" t="s">
        <v>1172</v>
      </c>
      <c r="H531" s="9" t="s">
        <v>1173</v>
      </c>
    </row>
    <row r="532" spans="4:8">
      <c r="G532" s="5" t="s">
        <v>1174</v>
      </c>
      <c r="H532" s="9" t="s">
        <v>1175</v>
      </c>
    </row>
    <row r="533" spans="4:8">
      <c r="G533" s="5" t="s">
        <v>1176</v>
      </c>
      <c r="H533" s="9" t="s">
        <v>1177</v>
      </c>
    </row>
    <row r="534" spans="4:8">
      <c r="G534" s="5" t="s">
        <v>1178</v>
      </c>
      <c r="H534" s="9" t="s">
        <v>1179</v>
      </c>
    </row>
    <row r="535" spans="4:8">
      <c r="G535" s="5" t="s">
        <v>1180</v>
      </c>
      <c r="H535" s="9" t="s">
        <v>1181</v>
      </c>
    </row>
    <row r="536" spans="4:8">
      <c r="G536" s="5" t="s">
        <v>1182</v>
      </c>
      <c r="H536" s="9" t="s">
        <v>1183</v>
      </c>
    </row>
    <row r="537" spans="4:8">
      <c r="G537" s="5" t="s">
        <v>1184</v>
      </c>
      <c r="H537" s="9" t="s">
        <v>1185</v>
      </c>
    </row>
    <row r="538" spans="4:8">
      <c r="G538" s="5" t="s">
        <v>1186</v>
      </c>
      <c r="H538" s="9" t="s">
        <v>1187</v>
      </c>
    </row>
    <row r="539" spans="4:8">
      <c r="G539" s="5" t="s">
        <v>1188</v>
      </c>
      <c r="H539" s="9" t="s">
        <v>1189</v>
      </c>
    </row>
    <row r="540" spans="4:8">
      <c r="G540" s="5" t="s">
        <v>1190</v>
      </c>
      <c r="H540" s="9" t="s">
        <v>1191</v>
      </c>
    </row>
    <row r="541" spans="4:8">
      <c r="G541" s="5" t="s">
        <v>1192</v>
      </c>
      <c r="H541" s="9" t="s">
        <v>1193</v>
      </c>
    </row>
    <row r="542" spans="4:8">
      <c r="G542" s="5" t="s">
        <v>1194</v>
      </c>
      <c r="H542" s="9" t="s">
        <v>1195</v>
      </c>
    </row>
    <row r="543" spans="4:8">
      <c r="G543" s="5" t="s">
        <v>1196</v>
      </c>
      <c r="H543" s="9" t="s">
        <v>1197</v>
      </c>
    </row>
    <row r="544" spans="4:8">
      <c r="G544" s="5" t="s">
        <v>1198</v>
      </c>
      <c r="H544" s="9" t="s">
        <v>1199</v>
      </c>
    </row>
    <row r="545" spans="7:8">
      <c r="G545" s="5" t="s">
        <v>1200</v>
      </c>
      <c r="H545" s="9" t="s">
        <v>1201</v>
      </c>
    </row>
    <row r="546" spans="7:8">
      <c r="G546" s="5" t="s">
        <v>1202</v>
      </c>
      <c r="H546" s="9" t="s">
        <v>1203</v>
      </c>
    </row>
    <row r="547" spans="7:8">
      <c r="G547" s="5" t="s">
        <v>1204</v>
      </c>
      <c r="H547" s="9" t="s">
        <v>1205</v>
      </c>
    </row>
    <row r="548" spans="7:8">
      <c r="G548" s="5" t="s">
        <v>1206</v>
      </c>
      <c r="H548" s="9" t="s">
        <v>1207</v>
      </c>
    </row>
    <row r="549" spans="7:8">
      <c r="G549" s="5" t="s">
        <v>1208</v>
      </c>
      <c r="H549" s="9" t="s">
        <v>1209</v>
      </c>
    </row>
    <row r="550" spans="7:8">
      <c r="G550" s="5" t="s">
        <v>1210</v>
      </c>
      <c r="H550" s="9" t="s">
        <v>1211</v>
      </c>
    </row>
    <row r="551" spans="7:8">
      <c r="G551" s="5" t="s">
        <v>1212</v>
      </c>
      <c r="H551" s="9" t="s">
        <v>1213</v>
      </c>
    </row>
    <row r="552" spans="7:8">
      <c r="G552" s="5" t="s">
        <v>1214</v>
      </c>
      <c r="H552" s="9" t="s">
        <v>1215</v>
      </c>
    </row>
    <row r="553" spans="7:8">
      <c r="G553" s="5" t="s">
        <v>1216</v>
      </c>
      <c r="H553" s="9" t="s">
        <v>162</v>
      </c>
    </row>
    <row r="554" spans="7:8">
      <c r="G554" s="5" t="s">
        <v>1217</v>
      </c>
      <c r="H554" s="9" t="s">
        <v>164</v>
      </c>
    </row>
    <row r="555" spans="7:8">
      <c r="G555" s="5" t="s">
        <v>1218</v>
      </c>
      <c r="H555" s="9" t="s">
        <v>1219</v>
      </c>
    </row>
    <row r="556" spans="7:8">
      <c r="G556" s="5" t="s">
        <v>1220</v>
      </c>
      <c r="H556" s="9" t="s">
        <v>1221</v>
      </c>
    </row>
    <row r="557" spans="7:8">
      <c r="G557" s="5" t="s">
        <v>1222</v>
      </c>
      <c r="H557" s="9" t="s">
        <v>1223</v>
      </c>
    </row>
    <row r="558" spans="7:8">
      <c r="G558" s="5" t="s">
        <v>1224</v>
      </c>
      <c r="H558" s="9" t="s">
        <v>1225</v>
      </c>
    </row>
    <row r="559" spans="7:8">
      <c r="G559" s="5" t="s">
        <v>1226</v>
      </c>
      <c r="H559" s="9" t="s">
        <v>1227</v>
      </c>
    </row>
    <row r="560" spans="7:8">
      <c r="G560" s="5" t="s">
        <v>1228</v>
      </c>
      <c r="H560" s="9" t="s">
        <v>1229</v>
      </c>
    </row>
    <row r="561" spans="7:8">
      <c r="G561" s="5" t="s">
        <v>1230</v>
      </c>
      <c r="H561" s="9" t="s">
        <v>1231</v>
      </c>
    </row>
    <row r="562" spans="7:8">
      <c r="G562" s="5" t="s">
        <v>1232</v>
      </c>
      <c r="H562" s="9" t="s">
        <v>1233</v>
      </c>
    </row>
    <row r="563" spans="7:8">
      <c r="G563" s="5" t="s">
        <v>1234</v>
      </c>
      <c r="H563" s="9" t="s">
        <v>1235</v>
      </c>
    </row>
    <row r="564" spans="7:8">
      <c r="G564" s="5" t="s">
        <v>1236</v>
      </c>
      <c r="H564" s="9" t="s">
        <v>1237</v>
      </c>
    </row>
    <row r="565" spans="7:8">
      <c r="G565" s="5" t="s">
        <v>1238</v>
      </c>
      <c r="H565" s="9" t="s">
        <v>1239</v>
      </c>
    </row>
    <row r="566" spans="7:8">
      <c r="G566" s="5" t="s">
        <v>1240</v>
      </c>
      <c r="H566" s="9" t="s">
        <v>1241</v>
      </c>
    </row>
    <row r="567" spans="7:8">
      <c r="G567" s="5" t="s">
        <v>1242</v>
      </c>
      <c r="H567" s="9" t="s">
        <v>1243</v>
      </c>
    </row>
    <row r="568" spans="7:8">
      <c r="G568" s="5" t="s">
        <v>1244</v>
      </c>
      <c r="H568" s="9" t="s">
        <v>1245</v>
      </c>
    </row>
    <row r="569" spans="7:8">
      <c r="G569" s="5" t="s">
        <v>1246</v>
      </c>
      <c r="H569" s="9" t="s">
        <v>1247</v>
      </c>
    </row>
    <row r="570" spans="7:8">
      <c r="G570" s="5" t="s">
        <v>1248</v>
      </c>
      <c r="H570" s="9" t="s">
        <v>1249</v>
      </c>
    </row>
    <row r="571" spans="7:8">
      <c r="G571" s="5" t="s">
        <v>1250</v>
      </c>
      <c r="H571" s="9" t="s">
        <v>1251</v>
      </c>
    </row>
    <row r="572" spans="7:8">
      <c r="G572" s="5" t="s">
        <v>1252</v>
      </c>
      <c r="H572" s="9" t="s">
        <v>1253</v>
      </c>
    </row>
    <row r="573" spans="7:8">
      <c r="G573" s="5" t="s">
        <v>1254</v>
      </c>
      <c r="H573" s="9" t="s">
        <v>1255</v>
      </c>
    </row>
    <row r="574" spans="7:8">
      <c r="G574" s="5" t="s">
        <v>1256</v>
      </c>
      <c r="H574" s="9" t="s">
        <v>162</v>
      </c>
    </row>
    <row r="575" spans="7:8">
      <c r="G575" s="5" t="s">
        <v>1257</v>
      </c>
      <c r="H575" s="9" t="s">
        <v>164</v>
      </c>
    </row>
    <row r="576" spans="7:8">
      <c r="G576" s="5" t="s">
        <v>1258</v>
      </c>
      <c r="H576" s="9" t="s">
        <v>1259</v>
      </c>
    </row>
    <row r="577" spans="7:8">
      <c r="G577" s="5" t="s">
        <v>1260</v>
      </c>
      <c r="H577" s="9" t="s">
        <v>1261</v>
      </c>
    </row>
    <row r="578" spans="7:8">
      <c r="G578" s="5" t="s">
        <v>1262</v>
      </c>
      <c r="H578" s="9" t="s">
        <v>1263</v>
      </c>
    </row>
    <row r="579" spans="7:8">
      <c r="G579" s="5" t="s">
        <v>1264</v>
      </c>
      <c r="H579" s="9" t="s">
        <v>1265</v>
      </c>
    </row>
    <row r="580" spans="7:8">
      <c r="G580" s="5" t="s">
        <v>1266</v>
      </c>
      <c r="H580" s="9" t="s">
        <v>1267</v>
      </c>
    </row>
    <row r="581" spans="7:8">
      <c r="G581" s="5" t="s">
        <v>1268</v>
      </c>
      <c r="H581" s="9" t="s">
        <v>1269</v>
      </c>
    </row>
    <row r="582" spans="7:8">
      <c r="G582" s="5" t="s">
        <v>1270</v>
      </c>
      <c r="H582" s="9" t="s">
        <v>1271</v>
      </c>
    </row>
    <row r="583" spans="7:8">
      <c r="G583" s="5" t="s">
        <v>1272</v>
      </c>
      <c r="H583" s="9" t="s">
        <v>1273</v>
      </c>
    </row>
    <row r="584" spans="7:8">
      <c r="G584" s="5" t="s">
        <v>1274</v>
      </c>
      <c r="H584" s="9" t="s">
        <v>1275</v>
      </c>
    </row>
    <row r="585" spans="7:8">
      <c r="G585" s="5" t="s">
        <v>1276</v>
      </c>
      <c r="H585" s="9" t="s">
        <v>1277</v>
      </c>
    </row>
    <row r="586" spans="7:8">
      <c r="G586" s="5" t="s">
        <v>1278</v>
      </c>
      <c r="H586" s="9" t="s">
        <v>1279</v>
      </c>
    </row>
    <row r="587" spans="7:8">
      <c r="G587" s="5" t="s">
        <v>1280</v>
      </c>
      <c r="H587" s="9" t="s">
        <v>1281</v>
      </c>
    </row>
    <row r="588" spans="7:8">
      <c r="G588" s="5" t="s">
        <v>1282</v>
      </c>
      <c r="H588" s="9" t="s">
        <v>1283</v>
      </c>
    </row>
    <row r="589" spans="7:8">
      <c r="G589" s="5" t="s">
        <v>1284</v>
      </c>
      <c r="H589" s="9" t="s">
        <v>1285</v>
      </c>
    </row>
    <row r="590" spans="7:8">
      <c r="G590" s="5" t="s">
        <v>1286</v>
      </c>
      <c r="H590" s="9" t="s">
        <v>1287</v>
      </c>
    </row>
    <row r="591" spans="7:8">
      <c r="G591" s="5" t="s">
        <v>1288</v>
      </c>
      <c r="H591" s="9" t="s">
        <v>1289</v>
      </c>
    </row>
    <row r="592" spans="7:8">
      <c r="G592" s="5" t="s">
        <v>1290</v>
      </c>
      <c r="H592" s="9" t="s">
        <v>1291</v>
      </c>
    </row>
    <row r="593" spans="7:8">
      <c r="G593" s="5" t="s">
        <v>1292</v>
      </c>
      <c r="H593" s="9" t="s">
        <v>1293</v>
      </c>
    </row>
    <row r="594" spans="7:8">
      <c r="G594" s="5" t="s">
        <v>1294</v>
      </c>
      <c r="H594" s="9" t="s">
        <v>1295</v>
      </c>
    </row>
    <row r="595" spans="7:8">
      <c r="G595" s="5" t="s">
        <v>1296</v>
      </c>
      <c r="H595" s="9" t="s">
        <v>1297</v>
      </c>
    </row>
    <row r="596" spans="7:8">
      <c r="G596" s="5" t="s">
        <v>1298</v>
      </c>
      <c r="H596" s="9" t="s">
        <v>1299</v>
      </c>
    </row>
    <row r="597" spans="7:8">
      <c r="G597" s="5" t="s">
        <v>1300</v>
      </c>
      <c r="H597" s="9" t="s">
        <v>1301</v>
      </c>
    </row>
    <row r="598" spans="7:8">
      <c r="G598" s="5" t="s">
        <v>1302</v>
      </c>
      <c r="H598" s="9" t="s">
        <v>1303</v>
      </c>
    </row>
    <row r="599" spans="7:8">
      <c r="G599" s="5" t="s">
        <v>1304</v>
      </c>
      <c r="H599" s="9" t="s">
        <v>1305</v>
      </c>
    </row>
    <row r="600" spans="7:8">
      <c r="G600" s="5" t="s">
        <v>1306</v>
      </c>
      <c r="H600" s="9" t="s">
        <v>1307</v>
      </c>
    </row>
    <row r="601" spans="7:8">
      <c r="G601" s="5" t="s">
        <v>1308</v>
      </c>
      <c r="H601" s="9" t="s">
        <v>1309</v>
      </c>
    </row>
    <row r="602" spans="7:8">
      <c r="G602" s="5" t="s">
        <v>1310</v>
      </c>
      <c r="H602" s="9" t="s">
        <v>162</v>
      </c>
    </row>
    <row r="603" spans="7:8">
      <c r="G603" s="5" t="s">
        <v>1311</v>
      </c>
      <c r="H603" s="9" t="s">
        <v>164</v>
      </c>
    </row>
    <row r="604" spans="7:8">
      <c r="G604" s="5" t="s">
        <v>1312</v>
      </c>
      <c r="H604" s="9" t="s">
        <v>1313</v>
      </c>
    </row>
    <row r="605" spans="7:8">
      <c r="G605" s="5" t="s">
        <v>1314</v>
      </c>
      <c r="H605" s="9" t="s">
        <v>1315</v>
      </c>
    </row>
    <row r="606" spans="7:8">
      <c r="G606" s="5" t="s">
        <v>1316</v>
      </c>
      <c r="H606" s="9" t="s">
        <v>1317</v>
      </c>
    </row>
    <row r="607" spans="7:8">
      <c r="G607" s="5" t="s">
        <v>1318</v>
      </c>
      <c r="H607" s="9" t="s">
        <v>1319</v>
      </c>
    </row>
    <row r="608" spans="7:8">
      <c r="G608" s="5" t="s">
        <v>1320</v>
      </c>
      <c r="H608" s="9" t="s">
        <v>1321</v>
      </c>
    </row>
    <row r="609" spans="7:8">
      <c r="G609" s="5" t="s">
        <v>1322</v>
      </c>
      <c r="H609" s="9" t="s">
        <v>1323</v>
      </c>
    </row>
    <row r="610" spans="7:8">
      <c r="G610" s="5" t="s">
        <v>1324</v>
      </c>
      <c r="H610" s="9" t="s">
        <v>1325</v>
      </c>
    </row>
    <row r="611" spans="7:8">
      <c r="G611" s="5" t="s">
        <v>1326</v>
      </c>
      <c r="H611" s="9" t="s">
        <v>1327</v>
      </c>
    </row>
    <row r="612" spans="7:8">
      <c r="G612" s="5" t="s">
        <v>1328</v>
      </c>
      <c r="H612" s="9" t="s">
        <v>1329</v>
      </c>
    </row>
    <row r="613" spans="7:8">
      <c r="G613" s="5" t="s">
        <v>1330</v>
      </c>
      <c r="H613" s="9" t="s">
        <v>1331</v>
      </c>
    </row>
    <row r="614" spans="7:8">
      <c r="G614" s="5" t="s">
        <v>1332</v>
      </c>
      <c r="H614" s="9" t="s">
        <v>1333</v>
      </c>
    </row>
    <row r="615" spans="7:8">
      <c r="G615" s="5" t="s">
        <v>1334</v>
      </c>
      <c r="H615" s="9" t="s">
        <v>1335</v>
      </c>
    </row>
    <row r="616" spans="7:8">
      <c r="G616" s="5" t="s">
        <v>1336</v>
      </c>
      <c r="H616" s="9" t="s">
        <v>1337</v>
      </c>
    </row>
    <row r="617" spans="7:8">
      <c r="G617" s="5" t="s">
        <v>1338</v>
      </c>
      <c r="H617" s="9" t="s">
        <v>1339</v>
      </c>
    </row>
    <row r="618" spans="7:8">
      <c r="G618" s="5" t="s">
        <v>1340</v>
      </c>
      <c r="H618" s="9" t="s">
        <v>1341</v>
      </c>
    </row>
    <row r="619" spans="7:8">
      <c r="G619" s="5" t="s">
        <v>1342</v>
      </c>
      <c r="H619" s="9" t="s">
        <v>1343</v>
      </c>
    </row>
    <row r="620" spans="7:8">
      <c r="G620" s="5" t="s">
        <v>1344</v>
      </c>
      <c r="H620" s="9" t="s">
        <v>1345</v>
      </c>
    </row>
    <row r="621" spans="7:8">
      <c r="G621" s="5" t="s">
        <v>1346</v>
      </c>
      <c r="H621" s="9" t="s">
        <v>1347</v>
      </c>
    </row>
    <row r="622" spans="7:8">
      <c r="G622" s="5" t="s">
        <v>1348</v>
      </c>
      <c r="H622" s="9" t="s">
        <v>1349</v>
      </c>
    </row>
    <row r="623" spans="7:8">
      <c r="G623" s="5" t="s">
        <v>1350</v>
      </c>
      <c r="H623" s="9" t="s">
        <v>1351</v>
      </c>
    </row>
    <row r="624" spans="7:8">
      <c r="G624" s="5" t="s">
        <v>1352</v>
      </c>
      <c r="H624" s="9" t="s">
        <v>1353</v>
      </c>
    </row>
    <row r="625" spans="7:8">
      <c r="G625" s="5" t="s">
        <v>1354</v>
      </c>
      <c r="H625" s="9" t="s">
        <v>1355</v>
      </c>
    </row>
    <row r="626" spans="7:8">
      <c r="G626" s="5" t="s">
        <v>1356</v>
      </c>
      <c r="H626" s="9" t="s">
        <v>1357</v>
      </c>
    </row>
    <row r="627" spans="7:8">
      <c r="G627" s="5" t="s">
        <v>1358</v>
      </c>
      <c r="H627" s="9" t="s">
        <v>162</v>
      </c>
    </row>
    <row r="628" spans="7:8">
      <c r="G628" s="5" t="s">
        <v>1359</v>
      </c>
      <c r="H628" s="9" t="s">
        <v>164</v>
      </c>
    </row>
    <row r="629" spans="7:8">
      <c r="G629" s="5" t="s">
        <v>1360</v>
      </c>
      <c r="H629" s="9" t="s">
        <v>1361</v>
      </c>
    </row>
    <row r="630" spans="7:8">
      <c r="G630" s="5" t="s">
        <v>1362</v>
      </c>
      <c r="H630" s="9" t="s">
        <v>1363</v>
      </c>
    </row>
    <row r="631" spans="7:8">
      <c r="G631" s="5" t="s">
        <v>1364</v>
      </c>
      <c r="H631" s="9" t="s">
        <v>1365</v>
      </c>
    </row>
    <row r="632" spans="7:8">
      <c r="G632" s="5" t="s">
        <v>1366</v>
      </c>
      <c r="H632" s="9" t="s">
        <v>1367</v>
      </c>
    </row>
    <row r="633" spans="7:8">
      <c r="G633" s="5" t="s">
        <v>1368</v>
      </c>
      <c r="H633" s="9" t="s">
        <v>1369</v>
      </c>
    </row>
    <row r="634" spans="7:8">
      <c r="G634" s="5" t="s">
        <v>1370</v>
      </c>
      <c r="H634" s="9" t="s">
        <v>1371</v>
      </c>
    </row>
    <row r="635" spans="7:8">
      <c r="G635" s="5" t="s">
        <v>1372</v>
      </c>
      <c r="H635" s="9" t="s">
        <v>1373</v>
      </c>
    </row>
    <row r="636" spans="7:8">
      <c r="G636" s="5" t="s">
        <v>1374</v>
      </c>
      <c r="H636" s="9" t="s">
        <v>1375</v>
      </c>
    </row>
    <row r="637" spans="7:8">
      <c r="G637" s="5" t="s">
        <v>1376</v>
      </c>
      <c r="H637" s="9" t="s">
        <v>1377</v>
      </c>
    </row>
    <row r="638" spans="7:8">
      <c r="G638" s="5" t="s">
        <v>1378</v>
      </c>
      <c r="H638" s="9" t="s">
        <v>1379</v>
      </c>
    </row>
    <row r="639" spans="7:8">
      <c r="G639" s="5" t="s">
        <v>1380</v>
      </c>
      <c r="H639" s="9" t="s">
        <v>1381</v>
      </c>
    </row>
    <row r="640" spans="7:8">
      <c r="G640" s="5" t="s">
        <v>1382</v>
      </c>
      <c r="H640" s="9" t="s">
        <v>1383</v>
      </c>
    </row>
    <row r="641" spans="7:8">
      <c r="G641" s="5" t="s">
        <v>1384</v>
      </c>
      <c r="H641" s="9" t="s">
        <v>1385</v>
      </c>
    </row>
    <row r="642" spans="7:8">
      <c r="G642" s="5" t="s">
        <v>1386</v>
      </c>
      <c r="H642" s="9" t="s">
        <v>1387</v>
      </c>
    </row>
    <row r="643" spans="7:8">
      <c r="G643" s="5" t="s">
        <v>1388</v>
      </c>
      <c r="H643" s="9" t="s">
        <v>1389</v>
      </c>
    </row>
    <row r="644" spans="7:8">
      <c r="G644" s="5" t="s">
        <v>1390</v>
      </c>
      <c r="H644" s="9" t="s">
        <v>162</v>
      </c>
    </row>
    <row r="645" spans="7:8">
      <c r="G645" s="5" t="s">
        <v>1391</v>
      </c>
      <c r="H645" s="9" t="s">
        <v>164</v>
      </c>
    </row>
    <row r="646" spans="7:8">
      <c r="G646" s="5" t="s">
        <v>1392</v>
      </c>
      <c r="H646" s="9" t="s">
        <v>1393</v>
      </c>
    </row>
    <row r="647" spans="7:8">
      <c r="G647" s="5" t="s">
        <v>1394</v>
      </c>
      <c r="H647" s="9" t="s">
        <v>1395</v>
      </c>
    </row>
    <row r="648" spans="7:8">
      <c r="G648" s="5" t="s">
        <v>1396</v>
      </c>
      <c r="H648" s="9" t="s">
        <v>1397</v>
      </c>
    </row>
    <row r="649" spans="7:8">
      <c r="G649" s="5" t="s">
        <v>1398</v>
      </c>
      <c r="H649" s="9" t="s">
        <v>1399</v>
      </c>
    </row>
    <row r="650" spans="7:8">
      <c r="G650" s="5" t="s">
        <v>1400</v>
      </c>
      <c r="H650" s="9" t="s">
        <v>1401</v>
      </c>
    </row>
    <row r="651" spans="7:8">
      <c r="G651" s="5" t="s">
        <v>1402</v>
      </c>
      <c r="H651" s="9" t="s">
        <v>1403</v>
      </c>
    </row>
    <row r="652" spans="7:8">
      <c r="G652" s="5" t="s">
        <v>1404</v>
      </c>
      <c r="H652" s="9" t="s">
        <v>1405</v>
      </c>
    </row>
    <row r="653" spans="7:8">
      <c r="G653" s="5" t="s">
        <v>1406</v>
      </c>
      <c r="H653" s="9" t="s">
        <v>1407</v>
      </c>
    </row>
    <row r="654" spans="7:8">
      <c r="G654" s="5" t="s">
        <v>1408</v>
      </c>
      <c r="H654" s="9" t="s">
        <v>1409</v>
      </c>
    </row>
    <row r="655" spans="7:8">
      <c r="G655" s="5" t="s">
        <v>1410</v>
      </c>
      <c r="H655" s="9" t="s">
        <v>1411</v>
      </c>
    </row>
    <row r="656" spans="7:8">
      <c r="G656" s="5" t="s">
        <v>1412</v>
      </c>
      <c r="H656" s="9" t="s">
        <v>1413</v>
      </c>
    </row>
    <row r="657" spans="7:8">
      <c r="G657" s="5" t="s">
        <v>1414</v>
      </c>
      <c r="H657" s="9" t="s">
        <v>1415</v>
      </c>
    </row>
    <row r="658" spans="7:8">
      <c r="G658" s="5" t="s">
        <v>1416</v>
      </c>
      <c r="H658" s="9" t="s">
        <v>1417</v>
      </c>
    </row>
    <row r="659" spans="7:8">
      <c r="G659" s="5" t="s">
        <v>1418</v>
      </c>
      <c r="H659" s="9" t="s">
        <v>1419</v>
      </c>
    </row>
    <row r="660" spans="7:8">
      <c r="G660" s="5" t="s">
        <v>1420</v>
      </c>
      <c r="H660" s="9" t="s">
        <v>1421</v>
      </c>
    </row>
    <row r="661" spans="7:8">
      <c r="G661" s="5" t="s">
        <v>1422</v>
      </c>
      <c r="H661" s="9" t="s">
        <v>1423</v>
      </c>
    </row>
    <row r="662" spans="7:8">
      <c r="G662" s="5" t="s">
        <v>1424</v>
      </c>
      <c r="H662" s="9" t="s">
        <v>1425</v>
      </c>
    </row>
    <row r="663" spans="7:8">
      <c r="G663" s="5" t="s">
        <v>1426</v>
      </c>
      <c r="H663" s="9" t="s">
        <v>1427</v>
      </c>
    </row>
    <row r="664" spans="7:8">
      <c r="G664" s="5" t="s">
        <v>1428</v>
      </c>
      <c r="H664" s="9" t="s">
        <v>1429</v>
      </c>
    </row>
    <row r="665" spans="7:8">
      <c r="G665" s="5" t="s">
        <v>1430</v>
      </c>
      <c r="H665" s="9" t="s">
        <v>1431</v>
      </c>
    </row>
    <row r="666" spans="7:8">
      <c r="G666" s="5" t="s">
        <v>1432</v>
      </c>
      <c r="H666" s="9" t="s">
        <v>1433</v>
      </c>
    </row>
    <row r="667" spans="7:8">
      <c r="G667" s="5" t="s">
        <v>1434</v>
      </c>
      <c r="H667" s="9" t="s">
        <v>1435</v>
      </c>
    </row>
    <row r="668" spans="7:8">
      <c r="G668" s="5" t="s">
        <v>1436</v>
      </c>
      <c r="H668" s="9" t="s">
        <v>1437</v>
      </c>
    </row>
    <row r="669" spans="7:8">
      <c r="G669" s="5" t="s">
        <v>1438</v>
      </c>
      <c r="H669" s="9" t="s">
        <v>162</v>
      </c>
    </row>
    <row r="670" spans="7:8">
      <c r="G670" s="5" t="s">
        <v>1439</v>
      </c>
      <c r="H670" s="9" t="s">
        <v>164</v>
      </c>
    </row>
    <row r="671" spans="7:8">
      <c r="G671" s="5" t="s">
        <v>1440</v>
      </c>
      <c r="H671" s="9" t="s">
        <v>1441</v>
      </c>
    </row>
    <row r="672" spans="7:8">
      <c r="G672" s="5" t="s">
        <v>1442</v>
      </c>
      <c r="H672" s="9" t="s">
        <v>1443</v>
      </c>
    </row>
    <row r="673" spans="7:8">
      <c r="G673" s="5" t="s">
        <v>1444</v>
      </c>
      <c r="H673" s="9" t="s">
        <v>1445</v>
      </c>
    </row>
    <row r="674" spans="7:8">
      <c r="G674" s="5" t="s">
        <v>1446</v>
      </c>
      <c r="H674" s="9" t="s">
        <v>1447</v>
      </c>
    </row>
    <row r="675" spans="7:8">
      <c r="G675" s="5" t="s">
        <v>1448</v>
      </c>
      <c r="H675" s="9" t="s">
        <v>1449</v>
      </c>
    </row>
    <row r="676" spans="7:8">
      <c r="G676" s="5" t="s">
        <v>1450</v>
      </c>
      <c r="H676" s="9" t="s">
        <v>1451</v>
      </c>
    </row>
    <row r="677" spans="7:8">
      <c r="G677" s="5" t="s">
        <v>1452</v>
      </c>
      <c r="H677" s="9" t="s">
        <v>1453</v>
      </c>
    </row>
    <row r="678" spans="7:8">
      <c r="G678" s="5" t="s">
        <v>1454</v>
      </c>
      <c r="H678" s="9" t="s">
        <v>1455</v>
      </c>
    </row>
    <row r="679" spans="7:8">
      <c r="G679" s="5" t="s">
        <v>1456</v>
      </c>
      <c r="H679" s="9" t="s">
        <v>1457</v>
      </c>
    </row>
    <row r="680" spans="7:8">
      <c r="G680" s="5" t="s">
        <v>1458</v>
      </c>
      <c r="H680" s="9" t="s">
        <v>1459</v>
      </c>
    </row>
    <row r="681" spans="7:8">
      <c r="G681" s="5" t="s">
        <v>1460</v>
      </c>
      <c r="H681" s="9" t="s">
        <v>1461</v>
      </c>
    </row>
    <row r="682" spans="7:8">
      <c r="G682" s="5" t="s">
        <v>1462</v>
      </c>
      <c r="H682" s="9" t="s">
        <v>1463</v>
      </c>
    </row>
    <row r="683" spans="7:8">
      <c r="G683" s="5" t="s">
        <v>1464</v>
      </c>
      <c r="H683" s="9" t="s">
        <v>1465</v>
      </c>
    </row>
    <row r="684" spans="7:8">
      <c r="G684" s="5" t="s">
        <v>1466</v>
      </c>
      <c r="H684" s="9" t="s">
        <v>1467</v>
      </c>
    </row>
    <row r="685" spans="7:8">
      <c r="G685" s="5" t="s">
        <v>1468</v>
      </c>
      <c r="H685" s="9" t="s">
        <v>1469</v>
      </c>
    </row>
    <row r="686" spans="7:8">
      <c r="G686" s="5" t="s">
        <v>1470</v>
      </c>
      <c r="H686" s="9" t="s">
        <v>162</v>
      </c>
    </row>
    <row r="687" spans="7:8">
      <c r="G687" s="5" t="s">
        <v>1471</v>
      </c>
      <c r="H687" s="9" t="s">
        <v>164</v>
      </c>
    </row>
    <row r="688" spans="7:8">
      <c r="G688" s="5" t="s">
        <v>1472</v>
      </c>
      <c r="H688" s="9" t="s">
        <v>1473</v>
      </c>
    </row>
    <row r="689" spans="7:8">
      <c r="G689" s="5" t="s">
        <v>1474</v>
      </c>
      <c r="H689" s="9" t="s">
        <v>1475</v>
      </c>
    </row>
    <row r="690" spans="7:8">
      <c r="G690" s="5" t="s">
        <v>1476</v>
      </c>
      <c r="H690" s="9" t="s">
        <v>1477</v>
      </c>
    </row>
    <row r="691" spans="7:8">
      <c r="G691" s="5" t="s">
        <v>1478</v>
      </c>
      <c r="H691" s="9" t="s">
        <v>1479</v>
      </c>
    </row>
    <row r="692" spans="7:8">
      <c r="G692" s="5" t="s">
        <v>1480</v>
      </c>
      <c r="H692" s="9" t="s">
        <v>1481</v>
      </c>
    </row>
    <row r="693" spans="7:8">
      <c r="G693" s="5" t="s">
        <v>1482</v>
      </c>
      <c r="H693" s="9" t="s">
        <v>1483</v>
      </c>
    </row>
    <row r="694" spans="7:8">
      <c r="G694" s="5" t="s">
        <v>1484</v>
      </c>
      <c r="H694" s="9" t="s">
        <v>1485</v>
      </c>
    </row>
    <row r="695" spans="7:8">
      <c r="G695" s="5" t="s">
        <v>1486</v>
      </c>
      <c r="H695" s="9" t="s">
        <v>1487</v>
      </c>
    </row>
    <row r="696" spans="7:8">
      <c r="G696" s="5" t="s">
        <v>1488</v>
      </c>
      <c r="H696" s="9" t="s">
        <v>1489</v>
      </c>
    </row>
    <row r="697" spans="7:8">
      <c r="G697" s="5" t="s">
        <v>1490</v>
      </c>
      <c r="H697" s="9" t="s">
        <v>1491</v>
      </c>
    </row>
    <row r="698" spans="7:8">
      <c r="G698" s="5" t="s">
        <v>1492</v>
      </c>
      <c r="H698" s="9" t="s">
        <v>1493</v>
      </c>
    </row>
    <row r="699" spans="7:8">
      <c r="G699" s="5" t="s">
        <v>1494</v>
      </c>
      <c r="H699" s="9" t="s">
        <v>1495</v>
      </c>
    </row>
    <row r="700" spans="7:8">
      <c r="G700" s="5" t="s">
        <v>1496</v>
      </c>
      <c r="H700" s="9" t="s">
        <v>1497</v>
      </c>
    </row>
    <row r="701" spans="7:8">
      <c r="G701" s="5" t="s">
        <v>1498</v>
      </c>
      <c r="H701" s="9" t="s">
        <v>1499</v>
      </c>
    </row>
    <row r="702" spans="7:8">
      <c r="G702" s="5" t="s">
        <v>1500</v>
      </c>
      <c r="H702" s="9" t="s">
        <v>1501</v>
      </c>
    </row>
    <row r="703" spans="7:8">
      <c r="G703" s="5" t="s">
        <v>1502</v>
      </c>
      <c r="H703" s="9" t="s">
        <v>1503</v>
      </c>
    </row>
    <row r="704" spans="7:8">
      <c r="G704" s="5" t="s">
        <v>1504</v>
      </c>
      <c r="H704" s="9" t="s">
        <v>162</v>
      </c>
    </row>
    <row r="705" spans="7:8">
      <c r="G705" s="5" t="s">
        <v>1505</v>
      </c>
      <c r="H705" s="9" t="s">
        <v>164</v>
      </c>
    </row>
    <row r="706" spans="7:8">
      <c r="G706" s="5" t="s">
        <v>1506</v>
      </c>
      <c r="H706" s="9" t="s">
        <v>1507</v>
      </c>
    </row>
    <row r="707" spans="7:8">
      <c r="G707" s="5" t="s">
        <v>1508</v>
      </c>
      <c r="H707" s="9" t="s">
        <v>1509</v>
      </c>
    </row>
    <row r="708" spans="7:8">
      <c r="G708" s="5" t="s">
        <v>1510</v>
      </c>
      <c r="H708" s="9" t="s">
        <v>1511</v>
      </c>
    </row>
    <row r="709" spans="7:8">
      <c r="G709" s="5" t="s">
        <v>1512</v>
      </c>
      <c r="H709" s="9" t="s">
        <v>1513</v>
      </c>
    </row>
    <row r="710" spans="7:8">
      <c r="G710" s="5" t="s">
        <v>1514</v>
      </c>
      <c r="H710" s="9" t="s">
        <v>1515</v>
      </c>
    </row>
    <row r="711" spans="7:8">
      <c r="G711" s="5" t="s">
        <v>1516</v>
      </c>
      <c r="H711" s="9" t="s">
        <v>1517</v>
      </c>
    </row>
    <row r="712" spans="7:8">
      <c r="G712" s="5" t="s">
        <v>1518</v>
      </c>
      <c r="H712" s="9" t="s">
        <v>1519</v>
      </c>
    </row>
    <row r="713" spans="7:8">
      <c r="G713" s="5" t="s">
        <v>1520</v>
      </c>
      <c r="H713" s="9" t="s">
        <v>1521</v>
      </c>
    </row>
    <row r="714" spans="7:8">
      <c r="G714" s="5" t="s">
        <v>1522</v>
      </c>
      <c r="H714" s="9" t="s">
        <v>1523</v>
      </c>
    </row>
    <row r="715" spans="7:8">
      <c r="G715" s="5" t="s">
        <v>1524</v>
      </c>
      <c r="H715" s="9" t="s">
        <v>1525</v>
      </c>
    </row>
    <row r="716" spans="7:8">
      <c r="G716" s="5" t="s">
        <v>1526</v>
      </c>
      <c r="H716" s="9" t="s">
        <v>1527</v>
      </c>
    </row>
    <row r="717" spans="7:8">
      <c r="G717" s="5" t="s">
        <v>1528</v>
      </c>
      <c r="H717" s="9" t="s">
        <v>1529</v>
      </c>
    </row>
    <row r="718" spans="7:8">
      <c r="G718" s="5" t="s">
        <v>1530</v>
      </c>
      <c r="H718" s="9" t="s">
        <v>1531</v>
      </c>
    </row>
    <row r="719" spans="7:8">
      <c r="G719" s="5" t="s">
        <v>1532</v>
      </c>
      <c r="H719" s="9" t="s">
        <v>1533</v>
      </c>
    </row>
    <row r="720" spans="7:8">
      <c r="G720" s="5" t="s">
        <v>1534</v>
      </c>
      <c r="H720" s="9" t="s">
        <v>1535</v>
      </c>
    </row>
    <row r="721" spans="7:8">
      <c r="G721" s="5" t="s">
        <v>1536</v>
      </c>
      <c r="H721" s="9" t="s">
        <v>1537</v>
      </c>
    </row>
    <row r="722" spans="7:8">
      <c r="G722" s="5" t="s">
        <v>1538</v>
      </c>
      <c r="H722" s="9" t="s">
        <v>1539</v>
      </c>
    </row>
    <row r="723" spans="7:8">
      <c r="G723" s="5" t="s">
        <v>1540</v>
      </c>
      <c r="H723" s="9" t="s">
        <v>1541</v>
      </c>
    </row>
    <row r="724" spans="7:8">
      <c r="G724" s="5" t="s">
        <v>1542</v>
      </c>
      <c r="H724" s="9" t="s">
        <v>1543</v>
      </c>
    </row>
    <row r="725" spans="7:8">
      <c r="G725" s="5" t="s">
        <v>1544</v>
      </c>
      <c r="H725" s="9" t="s">
        <v>1545</v>
      </c>
    </row>
    <row r="726" spans="7:8">
      <c r="G726" s="5" t="s">
        <v>1546</v>
      </c>
      <c r="H726" s="9" t="s">
        <v>1547</v>
      </c>
    </row>
    <row r="727" spans="7:8">
      <c r="G727" s="5" t="s">
        <v>1548</v>
      </c>
      <c r="H727" s="9" t="s">
        <v>1549</v>
      </c>
    </row>
    <row r="728" spans="7:8">
      <c r="G728" s="5" t="s">
        <v>1550</v>
      </c>
      <c r="H728" s="9" t="s">
        <v>1551</v>
      </c>
    </row>
    <row r="729" spans="7:8">
      <c r="G729" s="5" t="s">
        <v>1552</v>
      </c>
      <c r="H729" s="9" t="s">
        <v>1553</v>
      </c>
    </row>
    <row r="730" spans="7:8">
      <c r="G730" s="5" t="s">
        <v>1554</v>
      </c>
      <c r="H730" s="9" t="s">
        <v>1555</v>
      </c>
    </row>
    <row r="731" spans="7:8">
      <c r="G731" s="5" t="s">
        <v>1556</v>
      </c>
      <c r="H731" s="9" t="s">
        <v>1557</v>
      </c>
    </row>
    <row r="732" spans="7:8">
      <c r="G732" s="5" t="s">
        <v>1558</v>
      </c>
      <c r="H732" s="9" t="s">
        <v>1559</v>
      </c>
    </row>
    <row r="733" spans="7:8">
      <c r="G733" s="5" t="s">
        <v>1560</v>
      </c>
      <c r="H733" s="9" t="s">
        <v>1561</v>
      </c>
    </row>
    <row r="734" spans="7:8">
      <c r="G734" s="5" t="s">
        <v>1562</v>
      </c>
      <c r="H734" s="9" t="s">
        <v>1563</v>
      </c>
    </row>
    <row r="735" spans="7:8">
      <c r="G735" s="5" t="s">
        <v>1564</v>
      </c>
      <c r="H735" s="9" t="s">
        <v>1565</v>
      </c>
    </row>
    <row r="736" spans="7:8">
      <c r="G736" s="5" t="s">
        <v>1566</v>
      </c>
      <c r="H736" s="9" t="s">
        <v>1567</v>
      </c>
    </row>
    <row r="737" spans="7:8">
      <c r="G737" s="5" t="s">
        <v>1568</v>
      </c>
      <c r="H737" s="9" t="s">
        <v>1569</v>
      </c>
    </row>
    <row r="738" spans="7:8">
      <c r="G738" s="5" t="s">
        <v>1570</v>
      </c>
      <c r="H738" s="9" t="s">
        <v>162</v>
      </c>
    </row>
    <row r="739" spans="7:8">
      <c r="G739" s="5" t="s">
        <v>1571</v>
      </c>
      <c r="H739" s="9" t="s">
        <v>164</v>
      </c>
    </row>
    <row r="740" spans="7:8">
      <c r="G740" s="5" t="s">
        <v>1572</v>
      </c>
      <c r="H740" s="9" t="s">
        <v>1573</v>
      </c>
    </row>
    <row r="741" spans="7:8">
      <c r="G741" s="5" t="s">
        <v>1574</v>
      </c>
      <c r="H741" s="9" t="s">
        <v>1575</v>
      </c>
    </row>
    <row r="742" spans="7:8">
      <c r="G742" s="5" t="s">
        <v>1576</v>
      </c>
      <c r="H742" s="9" t="s">
        <v>162</v>
      </c>
    </row>
    <row r="743" spans="7:8">
      <c r="G743" s="5" t="s">
        <v>1577</v>
      </c>
      <c r="H743" s="9" t="s">
        <v>164</v>
      </c>
    </row>
    <row r="744" spans="7:8">
      <c r="G744" s="5" t="s">
        <v>1578</v>
      </c>
      <c r="H744" s="9" t="s">
        <v>1579</v>
      </c>
    </row>
    <row r="745" spans="7:8">
      <c r="G745" s="5" t="s">
        <v>1580</v>
      </c>
      <c r="H745" s="9" t="s">
        <v>1581</v>
      </c>
    </row>
    <row r="746" spans="7:8">
      <c r="G746" s="5" t="s">
        <v>1582</v>
      </c>
      <c r="H746" s="9" t="s">
        <v>162</v>
      </c>
    </row>
    <row r="747" spans="7:8">
      <c r="G747" s="5" t="s">
        <v>1583</v>
      </c>
      <c r="H747" s="9" t="s">
        <v>164</v>
      </c>
    </row>
    <row r="748" spans="7:8">
      <c r="G748" s="5" t="s">
        <v>1584</v>
      </c>
      <c r="H748" s="9" t="s">
        <v>1585</v>
      </c>
    </row>
    <row r="749" spans="7:8">
      <c r="G749" s="5" t="s">
        <v>1586</v>
      </c>
      <c r="H749" s="9" t="s">
        <v>162</v>
      </c>
    </row>
    <row r="750" spans="7:8">
      <c r="G750" s="5" t="s">
        <v>1587</v>
      </c>
      <c r="H750" s="9" t="s">
        <v>164</v>
      </c>
    </row>
    <row r="751" spans="7:8">
      <c r="G751" s="5" t="s">
        <v>1588</v>
      </c>
      <c r="H751" s="9" t="s">
        <v>1589</v>
      </c>
    </row>
    <row r="752" spans="7:8">
      <c r="G752" s="5" t="s">
        <v>1590</v>
      </c>
      <c r="H752" s="9" t="s">
        <v>1591</v>
      </c>
    </row>
    <row r="753" spans="7:8">
      <c r="G753" s="5" t="s">
        <v>1592</v>
      </c>
      <c r="H753" s="9" t="s">
        <v>1593</v>
      </c>
    </row>
    <row r="754" spans="7:8">
      <c r="G754" s="5" t="s">
        <v>1594</v>
      </c>
      <c r="H754" s="9" t="s">
        <v>1595</v>
      </c>
    </row>
    <row r="755" spans="7:8">
      <c r="G755" s="5" t="s">
        <v>1596</v>
      </c>
      <c r="H755" s="9" t="s">
        <v>162</v>
      </c>
    </row>
    <row r="756" spans="7:8">
      <c r="G756" s="5" t="s">
        <v>1597</v>
      </c>
      <c r="H756" s="9" t="s">
        <v>164</v>
      </c>
    </row>
    <row r="757" spans="7:8">
      <c r="G757" s="5" t="s">
        <v>1598</v>
      </c>
      <c r="H757" s="9" t="s">
        <v>1599</v>
      </c>
    </row>
    <row r="758" spans="7:8">
      <c r="G758" s="5" t="s">
        <v>1600</v>
      </c>
      <c r="H758" s="9" t="s">
        <v>1601</v>
      </c>
    </row>
    <row r="759" spans="7:8">
      <c r="G759" s="5" t="s">
        <v>1602</v>
      </c>
      <c r="H759" s="9" t="s">
        <v>1603</v>
      </c>
    </row>
    <row r="760" spans="7:8">
      <c r="G760" s="5" t="s">
        <v>1604</v>
      </c>
      <c r="H760" s="9" t="s">
        <v>1605</v>
      </c>
    </row>
    <row r="761" spans="7:8">
      <c r="G761" s="5" t="s">
        <v>1606</v>
      </c>
      <c r="H761" s="9" t="s">
        <v>1607</v>
      </c>
    </row>
    <row r="762" spans="7:8">
      <c r="G762" s="5" t="s">
        <v>1608</v>
      </c>
      <c r="H762" s="9" t="s">
        <v>1609</v>
      </c>
    </row>
    <row r="763" spans="7:8">
      <c r="G763" s="5" t="s">
        <v>1610</v>
      </c>
      <c r="H763" s="9" t="s">
        <v>162</v>
      </c>
    </row>
    <row r="764" spans="7:8">
      <c r="G764" s="5" t="s">
        <v>1611</v>
      </c>
      <c r="H764" s="9" t="s">
        <v>164</v>
      </c>
    </row>
    <row r="765" spans="7:8">
      <c r="G765" s="5" t="s">
        <v>1612</v>
      </c>
      <c r="H765" s="9" t="s">
        <v>1613</v>
      </c>
    </row>
    <row r="766" spans="7:8">
      <c r="G766" s="5" t="s">
        <v>1614</v>
      </c>
      <c r="H766" s="9" t="s">
        <v>1615</v>
      </c>
    </row>
    <row r="767" spans="7:8">
      <c r="G767" s="5" t="s">
        <v>1616</v>
      </c>
      <c r="H767" s="9" t="s">
        <v>1617</v>
      </c>
    </row>
    <row r="768" spans="7:8">
      <c r="G768" s="5" t="s">
        <v>1618</v>
      </c>
      <c r="H768" s="9" t="s">
        <v>1619</v>
      </c>
    </row>
    <row r="769" spans="7:8">
      <c r="G769" s="5" t="s">
        <v>1620</v>
      </c>
      <c r="H769" s="9" t="s">
        <v>1621</v>
      </c>
    </row>
    <row r="770" spans="7:8">
      <c r="G770" s="5" t="s">
        <v>1622</v>
      </c>
      <c r="H770" s="9" t="s">
        <v>1623</v>
      </c>
    </row>
    <row r="771" spans="7:8">
      <c r="G771" s="5" t="s">
        <v>1624</v>
      </c>
      <c r="H771" s="9" t="s">
        <v>1625</v>
      </c>
    </row>
    <row r="772" spans="7:8">
      <c r="G772" s="5" t="s">
        <v>1626</v>
      </c>
      <c r="H772" s="9" t="s">
        <v>162</v>
      </c>
    </row>
    <row r="773" spans="7:8">
      <c r="G773" s="5" t="s">
        <v>1627</v>
      </c>
      <c r="H773" s="9" t="s">
        <v>164</v>
      </c>
    </row>
    <row r="774" spans="7:8">
      <c r="G774" s="5" t="s">
        <v>1628</v>
      </c>
      <c r="H774" s="9" t="s">
        <v>1629</v>
      </c>
    </row>
    <row r="775" spans="7:8">
      <c r="G775" s="5" t="s">
        <v>1630</v>
      </c>
      <c r="H775" s="9" t="s">
        <v>1631</v>
      </c>
    </row>
    <row r="776" spans="7:8">
      <c r="G776" s="5" t="s">
        <v>1632</v>
      </c>
      <c r="H776" s="9" t="s">
        <v>1633</v>
      </c>
    </row>
    <row r="777" spans="7:8">
      <c r="G777" s="5" t="s">
        <v>1634</v>
      </c>
      <c r="H777" s="9" t="s">
        <v>1635</v>
      </c>
    </row>
    <row r="778" spans="7:8">
      <c r="G778" s="5" t="s">
        <v>1636</v>
      </c>
      <c r="H778" s="9" t="s">
        <v>1637</v>
      </c>
    </row>
    <row r="779" spans="7:8">
      <c r="G779" s="5" t="s">
        <v>1638</v>
      </c>
      <c r="H779" s="9" t="s">
        <v>1639</v>
      </c>
    </row>
    <row r="780" spans="7:8">
      <c r="G780" s="5" t="s">
        <v>1640</v>
      </c>
      <c r="H780" s="9" t="s">
        <v>1641</v>
      </c>
    </row>
    <row r="781" spans="7:8">
      <c r="G781" s="5" t="s">
        <v>1642</v>
      </c>
      <c r="H781" s="9" t="s">
        <v>1643</v>
      </c>
    </row>
    <row r="782" spans="7:8">
      <c r="G782" s="5" t="s">
        <v>1644</v>
      </c>
      <c r="H782" s="9" t="s">
        <v>162</v>
      </c>
    </row>
    <row r="783" spans="7:8">
      <c r="G783" s="5" t="s">
        <v>1645</v>
      </c>
      <c r="H783" s="9" t="s">
        <v>164</v>
      </c>
    </row>
    <row r="784" spans="7:8">
      <c r="G784" s="5" t="s">
        <v>1646</v>
      </c>
      <c r="H784" s="9" t="s">
        <v>1647</v>
      </c>
    </row>
    <row r="785" spans="7:8">
      <c r="G785" s="5" t="s">
        <v>1648</v>
      </c>
      <c r="H785" s="9" t="s">
        <v>1649</v>
      </c>
    </row>
    <row r="786" spans="7:8">
      <c r="G786" s="5" t="s">
        <v>1650</v>
      </c>
      <c r="H786" s="9" t="s">
        <v>1651</v>
      </c>
    </row>
    <row r="787" spans="7:8">
      <c r="G787" s="5" t="s">
        <v>1652</v>
      </c>
      <c r="H787" s="9" t="s">
        <v>162</v>
      </c>
    </row>
    <row r="788" spans="7:8">
      <c r="G788" s="5" t="s">
        <v>1653</v>
      </c>
      <c r="H788" s="9" t="s">
        <v>164</v>
      </c>
    </row>
    <row r="789" spans="7:8">
      <c r="G789" s="5" t="s">
        <v>1654</v>
      </c>
      <c r="H789" s="9" t="s">
        <v>1655</v>
      </c>
    </row>
    <row r="790" spans="7:8">
      <c r="G790" s="5" t="s">
        <v>1656</v>
      </c>
      <c r="H790" s="9" t="s">
        <v>1657</v>
      </c>
    </row>
    <row r="791" spans="7:8">
      <c r="G791" s="5" t="s">
        <v>1658</v>
      </c>
      <c r="H791" s="9" t="s">
        <v>1659</v>
      </c>
    </row>
    <row r="792" spans="7:8">
      <c r="G792" s="5" t="s">
        <v>1660</v>
      </c>
      <c r="H792" s="9" t="s">
        <v>1661</v>
      </c>
    </row>
    <row r="793" spans="7:8">
      <c r="G793" s="5" t="s">
        <v>1662</v>
      </c>
      <c r="H793" s="9" t="s">
        <v>1663</v>
      </c>
    </row>
    <row r="794" spans="7:8">
      <c r="G794" s="5" t="s">
        <v>1664</v>
      </c>
      <c r="H794" s="9" t="s">
        <v>1665</v>
      </c>
    </row>
    <row r="795" spans="7:8">
      <c r="G795" s="5" t="s">
        <v>1666</v>
      </c>
      <c r="H795" s="9" t="s">
        <v>1667</v>
      </c>
    </row>
    <row r="796" spans="7:8">
      <c r="G796" s="5" t="s">
        <v>1668</v>
      </c>
      <c r="H796" s="9" t="s">
        <v>1669</v>
      </c>
    </row>
    <row r="797" spans="7:8">
      <c r="G797" s="5" t="s">
        <v>1670</v>
      </c>
      <c r="H797" s="9" t="s">
        <v>1671</v>
      </c>
    </row>
    <row r="798" spans="7:8">
      <c r="G798" s="5" t="s">
        <v>1672</v>
      </c>
      <c r="H798" s="9" t="s">
        <v>1673</v>
      </c>
    </row>
    <row r="799" spans="7:8">
      <c r="G799" s="5" t="s">
        <v>1674</v>
      </c>
      <c r="H799" s="9" t="s">
        <v>1675</v>
      </c>
    </row>
    <row r="800" spans="7:8">
      <c r="G800" s="5" t="s">
        <v>1676</v>
      </c>
      <c r="H800" s="9" t="s">
        <v>162</v>
      </c>
    </row>
    <row r="801" spans="7:8">
      <c r="G801" s="5" t="s">
        <v>1677</v>
      </c>
      <c r="H801" s="9" t="s">
        <v>164</v>
      </c>
    </row>
    <row r="802" spans="7:8">
      <c r="G802" s="5" t="s">
        <v>1678</v>
      </c>
      <c r="H802" s="9" t="s">
        <v>1679</v>
      </c>
    </row>
    <row r="803" spans="7:8">
      <c r="G803" s="5" t="s">
        <v>1680</v>
      </c>
      <c r="H803" s="9" t="s">
        <v>1681</v>
      </c>
    </row>
    <row r="804" spans="7:8">
      <c r="G804" s="5" t="s">
        <v>1682</v>
      </c>
      <c r="H804" s="9" t="s">
        <v>1683</v>
      </c>
    </row>
    <row r="805" spans="7:8">
      <c r="G805" s="5" t="s">
        <v>1684</v>
      </c>
      <c r="H805" s="9" t="s">
        <v>1685</v>
      </c>
    </row>
    <row r="806" spans="7:8">
      <c r="G806" s="5" t="s">
        <v>1686</v>
      </c>
      <c r="H806" s="9" t="s">
        <v>1687</v>
      </c>
    </row>
    <row r="807" spans="7:8">
      <c r="G807" s="5" t="s">
        <v>1688</v>
      </c>
      <c r="H807" s="9" t="s">
        <v>1689</v>
      </c>
    </row>
    <row r="808" spans="7:8">
      <c r="G808" s="5" t="s">
        <v>1690</v>
      </c>
      <c r="H808" s="9" t="s">
        <v>1691</v>
      </c>
    </row>
    <row r="809" spans="7:8">
      <c r="G809" s="5" t="s">
        <v>1692</v>
      </c>
      <c r="H809" s="9" t="s">
        <v>1693</v>
      </c>
    </row>
    <row r="810" spans="7:8">
      <c r="G810" s="5" t="s">
        <v>1694</v>
      </c>
      <c r="H810" s="9" t="s">
        <v>162</v>
      </c>
    </row>
    <row r="811" spans="7:8">
      <c r="G811" s="5" t="s">
        <v>1695</v>
      </c>
      <c r="H811" s="9" t="s">
        <v>164</v>
      </c>
    </row>
    <row r="812" spans="7:8">
      <c r="G812" s="5" t="s">
        <v>1696</v>
      </c>
      <c r="H812" s="9" t="s">
        <v>1697</v>
      </c>
    </row>
    <row r="813" spans="7:8">
      <c r="G813" s="5" t="s">
        <v>1698</v>
      </c>
      <c r="H813" s="9" t="s">
        <v>1699</v>
      </c>
    </row>
    <row r="814" spans="7:8">
      <c r="G814" s="5" t="s">
        <v>1700</v>
      </c>
      <c r="H814" s="9" t="s">
        <v>1701</v>
      </c>
    </row>
    <row r="815" spans="7:8">
      <c r="G815" s="5" t="s">
        <v>1702</v>
      </c>
      <c r="H815" s="9" t="s">
        <v>1703</v>
      </c>
    </row>
    <row r="816" spans="7:8">
      <c r="G816" s="5" t="s">
        <v>1704</v>
      </c>
      <c r="H816" s="9" t="s">
        <v>1705</v>
      </c>
    </row>
    <row r="817" spans="7:8">
      <c r="G817" s="5" t="s">
        <v>1706</v>
      </c>
      <c r="H817" s="9" t="s">
        <v>162</v>
      </c>
    </row>
    <row r="818" spans="7:8">
      <c r="G818" s="5" t="s">
        <v>1707</v>
      </c>
      <c r="H818" s="9" t="s">
        <v>164</v>
      </c>
    </row>
    <row r="819" spans="7:8">
      <c r="G819" s="5" t="s">
        <v>1708</v>
      </c>
      <c r="H819" s="9" t="s">
        <v>1709</v>
      </c>
    </row>
    <row r="820" spans="7:8">
      <c r="G820" s="5" t="s">
        <v>1710</v>
      </c>
      <c r="H820" s="9" t="s">
        <v>1711</v>
      </c>
    </row>
    <row r="821" spans="7:8">
      <c r="G821" s="5" t="s">
        <v>1712</v>
      </c>
      <c r="H821" s="9" t="s">
        <v>1713</v>
      </c>
    </row>
    <row r="822" spans="7:8">
      <c r="G822" s="5" t="s">
        <v>1714</v>
      </c>
      <c r="H822" s="9" t="s">
        <v>1715</v>
      </c>
    </row>
    <row r="823" spans="7:8">
      <c r="G823" s="5" t="s">
        <v>1716</v>
      </c>
      <c r="H823" s="9" t="s">
        <v>1717</v>
      </c>
    </row>
    <row r="824" spans="7:8">
      <c r="G824" s="5" t="s">
        <v>1718</v>
      </c>
      <c r="H824" s="9" t="s">
        <v>1719</v>
      </c>
    </row>
    <row r="825" spans="7:8">
      <c r="G825" s="5" t="s">
        <v>1720</v>
      </c>
      <c r="H825" s="9" t="s">
        <v>162</v>
      </c>
    </row>
    <row r="826" spans="7:8">
      <c r="G826" s="5" t="s">
        <v>1721</v>
      </c>
      <c r="H826" s="9" t="s">
        <v>164</v>
      </c>
    </row>
    <row r="827" spans="7:8">
      <c r="G827" s="5" t="s">
        <v>1722</v>
      </c>
      <c r="H827" s="9" t="s">
        <v>1723</v>
      </c>
    </row>
    <row r="828" spans="7:8">
      <c r="G828" s="5" t="s">
        <v>1724</v>
      </c>
      <c r="H828" s="9" t="s">
        <v>1725</v>
      </c>
    </row>
    <row r="829" spans="7:8">
      <c r="G829" s="5" t="s">
        <v>1726</v>
      </c>
      <c r="H829" s="9" t="s">
        <v>1727</v>
      </c>
    </row>
    <row r="830" spans="7:8">
      <c r="G830" s="5" t="s">
        <v>1728</v>
      </c>
      <c r="H830" s="9" t="s">
        <v>1729</v>
      </c>
    </row>
    <row r="831" spans="7:8">
      <c r="G831" s="5" t="s">
        <v>1730</v>
      </c>
      <c r="H831" s="9" t="s">
        <v>1731</v>
      </c>
    </row>
    <row r="832" spans="7:8">
      <c r="G832" s="5" t="s">
        <v>1732</v>
      </c>
      <c r="H832" s="9" t="s">
        <v>1733</v>
      </c>
    </row>
    <row r="833" spans="7:8">
      <c r="G833" s="5" t="s">
        <v>1734</v>
      </c>
      <c r="H833" s="9" t="s">
        <v>1735</v>
      </c>
    </row>
    <row r="834" spans="7:8">
      <c r="G834" s="5" t="s">
        <v>1736</v>
      </c>
      <c r="H834" s="9" t="s">
        <v>1737</v>
      </c>
    </row>
    <row r="835" spans="7:8">
      <c r="G835" s="5" t="s">
        <v>1738</v>
      </c>
      <c r="H835" s="9" t="s">
        <v>1739</v>
      </c>
    </row>
    <row r="836" spans="7:8">
      <c r="G836" s="5" t="s">
        <v>1740</v>
      </c>
      <c r="H836" s="9" t="s">
        <v>162</v>
      </c>
    </row>
    <row r="837" spans="7:8">
      <c r="G837" s="5" t="s">
        <v>1741</v>
      </c>
      <c r="H837" s="9" t="s">
        <v>164</v>
      </c>
    </row>
    <row r="838" spans="7:8">
      <c r="G838" s="5" t="s">
        <v>1742</v>
      </c>
      <c r="H838" s="9" t="s">
        <v>1743</v>
      </c>
    </row>
    <row r="839" spans="7:8">
      <c r="G839" s="5" t="s">
        <v>1744</v>
      </c>
      <c r="H839" s="9" t="s">
        <v>1745</v>
      </c>
    </row>
    <row r="840" spans="7:8">
      <c r="G840" s="5" t="s">
        <v>1746</v>
      </c>
      <c r="H840" s="9" t="s">
        <v>162</v>
      </c>
    </row>
    <row r="841" spans="7:8">
      <c r="G841" s="5" t="s">
        <v>1747</v>
      </c>
      <c r="H841" s="9" t="s">
        <v>164</v>
      </c>
    </row>
    <row r="842" spans="7:8">
      <c r="G842" s="5" t="s">
        <v>1748</v>
      </c>
      <c r="H842" s="9" t="s">
        <v>1749</v>
      </c>
    </row>
    <row r="843" spans="7:8">
      <c r="G843" s="5" t="s">
        <v>1750</v>
      </c>
      <c r="H843" s="9" t="s">
        <v>1751</v>
      </c>
    </row>
    <row r="844" spans="7:8">
      <c r="G844" s="5" t="s">
        <v>1752</v>
      </c>
      <c r="H844" s="9" t="s">
        <v>162</v>
      </c>
    </row>
    <row r="845" spans="7:8">
      <c r="G845" s="5" t="s">
        <v>1753</v>
      </c>
      <c r="H845" s="9" t="s">
        <v>164</v>
      </c>
    </row>
    <row r="846" spans="7:8">
      <c r="G846" s="5" t="s">
        <v>1754</v>
      </c>
      <c r="H846" s="9" t="s">
        <v>1755</v>
      </c>
    </row>
    <row r="847" spans="7:8">
      <c r="G847" s="5" t="s">
        <v>1756</v>
      </c>
      <c r="H847" s="9" t="s">
        <v>1757</v>
      </c>
    </row>
    <row r="848" spans="7:8">
      <c r="G848" s="5" t="s">
        <v>1758</v>
      </c>
      <c r="H848" s="9" t="s">
        <v>1759</v>
      </c>
    </row>
    <row r="849" spans="7:8">
      <c r="G849" s="5" t="s">
        <v>1760</v>
      </c>
      <c r="H849" s="9" t="s">
        <v>1761</v>
      </c>
    </row>
    <row r="850" spans="7:8">
      <c r="G850" s="5" t="s">
        <v>1762</v>
      </c>
      <c r="H850" s="9" t="s">
        <v>1763</v>
      </c>
    </row>
    <row r="851" spans="7:8">
      <c r="G851" s="5" t="s">
        <v>1764</v>
      </c>
      <c r="H851" s="9" t="s">
        <v>1765</v>
      </c>
    </row>
    <row r="852" spans="7:8">
      <c r="G852" s="5" t="s">
        <v>1766</v>
      </c>
      <c r="H852" s="9" t="s">
        <v>1767</v>
      </c>
    </row>
    <row r="853" spans="7:8">
      <c r="G853" s="5" t="s">
        <v>1768</v>
      </c>
      <c r="H853" s="9" t="s">
        <v>1769</v>
      </c>
    </row>
    <row r="854" spans="7:8">
      <c r="G854" s="5" t="s">
        <v>1770</v>
      </c>
      <c r="H854" s="9" t="s">
        <v>1771</v>
      </c>
    </row>
    <row r="855" spans="7:8">
      <c r="G855" s="5" t="s">
        <v>1772</v>
      </c>
      <c r="H855" s="9" t="s">
        <v>1773</v>
      </c>
    </row>
    <row r="856" spans="7:8">
      <c r="G856" s="5" t="s">
        <v>1774</v>
      </c>
      <c r="H856" s="9" t="s">
        <v>1775</v>
      </c>
    </row>
    <row r="857" spans="7:8">
      <c r="G857" s="5" t="s">
        <v>1776</v>
      </c>
      <c r="H857" s="9" t="s">
        <v>1777</v>
      </c>
    </row>
    <row r="858" spans="7:8">
      <c r="G858" s="5" t="s">
        <v>1778</v>
      </c>
      <c r="H858" s="9" t="s">
        <v>1779</v>
      </c>
    </row>
    <row r="859" spans="7:8">
      <c r="G859" s="5" t="s">
        <v>1780</v>
      </c>
      <c r="H859" s="9" t="s">
        <v>1781</v>
      </c>
    </row>
    <row r="860" spans="7:8">
      <c r="G860" s="5" t="s">
        <v>1782</v>
      </c>
      <c r="H860" s="9" t="s">
        <v>1783</v>
      </c>
    </row>
    <row r="861" spans="7:8">
      <c r="G861" s="5" t="s">
        <v>1784</v>
      </c>
      <c r="H861" s="9" t="s">
        <v>1785</v>
      </c>
    </row>
    <row r="862" spans="7:8">
      <c r="G862" s="5" t="s">
        <v>1786</v>
      </c>
      <c r="H862" s="9" t="s">
        <v>162</v>
      </c>
    </row>
    <row r="863" spans="7:8">
      <c r="G863" s="5" t="s">
        <v>1787</v>
      </c>
      <c r="H863" s="9" t="s">
        <v>1788</v>
      </c>
    </row>
    <row r="864" spans="7:8">
      <c r="G864" s="5" t="s">
        <v>1789</v>
      </c>
      <c r="H864" s="9" t="s">
        <v>164</v>
      </c>
    </row>
    <row r="865" spans="7:8">
      <c r="G865" s="5" t="s">
        <v>1790</v>
      </c>
      <c r="H865" s="9" t="s">
        <v>1791</v>
      </c>
    </row>
    <row r="866" spans="7:8">
      <c r="G866" s="5" t="s">
        <v>1792</v>
      </c>
      <c r="H866" s="9" t="s">
        <v>1793</v>
      </c>
    </row>
    <row r="867" spans="7:8">
      <c r="G867" s="5" t="s">
        <v>1794</v>
      </c>
      <c r="H867" s="9" t="s">
        <v>162</v>
      </c>
    </row>
    <row r="868" spans="7:8">
      <c r="G868" s="5" t="s">
        <v>1795</v>
      </c>
      <c r="H868" s="9" t="s">
        <v>1788</v>
      </c>
    </row>
    <row r="869" spans="7:8">
      <c r="G869" s="5" t="s">
        <v>1796</v>
      </c>
      <c r="H869" s="9" t="s">
        <v>164</v>
      </c>
    </row>
    <row r="870" spans="7:8">
      <c r="G870" s="5" t="s">
        <v>1797</v>
      </c>
      <c r="H870" s="9" t="s">
        <v>1798</v>
      </c>
    </row>
    <row r="871" spans="7:8">
      <c r="G871" s="5" t="s">
        <v>1799</v>
      </c>
      <c r="H871" s="9" t="s">
        <v>1800</v>
      </c>
    </row>
    <row r="872" spans="7:8">
      <c r="G872" s="5" t="s">
        <v>1801</v>
      </c>
      <c r="H872" s="9" t="s">
        <v>1802</v>
      </c>
    </row>
    <row r="873" spans="7:8">
      <c r="G873" s="5" t="s">
        <v>1803</v>
      </c>
      <c r="H873" s="9" t="s">
        <v>1804</v>
      </c>
    </row>
    <row r="874" spans="7:8">
      <c r="G874" s="5" t="s">
        <v>1805</v>
      </c>
      <c r="H874" s="9" t="s">
        <v>1806</v>
      </c>
    </row>
    <row r="875" spans="7:8">
      <c r="G875" s="5" t="s">
        <v>1807</v>
      </c>
      <c r="H875" s="9" t="s">
        <v>1808</v>
      </c>
    </row>
    <row r="876" spans="7:8">
      <c r="G876" s="5" t="s">
        <v>1809</v>
      </c>
      <c r="H876" s="9" t="s">
        <v>1810</v>
      </c>
    </row>
    <row r="877" spans="7:8">
      <c r="G877" s="5" t="s">
        <v>1811</v>
      </c>
      <c r="H877" s="9" t="s">
        <v>1812</v>
      </c>
    </row>
    <row r="878" spans="7:8">
      <c r="G878" s="5" t="s">
        <v>1813</v>
      </c>
      <c r="H878" s="9" t="s">
        <v>1814</v>
      </c>
    </row>
    <row r="879" spans="7:8">
      <c r="G879" s="5" t="s">
        <v>1815</v>
      </c>
      <c r="H879" s="9" t="s">
        <v>1816</v>
      </c>
    </row>
    <row r="880" spans="7:8">
      <c r="G880" s="5" t="s">
        <v>1817</v>
      </c>
      <c r="H880" s="9" t="s">
        <v>1818</v>
      </c>
    </row>
    <row r="881" spans="7:8">
      <c r="G881" s="5" t="s">
        <v>1819</v>
      </c>
      <c r="H881" s="9" t="s">
        <v>162</v>
      </c>
    </row>
    <row r="882" spans="7:8">
      <c r="G882" s="5" t="s">
        <v>1820</v>
      </c>
      <c r="H882" s="9" t="s">
        <v>1788</v>
      </c>
    </row>
    <row r="883" spans="7:8">
      <c r="G883" s="5" t="s">
        <v>1821</v>
      </c>
      <c r="H883" s="9" t="s">
        <v>164</v>
      </c>
    </row>
    <row r="884" spans="7:8">
      <c r="G884" s="5" t="s">
        <v>1822</v>
      </c>
      <c r="H884" s="9" t="s">
        <v>1823</v>
      </c>
    </row>
    <row r="885" spans="7:8">
      <c r="G885" s="5" t="s">
        <v>1824</v>
      </c>
      <c r="H885" s="9" t="s">
        <v>1825</v>
      </c>
    </row>
    <row r="886" spans="7:8">
      <c r="G886" s="5" t="s">
        <v>1826</v>
      </c>
      <c r="H886" s="9" t="s">
        <v>1827</v>
      </c>
    </row>
    <row r="887" spans="7:8">
      <c r="G887" s="5" t="s">
        <v>1828</v>
      </c>
      <c r="H887" s="9" t="s">
        <v>1829</v>
      </c>
    </row>
    <row r="888" spans="7:8">
      <c r="G888" s="5" t="s">
        <v>1830</v>
      </c>
      <c r="H888" s="9" t="s">
        <v>1831</v>
      </c>
    </row>
    <row r="889" spans="7:8">
      <c r="G889" s="5" t="s">
        <v>1832</v>
      </c>
      <c r="H889" s="9" t="s">
        <v>1833</v>
      </c>
    </row>
    <row r="890" spans="7:8">
      <c r="G890" s="5" t="s">
        <v>1834</v>
      </c>
      <c r="H890" s="9" t="s">
        <v>1835</v>
      </c>
    </row>
    <row r="891" spans="7:8">
      <c r="G891" s="5" t="s">
        <v>1836</v>
      </c>
      <c r="H891" s="9" t="s">
        <v>1837</v>
      </c>
    </row>
    <row r="892" spans="7:8">
      <c r="G892" s="5" t="s">
        <v>1838</v>
      </c>
      <c r="H892" s="9" t="s">
        <v>1839</v>
      </c>
    </row>
    <row r="893" spans="7:8">
      <c r="G893" s="5" t="s">
        <v>1840</v>
      </c>
      <c r="H893" s="9" t="s">
        <v>1841</v>
      </c>
    </row>
    <row r="894" spans="7:8">
      <c r="G894" s="5" t="s">
        <v>1842</v>
      </c>
      <c r="H894" s="9" t="s">
        <v>1843</v>
      </c>
    </row>
    <row r="895" spans="7:8">
      <c r="G895" s="5" t="s">
        <v>1844</v>
      </c>
      <c r="H895" s="9" t="s">
        <v>1845</v>
      </c>
    </row>
    <row r="896" spans="7:8">
      <c r="G896" s="5" t="s">
        <v>1846</v>
      </c>
      <c r="H896" s="9" t="s">
        <v>1847</v>
      </c>
    </row>
    <row r="897" spans="7:8">
      <c r="G897" s="5" t="s">
        <v>1848</v>
      </c>
      <c r="H897" s="9" t="s">
        <v>1849</v>
      </c>
    </row>
    <row r="898" spans="7:8">
      <c r="G898" s="5" t="s">
        <v>1850</v>
      </c>
      <c r="H898" s="9" t="s">
        <v>1851</v>
      </c>
    </row>
    <row r="899" spans="7:8">
      <c r="G899" s="5" t="s">
        <v>1852</v>
      </c>
      <c r="H899" s="9" t="s">
        <v>162</v>
      </c>
    </row>
    <row r="900" spans="7:8">
      <c r="G900" s="5" t="s">
        <v>1853</v>
      </c>
      <c r="H900" s="9" t="s">
        <v>1788</v>
      </c>
    </row>
    <row r="901" spans="7:8">
      <c r="G901" s="5" t="s">
        <v>1854</v>
      </c>
      <c r="H901" s="9" t="s">
        <v>164</v>
      </c>
    </row>
    <row r="902" spans="7:8">
      <c r="G902" s="5" t="s">
        <v>1855</v>
      </c>
      <c r="H902" s="9" t="s">
        <v>1856</v>
      </c>
    </row>
    <row r="903" spans="7:8">
      <c r="G903" s="5" t="s">
        <v>1857</v>
      </c>
      <c r="H903" s="9" t="s">
        <v>1858</v>
      </c>
    </row>
    <row r="904" spans="7:8">
      <c r="G904" s="5" t="s">
        <v>1859</v>
      </c>
      <c r="H904" s="9" t="s">
        <v>1860</v>
      </c>
    </row>
    <row r="905" spans="7:8">
      <c r="G905" s="5" t="s">
        <v>1861</v>
      </c>
      <c r="H905" s="9" t="s">
        <v>1862</v>
      </c>
    </row>
    <row r="906" spans="7:8">
      <c r="G906" s="5" t="s">
        <v>1863</v>
      </c>
      <c r="H906" s="9" t="s">
        <v>1864</v>
      </c>
    </row>
    <row r="907" spans="7:8">
      <c r="G907" s="5" t="s">
        <v>1865</v>
      </c>
      <c r="H907" s="9" t="s">
        <v>1866</v>
      </c>
    </row>
    <row r="908" spans="7:8">
      <c r="G908" s="5" t="s">
        <v>1867</v>
      </c>
      <c r="H908" s="9" t="s">
        <v>1868</v>
      </c>
    </row>
    <row r="909" spans="7:8">
      <c r="G909" s="5" t="s">
        <v>1869</v>
      </c>
      <c r="H909" s="9" t="s">
        <v>1870</v>
      </c>
    </row>
    <row r="910" spans="7:8">
      <c r="G910" s="5" t="s">
        <v>1871</v>
      </c>
      <c r="H910" s="9" t="s">
        <v>1872</v>
      </c>
    </row>
    <row r="911" spans="7:8">
      <c r="G911" s="5" t="s">
        <v>1873</v>
      </c>
      <c r="H911" s="9" t="s">
        <v>1874</v>
      </c>
    </row>
    <row r="912" spans="7:8">
      <c r="G912" s="5" t="s">
        <v>1875</v>
      </c>
      <c r="H912" s="9" t="s">
        <v>1876</v>
      </c>
    </row>
    <row r="913" spans="7:8">
      <c r="G913" s="5" t="s">
        <v>1877</v>
      </c>
      <c r="H913" s="9" t="s">
        <v>1878</v>
      </c>
    </row>
    <row r="914" spans="7:8">
      <c r="G914" s="5" t="s">
        <v>1879</v>
      </c>
      <c r="H914" s="9" t="s">
        <v>1880</v>
      </c>
    </row>
    <row r="915" spans="7:8">
      <c r="G915" s="5" t="s">
        <v>1881</v>
      </c>
      <c r="H915" s="9" t="s">
        <v>1882</v>
      </c>
    </row>
    <row r="916" spans="7:8">
      <c r="G916" s="5" t="s">
        <v>1883</v>
      </c>
      <c r="H916" s="9" t="s">
        <v>1884</v>
      </c>
    </row>
    <row r="917" spans="7:8">
      <c r="G917" s="5" t="s">
        <v>1885</v>
      </c>
      <c r="H917" s="9" t="s">
        <v>1886</v>
      </c>
    </row>
    <row r="918" spans="7:8">
      <c r="G918" s="5" t="s">
        <v>1887</v>
      </c>
      <c r="H918" s="9" t="s">
        <v>1888</v>
      </c>
    </row>
    <row r="919" spans="7:8">
      <c r="G919" s="5" t="s">
        <v>1889</v>
      </c>
      <c r="H919" s="9" t="s">
        <v>1890</v>
      </c>
    </row>
    <row r="920" spans="7:8">
      <c r="G920" s="5" t="s">
        <v>1891</v>
      </c>
      <c r="H920" s="9" t="s">
        <v>1892</v>
      </c>
    </row>
    <row r="921" spans="7:8">
      <c r="G921" s="5" t="s">
        <v>1893</v>
      </c>
      <c r="H921" s="9" t="s">
        <v>1894</v>
      </c>
    </row>
    <row r="922" spans="7:8">
      <c r="G922" s="5" t="s">
        <v>1895</v>
      </c>
      <c r="H922" s="9" t="s">
        <v>162</v>
      </c>
    </row>
    <row r="923" spans="7:8">
      <c r="G923" s="5" t="s">
        <v>1896</v>
      </c>
      <c r="H923" s="9" t="s">
        <v>1788</v>
      </c>
    </row>
    <row r="924" spans="7:8">
      <c r="G924" s="5" t="s">
        <v>1897</v>
      </c>
      <c r="H924" s="9" t="s">
        <v>164</v>
      </c>
    </row>
    <row r="925" spans="7:8">
      <c r="G925" s="5" t="s">
        <v>1898</v>
      </c>
      <c r="H925" s="9" t="s">
        <v>1899</v>
      </c>
    </row>
    <row r="926" spans="7:8">
      <c r="G926" s="5" t="s">
        <v>1900</v>
      </c>
      <c r="H926" s="9" t="s">
        <v>1901</v>
      </c>
    </row>
    <row r="927" spans="7:8">
      <c r="G927" s="5" t="s">
        <v>1902</v>
      </c>
      <c r="H927" s="9" t="s">
        <v>1903</v>
      </c>
    </row>
    <row r="928" spans="7:8">
      <c r="G928" s="5" t="s">
        <v>1904</v>
      </c>
      <c r="H928" s="9" t="s">
        <v>1905</v>
      </c>
    </row>
    <row r="929" spans="7:8">
      <c r="G929" s="5" t="s">
        <v>1906</v>
      </c>
      <c r="H929" s="9" t="s">
        <v>1907</v>
      </c>
    </row>
    <row r="930" spans="7:8">
      <c r="G930" s="5" t="s">
        <v>1908</v>
      </c>
      <c r="H930" s="9" t="s">
        <v>1909</v>
      </c>
    </row>
    <row r="931" spans="7:8">
      <c r="G931" s="5" t="s">
        <v>1910</v>
      </c>
      <c r="H931" s="9" t="s">
        <v>1911</v>
      </c>
    </row>
    <row r="932" spans="7:8">
      <c r="G932" s="5" t="s">
        <v>1912</v>
      </c>
      <c r="H932" s="9" t="s">
        <v>1913</v>
      </c>
    </row>
    <row r="933" spans="7:8">
      <c r="G933" s="5" t="s">
        <v>1914</v>
      </c>
      <c r="H933" s="9" t="s">
        <v>1915</v>
      </c>
    </row>
    <row r="934" spans="7:8">
      <c r="G934" s="5" t="s">
        <v>1916</v>
      </c>
      <c r="H934" s="9" t="s">
        <v>1917</v>
      </c>
    </row>
    <row r="935" spans="7:8">
      <c r="G935" s="5" t="s">
        <v>1918</v>
      </c>
      <c r="H935" s="9" t="s">
        <v>1919</v>
      </c>
    </row>
    <row r="936" spans="7:8">
      <c r="G936" s="5" t="s">
        <v>1920</v>
      </c>
      <c r="H936" s="9" t="s">
        <v>1921</v>
      </c>
    </row>
    <row r="937" spans="7:8">
      <c r="G937" s="5" t="s">
        <v>1922</v>
      </c>
      <c r="H937" s="9" t="s">
        <v>1923</v>
      </c>
    </row>
    <row r="938" spans="7:8">
      <c r="G938" s="5" t="s">
        <v>1924</v>
      </c>
      <c r="H938" s="9" t="s">
        <v>162</v>
      </c>
    </row>
    <row r="939" spans="7:8">
      <c r="G939" s="5" t="s">
        <v>1925</v>
      </c>
      <c r="H939" s="9" t="s">
        <v>1788</v>
      </c>
    </row>
    <row r="940" spans="7:8">
      <c r="G940" s="5" t="s">
        <v>1926</v>
      </c>
      <c r="H940" s="9" t="s">
        <v>164</v>
      </c>
    </row>
    <row r="941" spans="7:8">
      <c r="G941" s="5" t="s">
        <v>1927</v>
      </c>
      <c r="H941" s="9" t="s">
        <v>1928</v>
      </c>
    </row>
    <row r="942" spans="7:8">
      <c r="G942" s="5" t="s">
        <v>1929</v>
      </c>
      <c r="H942" s="9" t="s">
        <v>1930</v>
      </c>
    </row>
    <row r="943" spans="7:8">
      <c r="G943" s="5" t="s">
        <v>1931</v>
      </c>
      <c r="H943" s="9" t="s">
        <v>1932</v>
      </c>
    </row>
    <row r="944" spans="7:8">
      <c r="G944" s="5" t="s">
        <v>1933</v>
      </c>
      <c r="H944" s="9" t="s">
        <v>1934</v>
      </c>
    </row>
    <row r="945" spans="7:8">
      <c r="G945" s="5" t="s">
        <v>1935</v>
      </c>
      <c r="H945" s="9" t="s">
        <v>1936</v>
      </c>
    </row>
    <row r="946" spans="7:8">
      <c r="G946" s="5" t="s">
        <v>1937</v>
      </c>
      <c r="H946" s="9" t="s">
        <v>1938</v>
      </c>
    </row>
    <row r="947" spans="7:8">
      <c r="G947" s="5" t="s">
        <v>1939</v>
      </c>
      <c r="H947" s="9" t="s">
        <v>1940</v>
      </c>
    </row>
    <row r="948" spans="7:8">
      <c r="G948" s="5" t="s">
        <v>1941</v>
      </c>
      <c r="H948" s="9" t="s">
        <v>1942</v>
      </c>
    </row>
    <row r="949" spans="7:8">
      <c r="G949" s="5" t="s">
        <v>1943</v>
      </c>
      <c r="H949" s="9" t="s">
        <v>1944</v>
      </c>
    </row>
    <row r="950" spans="7:8">
      <c r="G950" s="5" t="s">
        <v>1945</v>
      </c>
      <c r="H950" s="9" t="s">
        <v>1946</v>
      </c>
    </row>
    <row r="951" spans="7:8">
      <c r="G951" s="5" t="s">
        <v>1947</v>
      </c>
      <c r="H951" s="9" t="s">
        <v>1948</v>
      </c>
    </row>
    <row r="952" spans="7:8">
      <c r="G952" s="5" t="s">
        <v>1949</v>
      </c>
      <c r="H952" s="9" t="s">
        <v>1950</v>
      </c>
    </row>
    <row r="953" spans="7:8">
      <c r="G953" s="5" t="s">
        <v>1951</v>
      </c>
      <c r="H953" s="9" t="s">
        <v>1952</v>
      </c>
    </row>
    <row r="954" spans="7:8">
      <c r="G954" s="5" t="s">
        <v>1953</v>
      </c>
      <c r="H954" s="9" t="s">
        <v>1954</v>
      </c>
    </row>
    <row r="955" spans="7:8">
      <c r="G955" s="5" t="s">
        <v>1955</v>
      </c>
      <c r="H955" s="9" t="s">
        <v>1956</v>
      </c>
    </row>
    <row r="956" spans="7:8">
      <c r="G956" s="5" t="s">
        <v>1957</v>
      </c>
      <c r="H956" s="9" t="s">
        <v>1958</v>
      </c>
    </row>
    <row r="957" spans="7:8">
      <c r="G957" s="5" t="s">
        <v>1959</v>
      </c>
      <c r="H957" s="9" t="s">
        <v>1960</v>
      </c>
    </row>
    <row r="958" spans="7:8">
      <c r="G958" s="5" t="s">
        <v>1961</v>
      </c>
      <c r="H958" s="9" t="s">
        <v>1962</v>
      </c>
    </row>
    <row r="959" spans="7:8">
      <c r="G959" s="5" t="s">
        <v>1963</v>
      </c>
      <c r="H959" s="9" t="s">
        <v>1964</v>
      </c>
    </row>
    <row r="960" spans="7:8">
      <c r="G960" s="5" t="s">
        <v>1965</v>
      </c>
      <c r="H960" s="9" t="s">
        <v>1966</v>
      </c>
    </row>
    <row r="961" spans="7:8">
      <c r="G961" s="5" t="s">
        <v>1967</v>
      </c>
      <c r="H961" s="9" t="s">
        <v>1968</v>
      </c>
    </row>
    <row r="962" spans="7:8">
      <c r="G962" s="5" t="s">
        <v>1969</v>
      </c>
      <c r="H962" s="9" t="s">
        <v>162</v>
      </c>
    </row>
    <row r="963" spans="7:8">
      <c r="G963" s="5" t="s">
        <v>1970</v>
      </c>
      <c r="H963" s="9" t="s">
        <v>1788</v>
      </c>
    </row>
    <row r="964" spans="7:8">
      <c r="G964" s="5" t="s">
        <v>1971</v>
      </c>
      <c r="H964" s="9" t="s">
        <v>164</v>
      </c>
    </row>
    <row r="965" spans="7:8">
      <c r="G965" s="5" t="s">
        <v>1972</v>
      </c>
      <c r="H965" s="9" t="s">
        <v>1973</v>
      </c>
    </row>
    <row r="966" spans="7:8">
      <c r="G966" s="5" t="s">
        <v>1974</v>
      </c>
      <c r="H966" s="9" t="s">
        <v>1975</v>
      </c>
    </row>
    <row r="967" spans="7:8">
      <c r="G967" s="5" t="s">
        <v>1976</v>
      </c>
      <c r="H967" s="9" t="s">
        <v>162</v>
      </c>
    </row>
    <row r="968" spans="7:8">
      <c r="G968" s="5" t="s">
        <v>1977</v>
      </c>
      <c r="H968" s="9" t="s">
        <v>1788</v>
      </c>
    </row>
    <row r="969" spans="7:8">
      <c r="G969" s="5" t="s">
        <v>1978</v>
      </c>
      <c r="H969" s="9" t="s">
        <v>164</v>
      </c>
    </row>
    <row r="970" spans="7:8">
      <c r="G970" s="5" t="s">
        <v>1979</v>
      </c>
      <c r="H970" s="9" t="s">
        <v>1980</v>
      </c>
    </row>
    <row r="971" spans="7:8">
      <c r="G971" s="5" t="s">
        <v>1981</v>
      </c>
      <c r="H971" s="9" t="s">
        <v>1982</v>
      </c>
    </row>
    <row r="972" spans="7:8">
      <c r="G972" s="5" t="s">
        <v>1983</v>
      </c>
      <c r="H972" s="9" t="s">
        <v>1984</v>
      </c>
    </row>
    <row r="973" spans="7:8">
      <c r="G973" s="5" t="s">
        <v>1985</v>
      </c>
      <c r="H973" s="9" t="s">
        <v>1986</v>
      </c>
    </row>
    <row r="974" spans="7:8">
      <c r="G974" s="5" t="s">
        <v>1987</v>
      </c>
      <c r="H974" s="9" t="s">
        <v>1988</v>
      </c>
    </row>
    <row r="975" spans="7:8">
      <c r="G975" s="5" t="s">
        <v>1989</v>
      </c>
      <c r="H975" s="9" t="s">
        <v>1990</v>
      </c>
    </row>
    <row r="976" spans="7:8">
      <c r="G976" s="5" t="s">
        <v>1991</v>
      </c>
      <c r="H976" s="9" t="s">
        <v>1992</v>
      </c>
    </row>
    <row r="977" spans="7:8">
      <c r="G977" s="5" t="s">
        <v>1993</v>
      </c>
      <c r="H977" s="9" t="s">
        <v>1994</v>
      </c>
    </row>
    <row r="978" spans="7:8">
      <c r="G978" s="5" t="s">
        <v>1995</v>
      </c>
      <c r="H978" s="9" t="s">
        <v>1996</v>
      </c>
    </row>
    <row r="979" spans="7:8">
      <c r="G979" s="5" t="s">
        <v>1997</v>
      </c>
      <c r="H979" s="9" t="s">
        <v>1998</v>
      </c>
    </row>
    <row r="980" spans="7:8">
      <c r="G980" s="5" t="s">
        <v>1999</v>
      </c>
      <c r="H980" s="9" t="s">
        <v>2000</v>
      </c>
    </row>
    <row r="981" spans="7:8">
      <c r="G981" s="5" t="s">
        <v>2001</v>
      </c>
      <c r="H981" s="9" t="s">
        <v>162</v>
      </c>
    </row>
    <row r="982" spans="7:8">
      <c r="G982" s="5" t="s">
        <v>2002</v>
      </c>
      <c r="H982" s="9" t="s">
        <v>1788</v>
      </c>
    </row>
    <row r="983" spans="7:8">
      <c r="G983" s="5" t="s">
        <v>2003</v>
      </c>
      <c r="H983" s="9" t="s">
        <v>164</v>
      </c>
    </row>
    <row r="984" spans="7:8">
      <c r="G984" s="5" t="s">
        <v>2004</v>
      </c>
      <c r="H984" s="9" t="s">
        <v>2005</v>
      </c>
    </row>
    <row r="985" spans="7:8">
      <c r="G985" s="5" t="s">
        <v>2006</v>
      </c>
      <c r="H985" s="9" t="s">
        <v>2007</v>
      </c>
    </row>
    <row r="986" spans="7:8">
      <c r="G986" s="5" t="s">
        <v>2008</v>
      </c>
      <c r="H986" s="9" t="s">
        <v>2009</v>
      </c>
    </row>
    <row r="987" spans="7:8">
      <c r="G987" s="5" t="s">
        <v>2010</v>
      </c>
      <c r="H987" s="9" t="s">
        <v>2011</v>
      </c>
    </row>
    <row r="988" spans="7:8">
      <c r="G988" s="5" t="s">
        <v>2012</v>
      </c>
      <c r="H988" s="9" t="s">
        <v>2013</v>
      </c>
    </row>
    <row r="989" spans="7:8">
      <c r="G989" s="5" t="s">
        <v>2014</v>
      </c>
      <c r="H989" s="9" t="s">
        <v>2015</v>
      </c>
    </row>
    <row r="990" spans="7:8">
      <c r="G990" s="5" t="s">
        <v>2016</v>
      </c>
      <c r="H990" s="9" t="s">
        <v>2017</v>
      </c>
    </row>
    <row r="991" spans="7:8">
      <c r="G991" s="5" t="s">
        <v>2018</v>
      </c>
      <c r="H991" s="9" t="s">
        <v>2019</v>
      </c>
    </row>
    <row r="992" spans="7:8">
      <c r="G992" s="5" t="s">
        <v>2020</v>
      </c>
      <c r="H992" s="9" t="s">
        <v>2021</v>
      </c>
    </row>
    <row r="993" spans="7:8">
      <c r="G993" s="5" t="s">
        <v>2022</v>
      </c>
      <c r="H993" s="9" t="s">
        <v>2023</v>
      </c>
    </row>
    <row r="994" spans="7:8">
      <c r="G994" s="5" t="s">
        <v>2024</v>
      </c>
      <c r="H994" s="9" t="s">
        <v>2025</v>
      </c>
    </row>
    <row r="995" spans="7:8">
      <c r="G995" s="5" t="s">
        <v>2026</v>
      </c>
      <c r="H995" s="9" t="s">
        <v>2027</v>
      </c>
    </row>
    <row r="996" spans="7:8">
      <c r="G996" s="5" t="s">
        <v>2028</v>
      </c>
      <c r="H996" s="9" t="s">
        <v>2029</v>
      </c>
    </row>
    <row r="997" spans="7:8">
      <c r="G997" s="5" t="s">
        <v>2030</v>
      </c>
      <c r="H997" s="9" t="s">
        <v>2031</v>
      </c>
    </row>
    <row r="998" spans="7:8">
      <c r="G998" s="5" t="s">
        <v>2032</v>
      </c>
      <c r="H998" s="9" t="s">
        <v>2033</v>
      </c>
    </row>
    <row r="999" spans="7:8">
      <c r="G999" s="5" t="s">
        <v>2034</v>
      </c>
      <c r="H999" s="9" t="s">
        <v>2035</v>
      </c>
    </row>
    <row r="1000" spans="7:8">
      <c r="G1000" s="5" t="s">
        <v>2036</v>
      </c>
      <c r="H1000" s="9" t="s">
        <v>2037</v>
      </c>
    </row>
    <row r="1001" spans="7:8">
      <c r="G1001" s="5" t="s">
        <v>2038</v>
      </c>
      <c r="H1001" s="9" t="s">
        <v>2039</v>
      </c>
    </row>
    <row r="1002" spans="7:8">
      <c r="G1002" s="5" t="s">
        <v>2040</v>
      </c>
      <c r="H1002" s="9" t="s">
        <v>2041</v>
      </c>
    </row>
    <row r="1003" spans="7:8">
      <c r="G1003" s="5" t="s">
        <v>2042</v>
      </c>
      <c r="H1003" s="9" t="s">
        <v>2043</v>
      </c>
    </row>
    <row r="1004" spans="7:8">
      <c r="G1004" s="5" t="s">
        <v>2044</v>
      </c>
      <c r="H1004" s="9" t="s">
        <v>162</v>
      </c>
    </row>
    <row r="1005" spans="7:8">
      <c r="G1005" s="5" t="s">
        <v>2045</v>
      </c>
      <c r="H1005" s="9" t="s">
        <v>1788</v>
      </c>
    </row>
    <row r="1006" spans="7:8">
      <c r="G1006" s="5" t="s">
        <v>2046</v>
      </c>
      <c r="H1006" s="9" t="s">
        <v>164</v>
      </c>
    </row>
    <row r="1007" spans="7:8">
      <c r="G1007" s="5" t="s">
        <v>2047</v>
      </c>
      <c r="H1007" s="9" t="s">
        <v>2048</v>
      </c>
    </row>
    <row r="1008" spans="7:8">
      <c r="G1008" s="5" t="s">
        <v>2049</v>
      </c>
      <c r="H1008" s="9" t="s">
        <v>2050</v>
      </c>
    </row>
    <row r="1009" spans="7:8">
      <c r="G1009" s="5" t="s">
        <v>2051</v>
      </c>
      <c r="H1009" s="9" t="s">
        <v>2052</v>
      </c>
    </row>
    <row r="1010" spans="7:8">
      <c r="G1010" s="5" t="s">
        <v>2053</v>
      </c>
      <c r="H1010" s="9" t="s">
        <v>2054</v>
      </c>
    </row>
    <row r="1011" spans="7:8">
      <c r="G1011" s="5" t="s">
        <v>2055</v>
      </c>
      <c r="H1011" s="9" t="s">
        <v>2056</v>
      </c>
    </row>
    <row r="1012" spans="7:8">
      <c r="G1012" s="5" t="s">
        <v>2057</v>
      </c>
      <c r="H1012" s="9" t="s">
        <v>2058</v>
      </c>
    </row>
    <row r="1013" spans="7:8">
      <c r="G1013" s="5" t="s">
        <v>2059</v>
      </c>
      <c r="H1013" s="9" t="s">
        <v>2060</v>
      </c>
    </row>
    <row r="1014" spans="7:8">
      <c r="G1014" s="5" t="s">
        <v>2061</v>
      </c>
      <c r="H1014" s="9" t="s">
        <v>2062</v>
      </c>
    </row>
    <row r="1015" spans="7:8">
      <c r="G1015" s="5" t="s">
        <v>2063</v>
      </c>
      <c r="H1015" s="9" t="s">
        <v>2064</v>
      </c>
    </row>
    <row r="1016" spans="7:8">
      <c r="G1016" s="5" t="s">
        <v>2065</v>
      </c>
      <c r="H1016" s="9" t="s">
        <v>162</v>
      </c>
    </row>
    <row r="1017" spans="7:8">
      <c r="G1017" s="5" t="s">
        <v>2066</v>
      </c>
      <c r="H1017" s="9" t="s">
        <v>1788</v>
      </c>
    </row>
    <row r="1018" spans="7:8">
      <c r="G1018" s="5" t="s">
        <v>2067</v>
      </c>
      <c r="H1018" s="9" t="s">
        <v>164</v>
      </c>
    </row>
    <row r="1019" spans="7:8">
      <c r="G1019" s="5" t="s">
        <v>2068</v>
      </c>
      <c r="H1019" s="9" t="s">
        <v>2069</v>
      </c>
    </row>
    <row r="1020" spans="7:8">
      <c r="G1020" s="5" t="s">
        <v>2070</v>
      </c>
      <c r="H1020" s="9" t="s">
        <v>2071</v>
      </c>
    </row>
    <row r="1021" spans="7:8">
      <c r="G1021" s="5" t="s">
        <v>2072</v>
      </c>
      <c r="H1021" s="9" t="s">
        <v>2073</v>
      </c>
    </row>
    <row r="1022" spans="7:8">
      <c r="G1022" s="5" t="s">
        <v>2074</v>
      </c>
      <c r="H1022" s="9" t="s">
        <v>2075</v>
      </c>
    </row>
    <row r="1023" spans="7:8">
      <c r="G1023" s="5" t="s">
        <v>2076</v>
      </c>
      <c r="H1023" s="9" t="s">
        <v>2077</v>
      </c>
    </row>
    <row r="1024" spans="7:8">
      <c r="G1024" s="5" t="s">
        <v>2078</v>
      </c>
      <c r="H1024" s="9" t="s">
        <v>2079</v>
      </c>
    </row>
    <row r="1025" spans="7:8">
      <c r="G1025" s="5" t="s">
        <v>2080</v>
      </c>
      <c r="H1025" s="9" t="s">
        <v>2081</v>
      </c>
    </row>
    <row r="1026" spans="7:8">
      <c r="G1026" s="5" t="s">
        <v>2082</v>
      </c>
      <c r="H1026" s="9" t="s">
        <v>2083</v>
      </c>
    </row>
    <row r="1027" spans="7:8">
      <c r="G1027" s="5" t="s">
        <v>2084</v>
      </c>
      <c r="H1027" s="9" t="s">
        <v>2085</v>
      </c>
    </row>
    <row r="1028" spans="7:8">
      <c r="G1028" s="5" t="s">
        <v>2086</v>
      </c>
      <c r="H1028" s="9" t="s">
        <v>2087</v>
      </c>
    </row>
    <row r="1029" spans="7:8">
      <c r="G1029" s="5" t="s">
        <v>2088</v>
      </c>
      <c r="H1029" s="9" t="s">
        <v>2089</v>
      </c>
    </row>
    <row r="1030" spans="7:8">
      <c r="G1030" s="5" t="s">
        <v>2090</v>
      </c>
      <c r="H1030" s="9" t="s">
        <v>2091</v>
      </c>
    </row>
    <row r="1031" spans="7:8">
      <c r="G1031" s="5" t="s">
        <v>2092</v>
      </c>
      <c r="H1031" s="9" t="s">
        <v>2093</v>
      </c>
    </row>
    <row r="1032" spans="7:8">
      <c r="G1032" s="5" t="s">
        <v>2094</v>
      </c>
      <c r="H1032" s="9" t="s">
        <v>2095</v>
      </c>
    </row>
    <row r="1033" spans="7:8">
      <c r="G1033" s="5" t="s">
        <v>2096</v>
      </c>
      <c r="H1033" s="9" t="s">
        <v>2097</v>
      </c>
    </row>
    <row r="1034" spans="7:8">
      <c r="G1034" s="5" t="s">
        <v>2098</v>
      </c>
      <c r="H1034" s="9" t="s">
        <v>2099</v>
      </c>
    </row>
    <row r="1035" spans="7:8">
      <c r="G1035" s="5" t="s">
        <v>2100</v>
      </c>
      <c r="H1035" s="9" t="s">
        <v>2101</v>
      </c>
    </row>
    <row r="1036" spans="7:8">
      <c r="G1036" s="5" t="s">
        <v>2102</v>
      </c>
      <c r="H1036" s="9" t="s">
        <v>2103</v>
      </c>
    </row>
    <row r="1037" spans="7:8">
      <c r="G1037" s="5" t="s">
        <v>2104</v>
      </c>
      <c r="H1037" s="9" t="s">
        <v>2105</v>
      </c>
    </row>
    <row r="1038" spans="7:8">
      <c r="G1038" s="5" t="s">
        <v>2106</v>
      </c>
      <c r="H1038" s="9" t="s">
        <v>2107</v>
      </c>
    </row>
    <row r="1039" spans="7:8">
      <c r="G1039" s="5" t="s">
        <v>2108</v>
      </c>
      <c r="H1039" s="9" t="s">
        <v>2109</v>
      </c>
    </row>
    <row r="1040" spans="7:8">
      <c r="G1040" s="5" t="s">
        <v>2110</v>
      </c>
      <c r="H1040" s="9" t="s">
        <v>2111</v>
      </c>
    </row>
    <row r="1041" spans="7:8">
      <c r="G1041" s="5" t="s">
        <v>2112</v>
      </c>
      <c r="H1041" s="9" t="s">
        <v>2113</v>
      </c>
    </row>
    <row r="1042" spans="7:8">
      <c r="G1042" s="5" t="s">
        <v>2114</v>
      </c>
      <c r="H1042" s="9" t="s">
        <v>2115</v>
      </c>
    </row>
    <row r="1043" spans="7:8">
      <c r="G1043" s="5" t="s">
        <v>2116</v>
      </c>
      <c r="H1043" s="9" t="s">
        <v>2117</v>
      </c>
    </row>
    <row r="1044" spans="7:8">
      <c r="G1044" s="5" t="s">
        <v>2118</v>
      </c>
      <c r="H1044" s="9" t="s">
        <v>2119</v>
      </c>
    </row>
    <row r="1045" spans="7:8">
      <c r="G1045" s="5" t="s">
        <v>2120</v>
      </c>
      <c r="H1045" s="9" t="s">
        <v>2121</v>
      </c>
    </row>
    <row r="1046" spans="7:8">
      <c r="G1046" s="5" t="s">
        <v>2122</v>
      </c>
      <c r="H1046" s="9" t="s">
        <v>2123</v>
      </c>
    </row>
    <row r="1047" spans="7:8">
      <c r="G1047" s="5" t="s">
        <v>2124</v>
      </c>
      <c r="H1047" s="9" t="s">
        <v>2125</v>
      </c>
    </row>
    <row r="1048" spans="7:8">
      <c r="G1048" s="5" t="s">
        <v>2126</v>
      </c>
      <c r="H1048" s="9" t="s">
        <v>2127</v>
      </c>
    </row>
    <row r="1049" spans="7:8">
      <c r="G1049" s="5" t="s">
        <v>2128</v>
      </c>
      <c r="H1049" s="9" t="s">
        <v>2129</v>
      </c>
    </row>
    <row r="1050" spans="7:8">
      <c r="G1050" s="5" t="s">
        <v>2130</v>
      </c>
      <c r="H1050" s="9" t="s">
        <v>2131</v>
      </c>
    </row>
    <row r="1051" spans="7:8">
      <c r="G1051" s="5" t="s">
        <v>2132</v>
      </c>
      <c r="H1051" s="9" t="s">
        <v>2133</v>
      </c>
    </row>
    <row r="1052" spans="7:8">
      <c r="G1052" s="5" t="s">
        <v>2134</v>
      </c>
      <c r="H1052" s="9" t="s">
        <v>2135</v>
      </c>
    </row>
    <row r="1053" spans="7:8">
      <c r="G1053" s="5" t="s">
        <v>2136</v>
      </c>
      <c r="H1053" s="9" t="s">
        <v>2137</v>
      </c>
    </row>
    <row r="1054" spans="7:8">
      <c r="G1054" s="5" t="s">
        <v>2138</v>
      </c>
      <c r="H1054" s="9" t="s">
        <v>162</v>
      </c>
    </row>
    <row r="1055" spans="7:8">
      <c r="G1055" s="5" t="s">
        <v>2139</v>
      </c>
      <c r="H1055" s="9" t="s">
        <v>1788</v>
      </c>
    </row>
    <row r="1056" spans="7:8">
      <c r="G1056" s="5" t="s">
        <v>2140</v>
      </c>
      <c r="H1056" s="9" t="s">
        <v>164</v>
      </c>
    </row>
    <row r="1057" spans="7:8">
      <c r="G1057" s="5" t="s">
        <v>2141</v>
      </c>
      <c r="H1057" s="9" t="s">
        <v>2142</v>
      </c>
    </row>
    <row r="1058" spans="7:8">
      <c r="G1058" s="5" t="s">
        <v>2143</v>
      </c>
      <c r="H1058" s="9" t="s">
        <v>2144</v>
      </c>
    </row>
    <row r="1059" spans="7:8">
      <c r="G1059" s="5" t="s">
        <v>2145</v>
      </c>
      <c r="H1059" s="9" t="s">
        <v>2146</v>
      </c>
    </row>
    <row r="1060" spans="7:8">
      <c r="G1060" s="5" t="s">
        <v>2147</v>
      </c>
      <c r="H1060" s="9" t="s">
        <v>2148</v>
      </c>
    </row>
    <row r="1061" spans="7:8">
      <c r="G1061" s="5" t="s">
        <v>2149</v>
      </c>
      <c r="H1061" s="9" t="s">
        <v>2150</v>
      </c>
    </row>
    <row r="1062" spans="7:8">
      <c r="G1062" s="5" t="s">
        <v>2151</v>
      </c>
      <c r="H1062" s="9" t="s">
        <v>2152</v>
      </c>
    </row>
    <row r="1063" spans="7:8">
      <c r="G1063" s="5" t="s">
        <v>2153</v>
      </c>
      <c r="H1063" s="9" t="s">
        <v>2154</v>
      </c>
    </row>
    <row r="1064" spans="7:8">
      <c r="G1064" s="5" t="s">
        <v>2155</v>
      </c>
      <c r="H1064" s="9" t="s">
        <v>162</v>
      </c>
    </row>
    <row r="1065" spans="7:8">
      <c r="G1065" s="5" t="s">
        <v>2156</v>
      </c>
      <c r="H1065" s="9" t="s">
        <v>164</v>
      </c>
    </row>
    <row r="1066" spans="7:8">
      <c r="G1066" s="5" t="s">
        <v>2157</v>
      </c>
      <c r="H1066" s="9" t="s">
        <v>2158</v>
      </c>
    </row>
    <row r="1067" spans="7:8">
      <c r="G1067" s="5" t="s">
        <v>2159</v>
      </c>
      <c r="H1067" s="9" t="s">
        <v>2160</v>
      </c>
    </row>
    <row r="1068" spans="7:8">
      <c r="G1068" s="5" t="s">
        <v>2161</v>
      </c>
      <c r="H1068" s="9" t="s">
        <v>2162</v>
      </c>
    </row>
    <row r="1069" spans="7:8">
      <c r="G1069" s="5" t="s">
        <v>2163</v>
      </c>
      <c r="H1069" s="9" t="s">
        <v>2164</v>
      </c>
    </row>
    <row r="1070" spans="7:8">
      <c r="G1070" s="5" t="s">
        <v>2165</v>
      </c>
      <c r="H1070" s="9" t="s">
        <v>2166</v>
      </c>
    </row>
    <row r="1071" spans="7:8">
      <c r="G1071" s="5" t="s">
        <v>2167</v>
      </c>
      <c r="H1071" s="9" t="s">
        <v>162</v>
      </c>
    </row>
    <row r="1072" spans="7:8">
      <c r="G1072" s="5" t="s">
        <v>2168</v>
      </c>
      <c r="H1072" s="9" t="s">
        <v>164</v>
      </c>
    </row>
    <row r="1073" spans="7:8">
      <c r="G1073" s="5" t="s">
        <v>2169</v>
      </c>
      <c r="H1073" s="9" t="s">
        <v>2170</v>
      </c>
    </row>
    <row r="1074" spans="7:8">
      <c r="G1074" s="5" t="s">
        <v>2171</v>
      </c>
      <c r="H1074" s="9" t="s">
        <v>2172</v>
      </c>
    </row>
    <row r="1075" spans="7:8">
      <c r="G1075" s="5" t="s">
        <v>2173</v>
      </c>
      <c r="H1075" s="9" t="s">
        <v>2174</v>
      </c>
    </row>
    <row r="1076" spans="7:8">
      <c r="G1076" s="5" t="s">
        <v>2175</v>
      </c>
      <c r="H1076" s="9" t="s">
        <v>2176</v>
      </c>
    </row>
    <row r="1077" spans="7:8">
      <c r="G1077" s="5" t="s">
        <v>2177</v>
      </c>
      <c r="H1077" s="9" t="s">
        <v>2178</v>
      </c>
    </row>
    <row r="1078" spans="7:8">
      <c r="G1078" s="5" t="s">
        <v>2179</v>
      </c>
      <c r="H1078" s="9" t="s">
        <v>2180</v>
      </c>
    </row>
    <row r="1079" spans="7:8">
      <c r="G1079" s="5" t="s">
        <v>2181</v>
      </c>
      <c r="H1079" s="9" t="s">
        <v>2182</v>
      </c>
    </row>
    <row r="1080" spans="7:8">
      <c r="G1080" s="5" t="s">
        <v>2183</v>
      </c>
      <c r="H1080" s="9" t="s">
        <v>2184</v>
      </c>
    </row>
    <row r="1081" spans="7:8">
      <c r="G1081" s="5" t="s">
        <v>2185</v>
      </c>
      <c r="H1081" s="9" t="s">
        <v>2186</v>
      </c>
    </row>
    <row r="1082" spans="7:8">
      <c r="G1082" s="5" t="s">
        <v>2187</v>
      </c>
      <c r="H1082" s="9" t="s">
        <v>162</v>
      </c>
    </row>
    <row r="1083" spans="7:8">
      <c r="G1083" s="5" t="s">
        <v>2188</v>
      </c>
      <c r="H1083" s="9" t="s">
        <v>164</v>
      </c>
    </row>
    <row r="1084" spans="7:8">
      <c r="G1084" s="5" t="s">
        <v>2189</v>
      </c>
      <c r="H1084" s="9" t="s">
        <v>2190</v>
      </c>
    </row>
    <row r="1085" spans="7:8">
      <c r="G1085" s="5" t="s">
        <v>2191</v>
      </c>
      <c r="H1085" s="9" t="s">
        <v>2192</v>
      </c>
    </row>
    <row r="1086" spans="7:8">
      <c r="G1086" s="5" t="s">
        <v>2193</v>
      </c>
      <c r="H1086" s="9" t="s">
        <v>2194</v>
      </c>
    </row>
    <row r="1087" spans="7:8">
      <c r="G1087" s="5" t="s">
        <v>2195</v>
      </c>
      <c r="H1087" s="9" t="s">
        <v>2196</v>
      </c>
    </row>
    <row r="1088" spans="7:8">
      <c r="G1088" s="5" t="s">
        <v>2197</v>
      </c>
      <c r="H1088" s="9" t="s">
        <v>2198</v>
      </c>
    </row>
    <row r="1089" spans="7:8">
      <c r="G1089" s="5" t="s">
        <v>2199</v>
      </c>
      <c r="H1089" s="9" t="s">
        <v>2200</v>
      </c>
    </row>
    <row r="1090" spans="7:8">
      <c r="G1090" s="5" t="s">
        <v>2201</v>
      </c>
      <c r="H1090" s="9" t="s">
        <v>2202</v>
      </c>
    </row>
    <row r="1091" spans="7:8">
      <c r="G1091" s="5" t="s">
        <v>2203</v>
      </c>
      <c r="H1091" s="9" t="s">
        <v>2204</v>
      </c>
    </row>
    <row r="1092" spans="7:8">
      <c r="G1092" s="5" t="s">
        <v>2205</v>
      </c>
      <c r="H1092" s="9" t="s">
        <v>2206</v>
      </c>
    </row>
    <row r="1093" spans="7:8">
      <c r="G1093" s="5" t="s">
        <v>2207</v>
      </c>
      <c r="H1093" s="9" t="s">
        <v>162</v>
      </c>
    </row>
    <row r="1094" spans="7:8">
      <c r="G1094" s="5" t="s">
        <v>2208</v>
      </c>
      <c r="H1094" s="9" t="s">
        <v>164</v>
      </c>
    </row>
    <row r="1095" spans="7:8">
      <c r="G1095" s="5" t="s">
        <v>2209</v>
      </c>
      <c r="H1095" s="9" t="s">
        <v>2210</v>
      </c>
    </row>
    <row r="1096" spans="7:8">
      <c r="G1096" s="5" t="s">
        <v>2211</v>
      </c>
      <c r="H1096" s="9" t="s">
        <v>2212</v>
      </c>
    </row>
    <row r="1097" spans="7:8">
      <c r="G1097" s="5" t="s">
        <v>2213</v>
      </c>
      <c r="H1097" s="9" t="s">
        <v>2214</v>
      </c>
    </row>
    <row r="1098" spans="7:8">
      <c r="G1098" s="5" t="s">
        <v>2215</v>
      </c>
      <c r="H1098" s="9" t="s">
        <v>2216</v>
      </c>
    </row>
    <row r="1099" spans="7:8">
      <c r="G1099" s="5" t="s">
        <v>2217</v>
      </c>
      <c r="H1099" s="9" t="s">
        <v>2218</v>
      </c>
    </row>
    <row r="1100" spans="7:8">
      <c r="G1100" s="5" t="s">
        <v>2219</v>
      </c>
      <c r="H1100" s="9" t="s">
        <v>2220</v>
      </c>
    </row>
    <row r="1101" spans="7:8">
      <c r="G1101" s="5" t="s">
        <v>2221</v>
      </c>
      <c r="H1101" s="9" t="s">
        <v>2222</v>
      </c>
    </row>
    <row r="1102" spans="7:8">
      <c r="G1102" s="5" t="s">
        <v>2223</v>
      </c>
      <c r="H1102" s="9" t="s">
        <v>162</v>
      </c>
    </row>
    <row r="1103" spans="7:8">
      <c r="G1103" s="5" t="s">
        <v>2224</v>
      </c>
      <c r="H1103" s="9" t="s">
        <v>164</v>
      </c>
    </row>
    <row r="1104" spans="7:8">
      <c r="G1104" s="5" t="s">
        <v>2225</v>
      </c>
      <c r="H1104" s="9" t="s">
        <v>2226</v>
      </c>
    </row>
    <row r="1105" spans="7:8">
      <c r="G1105" s="5" t="s">
        <v>2227</v>
      </c>
      <c r="H1105" s="9" t="s">
        <v>2228</v>
      </c>
    </row>
    <row r="1106" spans="7:8">
      <c r="G1106" s="5" t="s">
        <v>2229</v>
      </c>
      <c r="H1106" s="9" t="s">
        <v>2230</v>
      </c>
    </row>
    <row r="1107" spans="7:8">
      <c r="G1107" s="5" t="s">
        <v>2231</v>
      </c>
      <c r="H1107" s="9" t="s">
        <v>2232</v>
      </c>
    </row>
    <row r="1108" spans="7:8">
      <c r="G1108" s="5" t="s">
        <v>2233</v>
      </c>
      <c r="H1108" s="9" t="s">
        <v>2234</v>
      </c>
    </row>
    <row r="1109" spans="7:8">
      <c r="G1109" s="5" t="s">
        <v>2235</v>
      </c>
      <c r="H1109" s="9" t="s">
        <v>2236</v>
      </c>
    </row>
    <row r="1110" spans="7:8">
      <c r="G1110" s="5" t="s">
        <v>2237</v>
      </c>
      <c r="H1110" s="9" t="s">
        <v>2238</v>
      </c>
    </row>
    <row r="1111" spans="7:8">
      <c r="G1111" s="5" t="s">
        <v>2239</v>
      </c>
      <c r="H1111" s="9" t="s">
        <v>2240</v>
      </c>
    </row>
    <row r="1112" spans="7:8">
      <c r="G1112" s="5" t="s">
        <v>2241</v>
      </c>
      <c r="H1112" s="9" t="s">
        <v>2242</v>
      </c>
    </row>
    <row r="1113" spans="7:8">
      <c r="G1113" s="5" t="s">
        <v>2243</v>
      </c>
      <c r="H1113" s="9" t="s">
        <v>2244</v>
      </c>
    </row>
    <row r="1114" spans="7:8">
      <c r="G1114" s="5" t="s">
        <v>2245</v>
      </c>
      <c r="H1114" s="9" t="s">
        <v>2246</v>
      </c>
    </row>
    <row r="1115" spans="7:8">
      <c r="G1115" s="5" t="s">
        <v>2247</v>
      </c>
      <c r="H1115" s="9" t="s">
        <v>2248</v>
      </c>
    </row>
    <row r="1116" spans="7:8">
      <c r="G1116" s="5" t="s">
        <v>2249</v>
      </c>
      <c r="H1116" s="9" t="s">
        <v>2250</v>
      </c>
    </row>
    <row r="1117" spans="7:8">
      <c r="G1117" s="5" t="s">
        <v>2251</v>
      </c>
      <c r="H1117" s="9" t="s">
        <v>2252</v>
      </c>
    </row>
    <row r="1118" spans="7:8">
      <c r="G1118" s="5" t="s">
        <v>2253</v>
      </c>
      <c r="H1118" s="9" t="s">
        <v>162</v>
      </c>
    </row>
    <row r="1119" spans="7:8">
      <c r="G1119" s="5" t="s">
        <v>2254</v>
      </c>
      <c r="H1119" s="9" t="s">
        <v>164</v>
      </c>
    </row>
    <row r="1120" spans="7:8">
      <c r="G1120" s="5" t="s">
        <v>2255</v>
      </c>
      <c r="H1120" s="9" t="s">
        <v>2256</v>
      </c>
    </row>
    <row r="1121" spans="7:8">
      <c r="G1121" s="5" t="s">
        <v>2257</v>
      </c>
      <c r="H1121" s="9" t="s">
        <v>2258</v>
      </c>
    </row>
    <row r="1122" spans="7:8">
      <c r="G1122" s="5" t="s">
        <v>2259</v>
      </c>
      <c r="H1122" s="9" t="s">
        <v>2260</v>
      </c>
    </row>
    <row r="1123" spans="7:8">
      <c r="G1123" s="5" t="s">
        <v>2261</v>
      </c>
      <c r="H1123" s="9" t="s">
        <v>2262</v>
      </c>
    </row>
    <row r="1124" spans="7:8">
      <c r="G1124" s="5" t="s">
        <v>2263</v>
      </c>
      <c r="H1124" s="9" t="s">
        <v>2264</v>
      </c>
    </row>
    <row r="1125" spans="7:8">
      <c r="G1125" s="5" t="s">
        <v>2265</v>
      </c>
      <c r="H1125" s="9" t="s">
        <v>2266</v>
      </c>
    </row>
    <row r="1126" spans="7:8">
      <c r="G1126" s="5" t="s">
        <v>2267</v>
      </c>
      <c r="H1126" s="9" t="s">
        <v>2268</v>
      </c>
    </row>
    <row r="1127" spans="7:8">
      <c r="G1127" s="5" t="s">
        <v>2269</v>
      </c>
      <c r="H1127" s="9" t="s">
        <v>2270</v>
      </c>
    </row>
    <row r="1128" spans="7:8">
      <c r="G1128" s="5" t="s">
        <v>2271</v>
      </c>
      <c r="H1128" s="9" t="s">
        <v>2272</v>
      </c>
    </row>
    <row r="1129" spans="7:8">
      <c r="G1129" s="5" t="s">
        <v>2273</v>
      </c>
      <c r="H1129" s="9" t="s">
        <v>2274</v>
      </c>
    </row>
    <row r="1130" spans="7:8">
      <c r="G1130" s="5" t="s">
        <v>2275</v>
      </c>
      <c r="H1130" s="9" t="s">
        <v>2276</v>
      </c>
    </row>
    <row r="1131" spans="7:8">
      <c r="G1131" s="5" t="s">
        <v>2277</v>
      </c>
      <c r="H1131" s="9" t="s">
        <v>2278</v>
      </c>
    </row>
    <row r="1132" spans="7:8">
      <c r="G1132" s="5" t="s">
        <v>2279</v>
      </c>
      <c r="H1132" s="9" t="s">
        <v>2280</v>
      </c>
    </row>
    <row r="1133" spans="7:8">
      <c r="G1133" s="5" t="s">
        <v>2281</v>
      </c>
      <c r="H1133" s="9" t="s">
        <v>2282</v>
      </c>
    </row>
    <row r="1134" spans="7:8">
      <c r="G1134" s="5" t="s">
        <v>2283</v>
      </c>
      <c r="H1134" s="9" t="s">
        <v>2284</v>
      </c>
    </row>
    <row r="1135" spans="7:8">
      <c r="G1135" s="5" t="s">
        <v>2285</v>
      </c>
      <c r="H1135" s="9" t="s">
        <v>2286</v>
      </c>
    </row>
    <row r="1136" spans="7:8">
      <c r="G1136" s="5" t="s">
        <v>2287</v>
      </c>
      <c r="H1136" s="9" t="s">
        <v>162</v>
      </c>
    </row>
    <row r="1137" spans="7:8">
      <c r="G1137" s="5" t="s">
        <v>2288</v>
      </c>
      <c r="H1137" s="9" t="s">
        <v>164</v>
      </c>
    </row>
    <row r="1138" spans="7:8">
      <c r="G1138" s="5" t="s">
        <v>2289</v>
      </c>
      <c r="H1138" s="9" t="s">
        <v>2290</v>
      </c>
    </row>
    <row r="1139" spans="7:8">
      <c r="G1139" s="5" t="s">
        <v>2291</v>
      </c>
      <c r="H1139" s="9" t="s">
        <v>2292</v>
      </c>
    </row>
    <row r="1140" spans="7:8">
      <c r="G1140" s="5" t="s">
        <v>2293</v>
      </c>
      <c r="H1140" s="9" t="s">
        <v>2294</v>
      </c>
    </row>
    <row r="1141" spans="7:8">
      <c r="G1141" s="5" t="s">
        <v>2295</v>
      </c>
      <c r="H1141" s="9" t="s">
        <v>162</v>
      </c>
    </row>
    <row r="1142" spans="7:8">
      <c r="G1142" s="5" t="s">
        <v>2296</v>
      </c>
      <c r="H1142" s="9" t="s">
        <v>164</v>
      </c>
    </row>
    <row r="1143" spans="7:8">
      <c r="G1143" s="5" t="s">
        <v>2297</v>
      </c>
      <c r="H1143" s="9" t="s">
        <v>2298</v>
      </c>
    </row>
    <row r="1144" spans="7:8">
      <c r="G1144" s="5" t="s">
        <v>2299</v>
      </c>
      <c r="H1144" s="9" t="s">
        <v>2300</v>
      </c>
    </row>
    <row r="1145" spans="7:8">
      <c r="G1145" s="5" t="s">
        <v>2301</v>
      </c>
      <c r="H1145" s="9" t="s">
        <v>2302</v>
      </c>
    </row>
    <row r="1146" spans="7:8">
      <c r="G1146" s="5" t="s">
        <v>2303</v>
      </c>
      <c r="H1146" s="9" t="s">
        <v>2304</v>
      </c>
    </row>
    <row r="1147" spans="7:8">
      <c r="G1147" s="5" t="s">
        <v>2305</v>
      </c>
      <c r="H1147" s="9" t="s">
        <v>2306</v>
      </c>
    </row>
    <row r="1148" spans="7:8">
      <c r="G1148" s="5" t="s">
        <v>2307</v>
      </c>
      <c r="H1148" s="9" t="s">
        <v>2308</v>
      </c>
    </row>
    <row r="1149" spans="7:8">
      <c r="G1149" s="5" t="s">
        <v>2309</v>
      </c>
      <c r="H1149" s="9" t="s">
        <v>2310</v>
      </c>
    </row>
    <row r="1150" spans="7:8">
      <c r="G1150" s="5" t="s">
        <v>2311</v>
      </c>
      <c r="H1150" s="9" t="s">
        <v>162</v>
      </c>
    </row>
    <row r="1151" spans="7:8">
      <c r="G1151" s="5" t="s">
        <v>2312</v>
      </c>
      <c r="H1151" s="9" t="s">
        <v>164</v>
      </c>
    </row>
    <row r="1152" spans="7:8">
      <c r="G1152" s="5" t="s">
        <v>2313</v>
      </c>
      <c r="H1152" s="9" t="s">
        <v>2314</v>
      </c>
    </row>
    <row r="1153" spans="7:8">
      <c r="G1153" s="5" t="s">
        <v>2315</v>
      </c>
      <c r="H1153" s="9" t="s">
        <v>2316</v>
      </c>
    </row>
    <row r="1154" spans="7:8">
      <c r="G1154" s="5" t="s">
        <v>2317</v>
      </c>
      <c r="H1154" s="9" t="s">
        <v>2318</v>
      </c>
    </row>
    <row r="1155" spans="7:8">
      <c r="G1155" s="5" t="s">
        <v>2319</v>
      </c>
      <c r="H1155" s="9" t="s">
        <v>2320</v>
      </c>
    </row>
    <row r="1156" spans="7:8">
      <c r="G1156" s="5" t="s">
        <v>2321</v>
      </c>
      <c r="H1156" s="9" t="s">
        <v>2322</v>
      </c>
    </row>
    <row r="1157" spans="7:8">
      <c r="G1157" s="5" t="s">
        <v>2323</v>
      </c>
      <c r="H1157" s="9" t="s">
        <v>2324</v>
      </c>
    </row>
    <row r="1158" spans="7:8">
      <c r="G1158" s="5" t="s">
        <v>2325</v>
      </c>
      <c r="H1158" s="9" t="s">
        <v>2326</v>
      </c>
    </row>
    <row r="1159" spans="7:8">
      <c r="G1159" s="5" t="s">
        <v>2327</v>
      </c>
      <c r="H1159" s="9" t="s">
        <v>2328</v>
      </c>
    </row>
    <row r="1160" spans="7:8">
      <c r="G1160" s="5" t="s">
        <v>2329</v>
      </c>
      <c r="H1160" s="9" t="s">
        <v>2330</v>
      </c>
    </row>
    <row r="1161" spans="7:8">
      <c r="G1161" s="5" t="s">
        <v>2331</v>
      </c>
      <c r="H1161" s="9" t="s">
        <v>2332</v>
      </c>
    </row>
    <row r="1162" spans="7:8">
      <c r="G1162" s="5" t="s">
        <v>2333</v>
      </c>
      <c r="H1162" s="9" t="s">
        <v>2334</v>
      </c>
    </row>
    <row r="1163" spans="7:8">
      <c r="G1163" s="5" t="s">
        <v>2335</v>
      </c>
      <c r="H1163" s="9" t="s">
        <v>2336</v>
      </c>
    </row>
    <row r="1164" spans="7:8">
      <c r="G1164" s="5" t="s">
        <v>2337</v>
      </c>
      <c r="H1164" s="9" t="s">
        <v>1783</v>
      </c>
    </row>
    <row r="1165" spans="7:8">
      <c r="G1165" s="5" t="s">
        <v>2338</v>
      </c>
      <c r="H1165" s="9" t="s">
        <v>2339</v>
      </c>
    </row>
    <row r="1166" spans="7:8">
      <c r="G1166" s="5" t="s">
        <v>2340</v>
      </c>
      <c r="H1166" s="9" t="s">
        <v>2341</v>
      </c>
    </row>
    <row r="1167" spans="7:8">
      <c r="G1167" s="5" t="s">
        <v>2342</v>
      </c>
      <c r="H1167" s="9" t="s">
        <v>2343</v>
      </c>
    </row>
    <row r="1168" spans="7:8">
      <c r="G1168" s="5" t="s">
        <v>2344</v>
      </c>
      <c r="H1168" s="9" t="s">
        <v>2345</v>
      </c>
    </row>
    <row r="1169" spans="7:8">
      <c r="G1169" s="5" t="s">
        <v>2346</v>
      </c>
      <c r="H1169" s="9" t="s">
        <v>2347</v>
      </c>
    </row>
    <row r="1170" spans="7:8">
      <c r="G1170" s="5" t="s">
        <v>2348</v>
      </c>
      <c r="H1170" s="9" t="s">
        <v>1783</v>
      </c>
    </row>
    <row r="1171" spans="7:8">
      <c r="G1171" s="5" t="s">
        <v>2349</v>
      </c>
      <c r="H1171" s="9" t="s">
        <v>2350</v>
      </c>
    </row>
    <row r="1172" spans="7:8">
      <c r="G1172" s="5" t="s">
        <v>2351</v>
      </c>
      <c r="H1172" s="9" t="s">
        <v>2352</v>
      </c>
    </row>
    <row r="1173" spans="7:8">
      <c r="G1173" s="5" t="s">
        <v>2353</v>
      </c>
      <c r="H1173" s="9" t="s">
        <v>2354</v>
      </c>
    </row>
    <row r="1174" spans="7:8">
      <c r="G1174" s="5" t="s">
        <v>2355</v>
      </c>
      <c r="H1174" s="9" t="s">
        <v>2356</v>
      </c>
    </row>
    <row r="1175" spans="7:8">
      <c r="G1175" s="5" t="s">
        <v>2357</v>
      </c>
      <c r="H1175" s="9" t="s">
        <v>2358</v>
      </c>
    </row>
    <row r="1176" spans="7:8">
      <c r="G1176" s="5" t="s">
        <v>2359</v>
      </c>
      <c r="H1176" s="9" t="s">
        <v>2360</v>
      </c>
    </row>
    <row r="1177" spans="7:8">
      <c r="G1177" s="5" t="s">
        <v>2361</v>
      </c>
      <c r="H1177" s="9" t="s">
        <v>2362</v>
      </c>
    </row>
    <row r="1178" spans="7:8">
      <c r="G1178" s="5" t="s">
        <v>2363</v>
      </c>
      <c r="H1178" s="9" t="s">
        <v>2364</v>
      </c>
    </row>
    <row r="1179" spans="7:8">
      <c r="G1179" s="5" t="s">
        <v>2365</v>
      </c>
      <c r="H1179" s="9" t="s">
        <v>2366</v>
      </c>
    </row>
    <row r="1180" spans="7:8">
      <c r="G1180" s="5" t="s">
        <v>2367</v>
      </c>
      <c r="H1180" s="9" t="s">
        <v>2368</v>
      </c>
    </row>
    <row r="1181" spans="7:8">
      <c r="G1181" s="5" t="s">
        <v>2369</v>
      </c>
      <c r="H1181" s="9" t="s">
        <v>2370</v>
      </c>
    </row>
    <row r="1182" spans="7:8">
      <c r="G1182" s="5" t="s">
        <v>2371</v>
      </c>
      <c r="H1182" s="9" t="s">
        <v>2372</v>
      </c>
    </row>
    <row r="1183" spans="7:8">
      <c r="G1183" s="5" t="s">
        <v>2373</v>
      </c>
      <c r="H1183" s="9" t="s">
        <v>2374</v>
      </c>
    </row>
    <row r="1184" spans="7:8">
      <c r="G1184" s="5" t="s">
        <v>2375</v>
      </c>
      <c r="H1184" s="9" t="s">
        <v>2376</v>
      </c>
    </row>
    <row r="1185" spans="7:8">
      <c r="G1185" s="5" t="s">
        <v>2377</v>
      </c>
      <c r="H1185" s="9" t="s">
        <v>2378</v>
      </c>
    </row>
    <row r="1186" spans="7:8">
      <c r="G1186" s="5" t="s">
        <v>2379</v>
      </c>
      <c r="H1186" s="9" t="s">
        <v>2380</v>
      </c>
    </row>
    <row r="1187" spans="7:8">
      <c r="G1187" s="5" t="s">
        <v>2381</v>
      </c>
      <c r="H1187" s="9" t="s">
        <v>2382</v>
      </c>
    </row>
    <row r="1188" spans="7:8">
      <c r="G1188" s="5" t="s">
        <v>2383</v>
      </c>
      <c r="H1188" s="9" t="s">
        <v>2384</v>
      </c>
    </row>
    <row r="1189" spans="7:8">
      <c r="G1189" s="5" t="s">
        <v>2385</v>
      </c>
      <c r="H1189" s="9" t="s">
        <v>162</v>
      </c>
    </row>
    <row r="1190" spans="7:8">
      <c r="G1190" s="5" t="s">
        <v>2386</v>
      </c>
      <c r="H1190" s="9" t="s">
        <v>164</v>
      </c>
    </row>
    <row r="1191" spans="7:8">
      <c r="G1191" s="5" t="s">
        <v>2387</v>
      </c>
      <c r="H1191" s="9" t="s">
        <v>2388</v>
      </c>
    </row>
    <row r="1192" spans="7:8">
      <c r="G1192" s="5" t="s">
        <v>2389</v>
      </c>
      <c r="H1192" s="9" t="s">
        <v>1783</v>
      </c>
    </row>
    <row r="1193" spans="7:8">
      <c r="G1193" s="5" t="s">
        <v>2390</v>
      </c>
      <c r="H1193" s="9" t="s">
        <v>2391</v>
      </c>
    </row>
    <row r="1194" spans="7:8">
      <c r="G1194" s="5" t="s">
        <v>2392</v>
      </c>
      <c r="H1194" s="9" t="s">
        <v>2393</v>
      </c>
    </row>
    <row r="1195" spans="7:8">
      <c r="G1195" s="5" t="s">
        <v>2394</v>
      </c>
      <c r="H1195" s="9" t="s">
        <v>2395</v>
      </c>
    </row>
    <row r="1196" spans="7:8">
      <c r="G1196" s="5" t="s">
        <v>2396</v>
      </c>
      <c r="H1196" s="9" t="s">
        <v>2397</v>
      </c>
    </row>
    <row r="1197" spans="7:8">
      <c r="G1197" s="5" t="s">
        <v>2398</v>
      </c>
      <c r="H1197" s="9" t="s">
        <v>2399</v>
      </c>
    </row>
    <row r="1198" spans="7:8">
      <c r="G1198" s="5" t="s">
        <v>2400</v>
      </c>
      <c r="H1198" s="9" t="s">
        <v>2401</v>
      </c>
    </row>
    <row r="1199" spans="7:8">
      <c r="G1199" s="5" t="s">
        <v>2402</v>
      </c>
      <c r="H1199" s="9" t="s">
        <v>2403</v>
      </c>
    </row>
    <row r="1200" spans="7:8">
      <c r="G1200" s="5" t="s">
        <v>2404</v>
      </c>
      <c r="H1200" s="9" t="s">
        <v>2405</v>
      </c>
    </row>
    <row r="1201" spans="7:8">
      <c r="G1201" s="5" t="s">
        <v>2406</v>
      </c>
      <c r="H1201" s="9" t="s">
        <v>2407</v>
      </c>
    </row>
    <row r="1202" spans="7:8">
      <c r="G1202" s="5" t="s">
        <v>2408</v>
      </c>
      <c r="H1202" s="9" t="s">
        <v>2409</v>
      </c>
    </row>
    <row r="1203" spans="7:8">
      <c r="G1203" s="5" t="s">
        <v>2410</v>
      </c>
      <c r="H1203" s="9" t="s">
        <v>2411</v>
      </c>
    </row>
    <row r="1204" spans="7:8">
      <c r="G1204" s="5" t="s">
        <v>2412</v>
      </c>
      <c r="H1204" s="9" t="s">
        <v>2413</v>
      </c>
    </row>
    <row r="1205" spans="7:8">
      <c r="G1205" s="5" t="s">
        <v>2414</v>
      </c>
      <c r="H1205" s="9" t="s">
        <v>2415</v>
      </c>
    </row>
    <row r="1206" spans="7:8">
      <c r="G1206" s="5" t="s">
        <v>2416</v>
      </c>
      <c r="H1206" s="9" t="s">
        <v>162</v>
      </c>
    </row>
    <row r="1207" spans="7:8">
      <c r="G1207" s="5" t="s">
        <v>2417</v>
      </c>
      <c r="H1207" s="9" t="s">
        <v>164</v>
      </c>
    </row>
    <row r="1208" spans="7:8">
      <c r="G1208" s="5" t="s">
        <v>2418</v>
      </c>
      <c r="H1208" s="9" t="s">
        <v>2419</v>
      </c>
    </row>
    <row r="1209" spans="7:8">
      <c r="G1209" s="5" t="s">
        <v>2420</v>
      </c>
      <c r="H1209" s="9" t="s">
        <v>2421</v>
      </c>
    </row>
    <row r="1210" spans="7:8">
      <c r="G1210" s="5" t="s">
        <v>2422</v>
      </c>
      <c r="H1210" s="9" t="s">
        <v>2423</v>
      </c>
    </row>
    <row r="1211" spans="7:8">
      <c r="G1211" s="5" t="s">
        <v>2424</v>
      </c>
      <c r="H1211" s="9" t="s">
        <v>2425</v>
      </c>
    </row>
    <row r="1212" spans="7:8">
      <c r="G1212" s="5" t="s">
        <v>2426</v>
      </c>
      <c r="H1212" s="9" t="s">
        <v>2427</v>
      </c>
    </row>
    <row r="1213" spans="7:8">
      <c r="G1213" s="5" t="s">
        <v>2428</v>
      </c>
      <c r="H1213" s="9" t="s">
        <v>2429</v>
      </c>
    </row>
    <row r="1214" spans="7:8">
      <c r="G1214" s="5" t="s">
        <v>2430</v>
      </c>
      <c r="H1214" s="9" t="s">
        <v>162</v>
      </c>
    </row>
    <row r="1215" spans="7:8">
      <c r="G1215" s="5" t="s">
        <v>2431</v>
      </c>
      <c r="H1215" s="9" t="s">
        <v>164</v>
      </c>
    </row>
    <row r="1216" spans="7:8">
      <c r="G1216" s="5" t="s">
        <v>2432</v>
      </c>
      <c r="H1216" s="9" t="s">
        <v>2433</v>
      </c>
    </row>
    <row r="1217" spans="7:8">
      <c r="G1217" s="5" t="s">
        <v>2434</v>
      </c>
      <c r="H1217" s="9" t="s">
        <v>2435</v>
      </c>
    </row>
    <row r="1218" spans="7:8">
      <c r="G1218" s="5" t="s">
        <v>2436</v>
      </c>
      <c r="H1218" s="9" t="s">
        <v>2437</v>
      </c>
    </row>
    <row r="1219" spans="7:8">
      <c r="G1219" s="5" t="s">
        <v>2438</v>
      </c>
      <c r="H1219" s="9" t="s">
        <v>2439</v>
      </c>
    </row>
    <row r="1220" spans="7:8">
      <c r="G1220" s="5" t="s">
        <v>2440</v>
      </c>
      <c r="H1220" s="9" t="s">
        <v>2441</v>
      </c>
    </row>
    <row r="1221" spans="7:8">
      <c r="G1221" s="5" t="s">
        <v>2442</v>
      </c>
      <c r="H1221" s="9" t="s">
        <v>2443</v>
      </c>
    </row>
    <row r="1222" spans="7:8">
      <c r="G1222" s="5" t="s">
        <v>2444</v>
      </c>
      <c r="H1222" s="9" t="s">
        <v>2445</v>
      </c>
    </row>
    <row r="1223" spans="7:8">
      <c r="G1223" s="5" t="s">
        <v>2446</v>
      </c>
      <c r="H1223" s="9" t="s">
        <v>2447</v>
      </c>
    </row>
    <row r="1224" spans="7:8">
      <c r="G1224" s="5" t="s">
        <v>2448</v>
      </c>
      <c r="H1224" s="9" t="s">
        <v>2449</v>
      </c>
    </row>
    <row r="1225" spans="7:8">
      <c r="G1225" s="5" t="s">
        <v>2450</v>
      </c>
      <c r="H1225" s="9" t="s">
        <v>2451</v>
      </c>
    </row>
    <row r="1226" spans="7:8">
      <c r="G1226" s="5" t="s">
        <v>2452</v>
      </c>
      <c r="H1226" s="9" t="s">
        <v>2453</v>
      </c>
    </row>
    <row r="1227" spans="7:8">
      <c r="G1227" s="5" t="s">
        <v>2454</v>
      </c>
      <c r="H1227" s="9" t="s">
        <v>2455</v>
      </c>
    </row>
    <row r="1228" spans="7:8">
      <c r="G1228" s="5" t="s">
        <v>2456</v>
      </c>
      <c r="H1228" s="9" t="s">
        <v>2457</v>
      </c>
    </row>
    <row r="1229" spans="7:8">
      <c r="G1229" s="5" t="s">
        <v>2458</v>
      </c>
      <c r="H1229" s="9" t="s">
        <v>2459</v>
      </c>
    </row>
    <row r="1230" spans="7:8">
      <c r="G1230" s="5" t="s">
        <v>2460</v>
      </c>
      <c r="H1230" s="9" t="s">
        <v>2890</v>
      </c>
    </row>
    <row r="1231" spans="7:8">
      <c r="G1231" s="5" t="s">
        <v>2461</v>
      </c>
      <c r="H1231" s="9" t="s">
        <v>162</v>
      </c>
    </row>
    <row r="1232" spans="7:8">
      <c r="G1232" s="5" t="s">
        <v>2462</v>
      </c>
      <c r="H1232" s="9" t="s">
        <v>164</v>
      </c>
    </row>
    <row r="1233" spans="7:8">
      <c r="G1233" s="5" t="s">
        <v>2463</v>
      </c>
      <c r="H1233" s="9" t="s">
        <v>2464</v>
      </c>
    </row>
    <row r="1234" spans="7:8">
      <c r="G1234" s="5" t="s">
        <v>2465</v>
      </c>
      <c r="H1234" s="9" t="s">
        <v>2466</v>
      </c>
    </row>
    <row r="1235" spans="7:8">
      <c r="G1235" s="5" t="s">
        <v>2467</v>
      </c>
      <c r="H1235" s="9" t="s">
        <v>162</v>
      </c>
    </row>
    <row r="1236" spans="7:8">
      <c r="G1236" s="5" t="s">
        <v>2468</v>
      </c>
      <c r="H1236" s="9" t="s">
        <v>164</v>
      </c>
    </row>
    <row r="1237" spans="7:8">
      <c r="G1237" s="5" t="s">
        <v>2469</v>
      </c>
      <c r="H1237" s="9" t="s">
        <v>2470</v>
      </c>
    </row>
    <row r="1238" spans="7:8">
      <c r="G1238" s="5" t="s">
        <v>2471</v>
      </c>
      <c r="H1238" s="9" t="s">
        <v>2472</v>
      </c>
    </row>
    <row r="1239" spans="7:8">
      <c r="G1239" s="5" t="s">
        <v>2473</v>
      </c>
      <c r="H1239" s="9" t="s">
        <v>2474</v>
      </c>
    </row>
    <row r="1240" spans="7:8">
      <c r="G1240" s="5" t="s">
        <v>2475</v>
      </c>
      <c r="H1240" s="9" t="s">
        <v>2476</v>
      </c>
    </row>
    <row r="1241" spans="7:8">
      <c r="G1241" s="5" t="s">
        <v>2477</v>
      </c>
      <c r="H1241" s="9" t="s">
        <v>2478</v>
      </c>
    </row>
    <row r="1242" spans="7:8">
      <c r="G1242" s="5" t="s">
        <v>2479</v>
      </c>
      <c r="H1242" s="9" t="s">
        <v>2480</v>
      </c>
    </row>
    <row r="1243" spans="7:8">
      <c r="G1243" s="5" t="s">
        <v>2481</v>
      </c>
      <c r="H1243" s="9" t="s">
        <v>2482</v>
      </c>
    </row>
    <row r="1244" spans="7:8">
      <c r="G1244" s="5" t="s">
        <v>2483</v>
      </c>
      <c r="H1244" s="9" t="s">
        <v>2484</v>
      </c>
    </row>
    <row r="1245" spans="7:8">
      <c r="G1245" s="5" t="s">
        <v>2485</v>
      </c>
      <c r="H1245" s="9" t="s">
        <v>2486</v>
      </c>
    </row>
    <row r="1246" spans="7:8">
      <c r="G1246" s="5" t="s">
        <v>2487</v>
      </c>
      <c r="H1246" s="9" t="s">
        <v>2488</v>
      </c>
    </row>
    <row r="1247" spans="7:8">
      <c r="G1247" s="5" t="s">
        <v>2489</v>
      </c>
      <c r="H1247" s="9" t="s">
        <v>2891</v>
      </c>
    </row>
    <row r="1248" spans="7:8">
      <c r="G1248" s="5" t="s">
        <v>2490</v>
      </c>
      <c r="H1248" s="9" t="s">
        <v>2491</v>
      </c>
    </row>
    <row r="1249" spans="7:8">
      <c r="G1249" s="5" t="s">
        <v>2492</v>
      </c>
      <c r="H1249" s="9" t="s">
        <v>162</v>
      </c>
    </row>
    <row r="1250" spans="7:8">
      <c r="G1250" s="5" t="s">
        <v>2493</v>
      </c>
      <c r="H1250" s="9" t="s">
        <v>164</v>
      </c>
    </row>
    <row r="1251" spans="7:8">
      <c r="G1251" s="5" t="s">
        <v>2494</v>
      </c>
      <c r="H1251" s="9" t="s">
        <v>2495</v>
      </c>
    </row>
    <row r="1252" spans="7:8">
      <c r="G1252" s="5" t="s">
        <v>2496</v>
      </c>
      <c r="H1252" s="9" t="s">
        <v>2497</v>
      </c>
    </row>
    <row r="1253" spans="7:8">
      <c r="G1253" s="5" t="s">
        <v>2498</v>
      </c>
      <c r="H1253" s="9" t="s">
        <v>2499</v>
      </c>
    </row>
    <row r="1254" spans="7:8">
      <c r="G1254" s="5" t="s">
        <v>2500</v>
      </c>
      <c r="H1254" s="9" t="s">
        <v>2501</v>
      </c>
    </row>
    <row r="1255" spans="7:8">
      <c r="G1255" s="5" t="s">
        <v>2502</v>
      </c>
      <c r="H1255" s="9" t="s">
        <v>2503</v>
      </c>
    </row>
    <row r="1256" spans="7:8">
      <c r="G1256" s="5" t="s">
        <v>2504</v>
      </c>
      <c r="H1256" s="9" t="s">
        <v>2505</v>
      </c>
    </row>
    <row r="1257" spans="7:8">
      <c r="G1257" s="5" t="s">
        <v>2506</v>
      </c>
      <c r="H1257" s="9" t="s">
        <v>2507</v>
      </c>
    </row>
    <row r="1258" spans="7:8">
      <c r="G1258" s="5" t="s">
        <v>2508</v>
      </c>
      <c r="H1258" s="9" t="s">
        <v>2509</v>
      </c>
    </row>
    <row r="1259" spans="7:8">
      <c r="G1259" s="5" t="s">
        <v>2510</v>
      </c>
      <c r="H1259" s="9" t="s">
        <v>2511</v>
      </c>
    </row>
    <row r="1260" spans="7:8">
      <c r="G1260" s="5" t="s">
        <v>2512</v>
      </c>
      <c r="H1260" s="9" t="s">
        <v>2513</v>
      </c>
    </row>
    <row r="1261" spans="7:8">
      <c r="G1261" s="5" t="s">
        <v>2514</v>
      </c>
      <c r="H1261" s="9" t="s">
        <v>2515</v>
      </c>
    </row>
    <row r="1262" spans="7:8">
      <c r="G1262" s="5" t="s">
        <v>2516</v>
      </c>
      <c r="H1262" s="9" t="s">
        <v>2517</v>
      </c>
    </row>
    <row r="1263" spans="7:8">
      <c r="G1263" s="5" t="s">
        <v>2518</v>
      </c>
      <c r="H1263" s="9" t="s">
        <v>2519</v>
      </c>
    </row>
    <row r="1264" spans="7:8">
      <c r="G1264" s="5" t="s">
        <v>2520</v>
      </c>
      <c r="H1264" s="9" t="s">
        <v>2892</v>
      </c>
    </row>
    <row r="1265" spans="7:8">
      <c r="G1265" s="5" t="s">
        <v>2521</v>
      </c>
      <c r="H1265" s="9" t="s">
        <v>2522</v>
      </c>
    </row>
    <row r="1266" spans="7:8">
      <c r="G1266" s="5" t="s">
        <v>2523</v>
      </c>
      <c r="H1266" s="9" t="s">
        <v>162</v>
      </c>
    </row>
    <row r="1267" spans="7:8">
      <c r="G1267" s="5" t="s">
        <v>2524</v>
      </c>
      <c r="H1267" s="9" t="s">
        <v>164</v>
      </c>
    </row>
    <row r="1268" spans="7:8">
      <c r="G1268" s="5" t="s">
        <v>2525</v>
      </c>
      <c r="H1268" s="9" t="s">
        <v>2526</v>
      </c>
    </row>
    <row r="1269" spans="7:8">
      <c r="G1269" s="5" t="s">
        <v>2527</v>
      </c>
      <c r="H1269" s="9" t="s">
        <v>2528</v>
      </c>
    </row>
    <row r="1270" spans="7:8">
      <c r="G1270" s="5" t="s">
        <v>2529</v>
      </c>
      <c r="H1270" s="9" t="s">
        <v>2530</v>
      </c>
    </row>
    <row r="1271" spans="7:8">
      <c r="G1271" s="5" t="s">
        <v>2531</v>
      </c>
      <c r="H1271" s="9" t="s">
        <v>2532</v>
      </c>
    </row>
    <row r="1272" spans="7:8">
      <c r="G1272" s="5" t="s">
        <v>2533</v>
      </c>
      <c r="H1272" s="9" t="s">
        <v>2534</v>
      </c>
    </row>
    <row r="1273" spans="7:8">
      <c r="G1273" s="5" t="s">
        <v>2535</v>
      </c>
      <c r="H1273" s="9" t="s">
        <v>2536</v>
      </c>
    </row>
    <row r="1274" spans="7:8">
      <c r="G1274" s="5" t="s">
        <v>2537</v>
      </c>
      <c r="H1274" s="9" t="s">
        <v>2538</v>
      </c>
    </row>
    <row r="1275" spans="7:8">
      <c r="G1275" s="5" t="s">
        <v>2539</v>
      </c>
      <c r="H1275" s="9" t="s">
        <v>2540</v>
      </c>
    </row>
    <row r="1276" spans="7:8">
      <c r="G1276" s="5" t="s">
        <v>2541</v>
      </c>
      <c r="H1276" s="9" t="s">
        <v>2542</v>
      </c>
    </row>
    <row r="1277" spans="7:8">
      <c r="G1277" s="5" t="s">
        <v>2543</v>
      </c>
      <c r="H1277" s="9" t="s">
        <v>2544</v>
      </c>
    </row>
    <row r="1278" spans="7:8">
      <c r="G1278" s="5" t="s">
        <v>2545</v>
      </c>
      <c r="H1278" s="9" t="s">
        <v>2546</v>
      </c>
    </row>
    <row r="1279" spans="7:8">
      <c r="G1279" s="5" t="s">
        <v>2547</v>
      </c>
      <c r="H1279" s="9" t="s">
        <v>2548</v>
      </c>
    </row>
    <row r="1280" spans="7:8">
      <c r="G1280" s="5" t="s">
        <v>2549</v>
      </c>
      <c r="H1280" s="9" t="s">
        <v>2550</v>
      </c>
    </row>
    <row r="1281" spans="7:8">
      <c r="G1281" s="5" t="s">
        <v>2551</v>
      </c>
      <c r="H1281" s="9" t="s">
        <v>2552</v>
      </c>
    </row>
    <row r="1282" spans="7:8">
      <c r="G1282" s="5" t="s">
        <v>2553</v>
      </c>
      <c r="H1282" s="9" t="s">
        <v>2554</v>
      </c>
    </row>
    <row r="1283" spans="7:8">
      <c r="G1283" s="5" t="s">
        <v>2555</v>
      </c>
      <c r="H1283" s="9" t="s">
        <v>2556</v>
      </c>
    </row>
    <row r="1284" spans="7:8">
      <c r="G1284" s="5" t="s">
        <v>2557</v>
      </c>
      <c r="H1284" s="9" t="s">
        <v>2558</v>
      </c>
    </row>
    <row r="1285" spans="7:8">
      <c r="G1285" s="5" t="s">
        <v>2559</v>
      </c>
      <c r="H1285" s="9" t="s">
        <v>2560</v>
      </c>
    </row>
    <row r="1286" spans="7:8">
      <c r="G1286" s="5" t="s">
        <v>2561</v>
      </c>
      <c r="H1286" s="9" t="s">
        <v>2562</v>
      </c>
    </row>
    <row r="1287" spans="7:8">
      <c r="G1287" s="5" t="s">
        <v>2563</v>
      </c>
      <c r="H1287" s="9" t="s">
        <v>2564</v>
      </c>
    </row>
    <row r="1288" spans="7:8">
      <c r="G1288" s="5" t="s">
        <v>2565</v>
      </c>
      <c r="H1288" s="9" t="s">
        <v>2566</v>
      </c>
    </row>
    <row r="1289" spans="7:8">
      <c r="G1289" s="5" t="s">
        <v>2567</v>
      </c>
      <c r="H1289" s="9" t="s">
        <v>2568</v>
      </c>
    </row>
    <row r="1290" spans="7:8">
      <c r="G1290" s="5" t="s">
        <v>2569</v>
      </c>
      <c r="H1290" s="9" t="s">
        <v>2570</v>
      </c>
    </row>
    <row r="1291" spans="7:8">
      <c r="G1291" s="5" t="s">
        <v>2571</v>
      </c>
      <c r="H1291" s="9" t="s">
        <v>2572</v>
      </c>
    </row>
    <row r="1292" spans="7:8">
      <c r="G1292" s="5" t="s">
        <v>2573</v>
      </c>
      <c r="H1292" s="9" t="s">
        <v>2574</v>
      </c>
    </row>
    <row r="1293" spans="7:8">
      <c r="G1293" s="5" t="s">
        <v>2575</v>
      </c>
      <c r="H1293" s="9" t="s">
        <v>2576</v>
      </c>
    </row>
    <row r="1294" spans="7:8">
      <c r="G1294" s="5" t="s">
        <v>2577</v>
      </c>
      <c r="H1294" s="9" t="s">
        <v>2578</v>
      </c>
    </row>
    <row r="1295" spans="7:8">
      <c r="G1295" s="5" t="s">
        <v>2579</v>
      </c>
      <c r="H1295" s="9" t="s">
        <v>2580</v>
      </c>
    </row>
    <row r="1296" spans="7:8">
      <c r="G1296" s="5" t="s">
        <v>2581</v>
      </c>
      <c r="H1296" s="9" t="s">
        <v>2582</v>
      </c>
    </row>
    <row r="1297" spans="7:8">
      <c r="G1297" s="5" t="s">
        <v>2583</v>
      </c>
      <c r="H1297" s="9" t="s">
        <v>2584</v>
      </c>
    </row>
    <row r="1298" spans="7:8">
      <c r="G1298" s="5" t="s">
        <v>2585</v>
      </c>
      <c r="H1298" s="9" t="s">
        <v>2586</v>
      </c>
    </row>
    <row r="1299" spans="7:8">
      <c r="G1299" s="5" t="s">
        <v>2587</v>
      </c>
      <c r="H1299" s="9" t="s">
        <v>2588</v>
      </c>
    </row>
    <row r="1300" spans="7:8">
      <c r="G1300" s="5" t="s">
        <v>2589</v>
      </c>
      <c r="H1300" s="9" t="s">
        <v>2590</v>
      </c>
    </row>
    <row r="1301" spans="7:8">
      <c r="G1301" s="5" t="s">
        <v>2591</v>
      </c>
      <c r="H1301" s="9" t="s">
        <v>2592</v>
      </c>
    </row>
    <row r="1302" spans="7:8">
      <c r="G1302" s="5" t="s">
        <v>2593</v>
      </c>
      <c r="H1302" s="9" t="s">
        <v>2594</v>
      </c>
    </row>
    <row r="1303" spans="7:8">
      <c r="G1303" s="5" t="s">
        <v>2595</v>
      </c>
      <c r="H1303" s="9" t="s">
        <v>2596</v>
      </c>
    </row>
    <row r="1304" spans="7:8">
      <c r="G1304" s="5" t="s">
        <v>2597</v>
      </c>
      <c r="H1304" s="9" t="s">
        <v>1783</v>
      </c>
    </row>
    <row r="1305" spans="7:8">
      <c r="G1305" s="5" t="s">
        <v>2598</v>
      </c>
      <c r="H1305" s="9" t="s">
        <v>2599</v>
      </c>
    </row>
    <row r="1306" spans="7:8">
      <c r="G1306" s="5" t="s">
        <v>2600</v>
      </c>
      <c r="H1306" s="9" t="s">
        <v>2601</v>
      </c>
    </row>
    <row r="1307" spans="7:8">
      <c r="G1307" s="5" t="s">
        <v>2602</v>
      </c>
      <c r="H1307" s="9" t="s">
        <v>2603</v>
      </c>
    </row>
    <row r="1308" spans="7:8">
      <c r="G1308" s="5" t="s">
        <v>2604</v>
      </c>
      <c r="H1308" s="9" t="s">
        <v>2605</v>
      </c>
    </row>
    <row r="1309" spans="7:8">
      <c r="G1309" s="5" t="s">
        <v>2606</v>
      </c>
      <c r="H1309" s="9" t="s">
        <v>2607</v>
      </c>
    </row>
    <row r="1310" spans="7:8">
      <c r="G1310" s="5" t="s">
        <v>2608</v>
      </c>
      <c r="H1310" s="9" t="s">
        <v>2609</v>
      </c>
    </row>
    <row r="1311" spans="7:8">
      <c r="G1311" s="5" t="s">
        <v>2610</v>
      </c>
      <c r="H1311" s="9" t="s">
        <v>2611</v>
      </c>
    </row>
    <row r="1312" spans="7:8">
      <c r="G1312" s="5" t="s">
        <v>2612</v>
      </c>
      <c r="H1312" s="9" t="s">
        <v>2613</v>
      </c>
    </row>
    <row r="1313" spans="7:8">
      <c r="G1313" s="5" t="s">
        <v>2614</v>
      </c>
      <c r="H1313" s="9" t="s">
        <v>2615</v>
      </c>
    </row>
    <row r="1314" spans="7:8">
      <c r="G1314" s="5" t="s">
        <v>2616</v>
      </c>
      <c r="H1314" s="9" t="s">
        <v>2617</v>
      </c>
    </row>
    <row r="1315" spans="7:8">
      <c r="G1315" s="5" t="s">
        <v>2618</v>
      </c>
      <c r="H1315" s="9" t="s">
        <v>2619</v>
      </c>
    </row>
    <row r="1316" spans="7:8">
      <c r="G1316" s="5" t="s">
        <v>2620</v>
      </c>
      <c r="H1316" s="9" t="s">
        <v>2621</v>
      </c>
    </row>
    <row r="1317" spans="7:8">
      <c r="G1317" s="5" t="s">
        <v>2893</v>
      </c>
      <c r="H1317" s="9" t="s">
        <v>2622</v>
      </c>
    </row>
    <row r="1318" spans="7:8">
      <c r="G1318" s="5" t="s">
        <v>2623</v>
      </c>
      <c r="H1318" s="9" t="s">
        <v>162</v>
      </c>
    </row>
    <row r="1319" spans="7:8">
      <c r="G1319" s="5" t="s">
        <v>2624</v>
      </c>
      <c r="H1319" s="9" t="s">
        <v>164</v>
      </c>
    </row>
    <row r="1320" spans="7:8">
      <c r="G1320" s="5" t="s">
        <v>2625</v>
      </c>
      <c r="H1320" s="9" t="s">
        <v>2626</v>
      </c>
    </row>
    <row r="1321" spans="7:8">
      <c r="G1321" s="5" t="s">
        <v>2627</v>
      </c>
      <c r="H1321" s="9" t="s">
        <v>2628</v>
      </c>
    </row>
    <row r="1322" spans="7:8">
      <c r="G1322" s="5" t="s">
        <v>2629</v>
      </c>
      <c r="H1322" s="9" t="s">
        <v>2630</v>
      </c>
    </row>
    <row r="1323" spans="7:8">
      <c r="G1323" s="5" t="s">
        <v>2631</v>
      </c>
      <c r="H1323" s="9" t="s">
        <v>2632</v>
      </c>
    </row>
    <row r="1324" spans="7:8">
      <c r="G1324" s="5" t="s">
        <v>2633</v>
      </c>
      <c r="H1324" s="9" t="s">
        <v>2634</v>
      </c>
    </row>
    <row r="1325" spans="7:8">
      <c r="G1325" s="5" t="s">
        <v>2635</v>
      </c>
      <c r="H1325" s="9" t="s">
        <v>2636</v>
      </c>
    </row>
    <row r="1326" spans="7:8">
      <c r="G1326" s="5" t="s">
        <v>2637</v>
      </c>
      <c r="H1326" s="9" t="s">
        <v>2638</v>
      </c>
    </row>
    <row r="1327" spans="7:8">
      <c r="G1327" s="5" t="s">
        <v>2639</v>
      </c>
      <c r="H1327" s="9" t="s">
        <v>2640</v>
      </c>
    </row>
    <row r="1328" spans="7:8">
      <c r="G1328" s="5" t="s">
        <v>2641</v>
      </c>
      <c r="H1328" s="9" t="s">
        <v>2642</v>
      </c>
    </row>
    <row r="1329" spans="7:8">
      <c r="G1329" s="5" t="s">
        <v>2643</v>
      </c>
      <c r="H1329" s="9" t="s">
        <v>2644</v>
      </c>
    </row>
    <row r="1330" spans="7:8">
      <c r="G1330" s="5" t="s">
        <v>2645</v>
      </c>
      <c r="H1330" s="9" t="s">
        <v>2646</v>
      </c>
    </row>
    <row r="1331" spans="7:8">
      <c r="G1331" s="5" t="s">
        <v>2647</v>
      </c>
      <c r="H1331" s="9" t="s">
        <v>2648</v>
      </c>
    </row>
    <row r="1332" spans="7:8">
      <c r="G1332" s="5" t="s">
        <v>2649</v>
      </c>
      <c r="H1332" s="9" t="s">
        <v>2650</v>
      </c>
    </row>
    <row r="1333" spans="7:8">
      <c r="G1333" s="5" t="s">
        <v>2651</v>
      </c>
      <c r="H1333" s="9" t="s">
        <v>2652</v>
      </c>
    </row>
    <row r="1334" spans="7:8">
      <c r="G1334" s="5" t="s">
        <v>2653</v>
      </c>
      <c r="H1334" s="9" t="s">
        <v>2654</v>
      </c>
    </row>
    <row r="1335" spans="7:8">
      <c r="G1335" s="5" t="s">
        <v>2655</v>
      </c>
      <c r="H1335" s="9" t="s">
        <v>2656</v>
      </c>
    </row>
    <row r="1336" spans="7:8">
      <c r="G1336" s="5" t="s">
        <v>2657</v>
      </c>
      <c r="H1336" s="9" t="s">
        <v>2658</v>
      </c>
    </row>
    <row r="1337" spans="7:8">
      <c r="G1337" s="5" t="s">
        <v>2659</v>
      </c>
      <c r="H1337" s="9" t="s">
        <v>2660</v>
      </c>
    </row>
    <row r="1338" spans="7:8">
      <c r="G1338" s="5" t="s">
        <v>2661</v>
      </c>
      <c r="H1338" s="9" t="s">
        <v>2662</v>
      </c>
    </row>
    <row r="1339" spans="7:8">
      <c r="G1339" s="5" t="s">
        <v>2663</v>
      </c>
      <c r="H1339" s="9" t="s">
        <v>162</v>
      </c>
    </row>
    <row r="1340" spans="7:8">
      <c r="G1340" s="5" t="s">
        <v>2664</v>
      </c>
      <c r="H1340" s="9" t="s">
        <v>164</v>
      </c>
    </row>
    <row r="1341" spans="7:8">
      <c r="G1341" s="5" t="s">
        <v>2665</v>
      </c>
      <c r="H1341" s="9" t="s">
        <v>2666</v>
      </c>
    </row>
    <row r="1342" spans="7:8">
      <c r="G1342" s="5" t="s">
        <v>2667</v>
      </c>
      <c r="H1342" s="9" t="s">
        <v>2668</v>
      </c>
    </row>
    <row r="1343" spans="7:8">
      <c r="G1343" s="5" t="s">
        <v>2669</v>
      </c>
      <c r="H1343" s="9" t="s">
        <v>2670</v>
      </c>
    </row>
    <row r="1344" spans="7:8">
      <c r="G1344" s="5" t="s">
        <v>2671</v>
      </c>
      <c r="H1344" s="9" t="s">
        <v>2672</v>
      </c>
    </row>
    <row r="1345" spans="7:8">
      <c r="G1345" s="5" t="s">
        <v>2673</v>
      </c>
      <c r="H1345" s="9" t="s">
        <v>2674</v>
      </c>
    </row>
    <row r="1346" spans="7:8">
      <c r="G1346" s="5" t="s">
        <v>2675</v>
      </c>
      <c r="H1346" s="9" t="s">
        <v>2676</v>
      </c>
    </row>
    <row r="1347" spans="7:8">
      <c r="G1347" s="5" t="s">
        <v>2677</v>
      </c>
      <c r="H1347" s="9" t="s">
        <v>2678</v>
      </c>
    </row>
    <row r="1348" spans="7:8">
      <c r="G1348" s="5" t="s">
        <v>2679</v>
      </c>
      <c r="H1348" s="9" t="s">
        <v>2680</v>
      </c>
    </row>
    <row r="1349" spans="7:8">
      <c r="G1349" s="5" t="s">
        <v>2681</v>
      </c>
      <c r="H1349" s="9" t="s">
        <v>2682</v>
      </c>
    </row>
    <row r="1350" spans="7:8">
      <c r="G1350" s="5" t="s">
        <v>2683</v>
      </c>
      <c r="H1350" s="9" t="s">
        <v>2684</v>
      </c>
    </row>
    <row r="1351" spans="7:8">
      <c r="G1351" s="5" t="s">
        <v>2685</v>
      </c>
      <c r="H1351" s="9" t="s">
        <v>2686</v>
      </c>
    </row>
    <row r="1352" spans="7:8">
      <c r="G1352" s="5" t="s">
        <v>2687</v>
      </c>
      <c r="H1352" s="9" t="s">
        <v>162</v>
      </c>
    </row>
    <row r="1353" spans="7:8">
      <c r="G1353" s="5" t="s">
        <v>2688</v>
      </c>
      <c r="H1353" s="9" t="s">
        <v>164</v>
      </c>
    </row>
    <row r="1354" spans="7:8">
      <c r="G1354" s="5" t="s">
        <v>2689</v>
      </c>
      <c r="H1354" s="9" t="s">
        <v>2690</v>
      </c>
    </row>
    <row r="1355" spans="7:8">
      <c r="G1355" s="5" t="s">
        <v>2691</v>
      </c>
      <c r="H1355" s="9" t="s">
        <v>2692</v>
      </c>
    </row>
    <row r="1356" spans="7:8">
      <c r="G1356" s="5" t="s">
        <v>2693</v>
      </c>
      <c r="H1356" s="9" t="s">
        <v>2694</v>
      </c>
    </row>
    <row r="1357" spans="7:8">
      <c r="G1357" s="5" t="s">
        <v>2695</v>
      </c>
      <c r="H1357" s="9" t="s">
        <v>2696</v>
      </c>
    </row>
    <row r="1358" spans="7:8">
      <c r="G1358" s="5" t="s">
        <v>2697</v>
      </c>
      <c r="H1358" s="9" t="s">
        <v>2698</v>
      </c>
    </row>
    <row r="1359" spans="7:8">
      <c r="G1359" s="5" t="s">
        <v>2699</v>
      </c>
      <c r="H1359" s="9" t="s">
        <v>2700</v>
      </c>
    </row>
    <row r="1360" spans="7:8">
      <c r="G1360" s="5" t="s">
        <v>2701</v>
      </c>
      <c r="H1360" s="9" t="s">
        <v>2702</v>
      </c>
    </row>
    <row r="1361" spans="7:8">
      <c r="G1361" s="5" t="s">
        <v>2703</v>
      </c>
      <c r="H1361" s="9" t="s">
        <v>2704</v>
      </c>
    </row>
    <row r="1362" spans="7:8">
      <c r="G1362" s="5" t="s">
        <v>2705</v>
      </c>
      <c r="H1362" s="9" t="s">
        <v>2706</v>
      </c>
    </row>
    <row r="1363" spans="7:8">
      <c r="G1363" s="5" t="s">
        <v>2707</v>
      </c>
      <c r="H1363" s="9" t="s">
        <v>162</v>
      </c>
    </row>
    <row r="1364" spans="7:8">
      <c r="G1364" s="5" t="s">
        <v>2708</v>
      </c>
      <c r="H1364" s="9" t="s">
        <v>164</v>
      </c>
    </row>
    <row r="1365" spans="7:8">
      <c r="G1365" s="5" t="s">
        <v>2709</v>
      </c>
      <c r="H1365" s="9" t="s">
        <v>2710</v>
      </c>
    </row>
    <row r="1366" spans="7:8">
      <c r="G1366" s="5" t="s">
        <v>2711</v>
      </c>
      <c r="H1366" s="9" t="s">
        <v>2712</v>
      </c>
    </row>
    <row r="1367" spans="7:8">
      <c r="G1367" s="5" t="s">
        <v>2713</v>
      </c>
      <c r="H1367" s="9" t="s">
        <v>2714</v>
      </c>
    </row>
    <row r="1368" spans="7:8">
      <c r="G1368" s="5" t="s">
        <v>2715</v>
      </c>
      <c r="H1368" s="9" t="s">
        <v>2716</v>
      </c>
    </row>
    <row r="1369" spans="7:8">
      <c r="G1369" s="5" t="s">
        <v>2717</v>
      </c>
      <c r="H1369" s="9" t="s">
        <v>2718</v>
      </c>
    </row>
    <row r="1370" spans="7:8">
      <c r="G1370" s="5" t="s">
        <v>2719</v>
      </c>
      <c r="H1370" s="9" t="s">
        <v>2720</v>
      </c>
    </row>
    <row r="1371" spans="7:8">
      <c r="G1371" s="5" t="s">
        <v>2721</v>
      </c>
      <c r="H1371" s="9" t="s">
        <v>2722</v>
      </c>
    </row>
    <row r="1372" spans="7:8">
      <c r="G1372" s="5" t="s">
        <v>2723</v>
      </c>
      <c r="H1372" s="9" t="s">
        <v>2724</v>
      </c>
    </row>
    <row r="1373" spans="7:8">
      <c r="G1373" s="5" t="s">
        <v>2725</v>
      </c>
      <c r="H1373" s="9" t="s">
        <v>2726</v>
      </c>
    </row>
    <row r="1374" spans="7:8">
      <c r="G1374" s="5" t="s">
        <v>2727</v>
      </c>
      <c r="H1374" s="9" t="s">
        <v>2728</v>
      </c>
    </row>
    <row r="1375" spans="7:8">
      <c r="G1375" s="5" t="s">
        <v>2729</v>
      </c>
      <c r="H1375" s="9" t="s">
        <v>2730</v>
      </c>
    </row>
    <row r="1376" spans="7:8">
      <c r="G1376" s="5" t="s">
        <v>2731</v>
      </c>
      <c r="H1376" s="9" t="s">
        <v>2732</v>
      </c>
    </row>
    <row r="1377" spans="7:8">
      <c r="G1377" s="5" t="s">
        <v>2733</v>
      </c>
      <c r="H1377" s="9" t="s">
        <v>2734</v>
      </c>
    </row>
    <row r="1378" spans="7:8">
      <c r="G1378" s="5" t="s">
        <v>2735</v>
      </c>
      <c r="H1378" s="9" t="s">
        <v>2736</v>
      </c>
    </row>
    <row r="1379" spans="7:8">
      <c r="G1379" s="5" t="s">
        <v>2737</v>
      </c>
      <c r="H1379" s="9" t="s">
        <v>2738</v>
      </c>
    </row>
    <row r="1380" spans="7:8">
      <c r="G1380" s="5" t="s">
        <v>2739</v>
      </c>
      <c r="H1380" s="9" t="s">
        <v>1783</v>
      </c>
    </row>
    <row r="1381" spans="7:8">
      <c r="G1381" s="5" t="s">
        <v>2740</v>
      </c>
      <c r="H1381" s="9" t="s">
        <v>2741</v>
      </c>
    </row>
    <row r="1382" spans="7:8">
      <c r="G1382" s="5" t="s">
        <v>2742</v>
      </c>
      <c r="H1382" s="9" t="s">
        <v>2743</v>
      </c>
    </row>
    <row r="1383" spans="7:8">
      <c r="G1383" s="5" t="s">
        <v>2744</v>
      </c>
      <c r="H1383" s="9" t="s">
        <v>2745</v>
      </c>
    </row>
    <row r="1384" spans="7:8">
      <c r="G1384" s="5" t="s">
        <v>2746</v>
      </c>
      <c r="H1384" s="9" t="s">
        <v>1783</v>
      </c>
    </row>
    <row r="1385" spans="7:8">
      <c r="G1385" s="5" t="s">
        <v>2747</v>
      </c>
      <c r="H1385" s="9" t="s">
        <v>2748</v>
      </c>
    </row>
    <row r="1386" spans="7:8">
      <c r="G1386" s="5" t="s">
        <v>2749</v>
      </c>
      <c r="H1386" s="9" t="s">
        <v>2750</v>
      </c>
    </row>
    <row r="1387" spans="7:8">
      <c r="G1387" s="5" t="s">
        <v>2751</v>
      </c>
      <c r="H1387" s="9" t="s">
        <v>2752</v>
      </c>
    </row>
    <row r="1388" spans="7:8">
      <c r="G1388" s="5" t="s">
        <v>2753</v>
      </c>
      <c r="H1388" s="9" t="s">
        <v>2754</v>
      </c>
    </row>
    <row r="1389" spans="7:8">
      <c r="G1389" s="5" t="s">
        <v>2755</v>
      </c>
      <c r="H1389" s="9" t="s">
        <v>2756</v>
      </c>
    </row>
    <row r="1390" spans="7:8">
      <c r="G1390" s="5" t="s">
        <v>2757</v>
      </c>
      <c r="H1390" s="9" t="s">
        <v>162</v>
      </c>
    </row>
    <row r="1391" spans="7:8">
      <c r="G1391" s="5" t="s">
        <v>2758</v>
      </c>
      <c r="H1391" s="9" t="s">
        <v>164</v>
      </c>
    </row>
    <row r="1392" spans="7:8">
      <c r="G1392" s="5" t="s">
        <v>2759</v>
      </c>
      <c r="H1392" s="9" t="s">
        <v>2760</v>
      </c>
    </row>
    <row r="1393" spans="7:8">
      <c r="G1393" s="5" t="s">
        <v>2761</v>
      </c>
      <c r="H1393" s="9" t="s">
        <v>2762</v>
      </c>
    </row>
    <row r="1394" spans="7:8">
      <c r="G1394" s="5" t="s">
        <v>2763</v>
      </c>
      <c r="H1394" s="9" t="s">
        <v>2764</v>
      </c>
    </row>
    <row r="1395" spans="7:8">
      <c r="G1395" s="5" t="s">
        <v>2765</v>
      </c>
      <c r="H1395" s="9" t="s">
        <v>2766</v>
      </c>
    </row>
    <row r="1396" spans="7:8">
      <c r="G1396" s="5" t="s">
        <v>2767</v>
      </c>
      <c r="H1396" s="9" t="s">
        <v>2768</v>
      </c>
    </row>
    <row r="1397" spans="7:8">
      <c r="G1397" s="5" t="s">
        <v>2769</v>
      </c>
      <c r="H1397" s="9" t="s">
        <v>2770</v>
      </c>
    </row>
    <row r="1398" spans="7:8">
      <c r="G1398" s="5" t="s">
        <v>2771</v>
      </c>
      <c r="H1398" s="9" t="s">
        <v>2772</v>
      </c>
    </row>
    <row r="1399" spans="7:8">
      <c r="G1399" s="5" t="s">
        <v>2773</v>
      </c>
      <c r="H1399" s="9" t="s">
        <v>2774</v>
      </c>
    </row>
    <row r="1400" spans="7:8">
      <c r="G1400" s="5" t="s">
        <v>2775</v>
      </c>
      <c r="H1400" s="9" t="s">
        <v>2776</v>
      </c>
    </row>
    <row r="1401" spans="7:8">
      <c r="G1401" s="5" t="s">
        <v>2777</v>
      </c>
      <c r="H1401" s="9" t="s">
        <v>2778</v>
      </c>
    </row>
    <row r="1402" spans="7:8">
      <c r="G1402" s="5" t="s">
        <v>2779</v>
      </c>
      <c r="H1402" s="9" t="s">
        <v>2780</v>
      </c>
    </row>
    <row r="1403" spans="7:8">
      <c r="G1403" s="5" t="s">
        <v>2781</v>
      </c>
      <c r="H1403" s="9" t="s">
        <v>2782</v>
      </c>
    </row>
    <row r="1404" spans="7:8">
      <c r="G1404" s="5" t="s">
        <v>2783</v>
      </c>
      <c r="H1404" s="9" t="s">
        <v>2784</v>
      </c>
    </row>
    <row r="1405" spans="7:8">
      <c r="G1405" s="5" t="s">
        <v>2785</v>
      </c>
      <c r="H1405" s="9" t="s">
        <v>1783</v>
      </c>
    </row>
    <row r="1406" spans="7:8">
      <c r="G1406" s="5" t="s">
        <v>2786</v>
      </c>
      <c r="H1406" s="9" t="s">
        <v>2787</v>
      </c>
    </row>
    <row r="1407" spans="7:8">
      <c r="G1407" s="5" t="s">
        <v>2788</v>
      </c>
      <c r="H1407" s="9" t="s">
        <v>2789</v>
      </c>
    </row>
    <row r="1408" spans="7:8">
      <c r="G1408" s="5" t="s">
        <v>2790</v>
      </c>
      <c r="H1408" s="9" t="s">
        <v>162</v>
      </c>
    </row>
    <row r="1409" spans="7:8">
      <c r="G1409" s="5" t="s">
        <v>2791</v>
      </c>
      <c r="H1409" s="9" t="s">
        <v>164</v>
      </c>
    </row>
    <row r="1410" spans="7:8">
      <c r="G1410" s="5" t="s">
        <v>2792</v>
      </c>
      <c r="H1410" s="9" t="s">
        <v>2793</v>
      </c>
    </row>
    <row r="1411" spans="7:8">
      <c r="G1411" s="5" t="s">
        <v>2794</v>
      </c>
      <c r="H1411" s="9" t="s">
        <v>2795</v>
      </c>
    </row>
    <row r="1412" spans="7:8">
      <c r="G1412" s="5" t="s">
        <v>2796</v>
      </c>
      <c r="H1412" s="9" t="s">
        <v>2797</v>
      </c>
    </row>
    <row r="1413" spans="7:8">
      <c r="G1413" s="5" t="s">
        <v>2798</v>
      </c>
      <c r="H1413" s="9" t="s">
        <v>2799</v>
      </c>
    </row>
    <row r="1414" spans="7:8">
      <c r="G1414" s="5" t="s">
        <v>2800</v>
      </c>
      <c r="H1414" s="9" t="s">
        <v>2801</v>
      </c>
    </row>
    <row r="1415" spans="7:8">
      <c r="G1415" s="5" t="s">
        <v>2802</v>
      </c>
      <c r="H1415" s="9" t="s">
        <v>2803</v>
      </c>
    </row>
    <row r="1416" spans="7:8">
      <c r="G1416" s="5" t="s">
        <v>2804</v>
      </c>
      <c r="H1416" s="9" t="s">
        <v>2805</v>
      </c>
    </row>
    <row r="1417" spans="7:8">
      <c r="G1417" s="5" t="s">
        <v>2806</v>
      </c>
      <c r="H1417" s="9" t="s">
        <v>2807</v>
      </c>
    </row>
    <row r="1418" spans="7:8">
      <c r="G1418" s="5" t="s">
        <v>2808</v>
      </c>
      <c r="H1418" s="9" t="s">
        <v>2809</v>
      </c>
    </row>
    <row r="1419" spans="7:8">
      <c r="G1419" s="5" t="s">
        <v>2810</v>
      </c>
      <c r="H1419" s="9" t="s">
        <v>162</v>
      </c>
    </row>
    <row r="1420" spans="7:8">
      <c r="G1420" s="5" t="s">
        <v>2811</v>
      </c>
      <c r="H1420" s="9" t="s">
        <v>164</v>
      </c>
    </row>
    <row r="1421" spans="7:8">
      <c r="G1421" s="5" t="s">
        <v>2812</v>
      </c>
      <c r="H1421" s="9" t="s">
        <v>2813</v>
      </c>
    </row>
    <row r="1422" spans="7:8">
      <c r="G1422" s="5" t="s">
        <v>2814</v>
      </c>
      <c r="H1422" s="9" t="s">
        <v>2815</v>
      </c>
    </row>
    <row r="1423" spans="7:8">
      <c r="G1423" s="5" t="s">
        <v>2816</v>
      </c>
      <c r="H1423" s="9" t="s">
        <v>162</v>
      </c>
    </row>
    <row r="1424" spans="7:8">
      <c r="G1424" s="5" t="s">
        <v>2817</v>
      </c>
      <c r="H1424" s="9" t="s">
        <v>164</v>
      </c>
    </row>
    <row r="1425" spans="7:8">
      <c r="G1425" s="5" t="s">
        <v>2818</v>
      </c>
      <c r="H1425" s="9" t="s">
        <v>2819</v>
      </c>
    </row>
    <row r="1426" spans="7:8">
      <c r="G1426" s="5" t="s">
        <v>2820</v>
      </c>
      <c r="H1426" s="9" t="s">
        <v>2821</v>
      </c>
    </row>
    <row r="1427" spans="7:8">
      <c r="G1427" s="5" t="s">
        <v>2822</v>
      </c>
      <c r="H1427" s="9" t="s">
        <v>2823</v>
      </c>
    </row>
    <row r="1428" spans="7:8">
      <c r="G1428" s="5" t="s">
        <v>2824</v>
      </c>
      <c r="H1428" s="9" t="s">
        <v>2825</v>
      </c>
    </row>
    <row r="1429" spans="7:8">
      <c r="G1429" s="5" t="s">
        <v>2826</v>
      </c>
      <c r="H1429" s="9" t="s">
        <v>2827</v>
      </c>
    </row>
    <row r="1430" spans="7:8">
      <c r="G1430" s="5" t="s">
        <v>2828</v>
      </c>
      <c r="H1430" s="9" t="s">
        <v>2829</v>
      </c>
    </row>
    <row r="1431" spans="7:8">
      <c r="G1431" s="5" t="s">
        <v>2830</v>
      </c>
      <c r="H1431" s="9" t="s">
        <v>2831</v>
      </c>
    </row>
    <row r="1432" spans="7:8">
      <c r="G1432" s="5" t="s">
        <v>2832</v>
      </c>
      <c r="H1432" s="9" t="s">
        <v>2833</v>
      </c>
    </row>
    <row r="1433" spans="7:8">
      <c r="G1433" s="5" t="s">
        <v>2834</v>
      </c>
      <c r="H1433" s="9" t="s">
        <v>2835</v>
      </c>
    </row>
    <row r="1434" spans="7:8">
      <c r="G1434" s="5" t="s">
        <v>2836</v>
      </c>
      <c r="H1434" s="9" t="s">
        <v>2837</v>
      </c>
    </row>
    <row r="1435" spans="7:8">
      <c r="G1435" s="5" t="s">
        <v>2838</v>
      </c>
      <c r="H1435" s="9" t="s">
        <v>2839</v>
      </c>
    </row>
    <row r="1436" spans="7:8">
      <c r="G1436" s="5" t="s">
        <v>2840</v>
      </c>
      <c r="H1436" s="9" t="s">
        <v>2841</v>
      </c>
    </row>
    <row r="1437" spans="7:8">
      <c r="G1437" s="5" t="s">
        <v>2842</v>
      </c>
      <c r="H1437" s="9" t="s">
        <v>2843</v>
      </c>
    </row>
    <row r="1438" spans="7:8">
      <c r="G1438" s="5" t="s">
        <v>2844</v>
      </c>
      <c r="H1438" s="9" t="s">
        <v>2845</v>
      </c>
    </row>
    <row r="1439" spans="7:8">
      <c r="G1439" s="5" t="s">
        <v>2846</v>
      </c>
      <c r="H1439" s="9" t="s">
        <v>2847</v>
      </c>
    </row>
    <row r="1440" spans="7:8">
      <c r="G1440" s="5" t="s">
        <v>2848</v>
      </c>
      <c r="H1440" s="9" t="s">
        <v>2849</v>
      </c>
    </row>
    <row r="1441" spans="7:8">
      <c r="G1441" s="5" t="s">
        <v>2850</v>
      </c>
      <c r="H1441" s="9" t="s">
        <v>2851</v>
      </c>
    </row>
    <row r="1442" spans="7:8">
      <c r="G1442" s="5" t="s">
        <v>2852</v>
      </c>
      <c r="H1442" s="9" t="s">
        <v>2853</v>
      </c>
    </row>
    <row r="1443" spans="7:8">
      <c r="G1443" s="5" t="s">
        <v>2854</v>
      </c>
      <c r="H1443" s="9" t="s">
        <v>2855</v>
      </c>
    </row>
    <row r="1444" spans="7:8">
      <c r="G1444" s="5" t="s">
        <v>2856</v>
      </c>
      <c r="H1444" s="9" t="s">
        <v>2857</v>
      </c>
    </row>
    <row r="1445" spans="7:8">
      <c r="G1445" s="5" t="s">
        <v>2858</v>
      </c>
      <c r="H1445" s="9" t="s">
        <v>2859</v>
      </c>
    </row>
    <row r="1446" spans="7:8">
      <c r="G1446" s="5" t="s">
        <v>2860</v>
      </c>
      <c r="H1446" s="9" t="s">
        <v>2861</v>
      </c>
    </row>
    <row r="1447" spans="7:8">
      <c r="G1447" s="5" t="s">
        <v>2862</v>
      </c>
      <c r="H1447" s="9" t="s">
        <v>2863</v>
      </c>
    </row>
    <row r="1448" spans="7:8">
      <c r="G1448" s="5" t="s">
        <v>2864</v>
      </c>
      <c r="H1448" s="9" t="s">
        <v>2865</v>
      </c>
    </row>
    <row r="1449" spans="7:8">
      <c r="G1449" s="5" t="s">
        <v>2866</v>
      </c>
      <c r="H1449" s="9" t="s">
        <v>2867</v>
      </c>
    </row>
    <row r="1450" spans="7:8">
      <c r="G1450" s="5" t="s">
        <v>2868</v>
      </c>
      <c r="H1450" s="9" t="s">
        <v>1783</v>
      </c>
    </row>
    <row r="1451" spans="7:8">
      <c r="G1451" s="5" t="s">
        <v>2869</v>
      </c>
      <c r="H1451" s="9" t="s">
        <v>2870</v>
      </c>
    </row>
    <row r="1452" spans="7:8">
      <c r="G1452" s="5" t="s">
        <v>2871</v>
      </c>
      <c r="H1452" s="9" t="s">
        <v>2872</v>
      </c>
    </row>
    <row r="1453" spans="7:8">
      <c r="G1453" s="5" t="s">
        <v>2873</v>
      </c>
      <c r="H1453" s="9" t="s">
        <v>2874</v>
      </c>
    </row>
    <row r="1454" spans="7:8">
      <c r="G1454" s="5" t="s">
        <v>2875</v>
      </c>
      <c r="H1454" s="9" t="s">
        <v>2876</v>
      </c>
    </row>
    <row r="1455" spans="7:8">
      <c r="G1455" s="5" t="s">
        <v>2877</v>
      </c>
      <c r="H1455" s="9" t="s">
        <v>2878</v>
      </c>
    </row>
    <row r="1456" spans="7:8">
      <c r="G1456" s="5" t="s">
        <v>2879</v>
      </c>
      <c r="H1456" s="9" t="s">
        <v>2880</v>
      </c>
    </row>
    <row r="1457" spans="7:8">
      <c r="G1457" s="5" t="s">
        <v>2881</v>
      </c>
      <c r="H1457" s="9" t="s">
        <v>2882</v>
      </c>
    </row>
    <row r="1458" spans="7:8">
      <c r="G1458" s="5" t="s">
        <v>2883</v>
      </c>
      <c r="H1458" s="9" t="s">
        <v>2884</v>
      </c>
    </row>
    <row r="1459" spans="7:8">
      <c r="G1459" s="5" t="s">
        <v>2885</v>
      </c>
      <c r="H1459" s="9" t="s">
        <v>2886</v>
      </c>
    </row>
    <row r="1460" spans="7:8">
      <c r="G1460" s="5" t="s">
        <v>2887</v>
      </c>
      <c r="H1460" s="9" t="s">
        <v>2888</v>
      </c>
    </row>
  </sheetData>
  <sheetProtection algorithmName="SHA-512" hashValue="4RfZJsLAlPBZMg/AFf2m54CTKcLltS84o2bnFfezMZILo3sL8jqd6JDLU+TJI/91x7p4bbVLP4229OK0NJsivA==" saltValue="lVh9a7EoINH57t3+bJ/PAA==" spinCount="100000" sheet="1" objects="1" scenarios="1"/>
  <phoneticPr fontId="1"/>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15">
    <tabColor rgb="FFFF0000"/>
  </sheetPr>
  <dimension ref="A1:CD81"/>
  <sheetViews>
    <sheetView topLeftCell="R2" workbookViewId="0">
      <selection activeCell="AM44" sqref="AM44"/>
    </sheetView>
  </sheetViews>
  <sheetFormatPr defaultColWidth="8.88671875" defaultRowHeight="16.2"/>
  <cols>
    <col min="1" max="2" width="20.44140625" style="12" customWidth="1"/>
    <col min="3" max="3" width="8.88671875" style="12"/>
    <col min="4" max="5" width="16.44140625" style="12" customWidth="1"/>
    <col min="6" max="25" width="8.88671875" style="12"/>
    <col min="26" max="26" width="9" style="12" bestFit="1" customWidth="1"/>
    <col min="27" max="27" width="21.44140625" style="12" customWidth="1"/>
    <col min="28" max="28" width="8.88671875" style="12"/>
    <col min="29" max="29" width="10.33203125" style="12" bestFit="1" customWidth="1"/>
    <col min="30" max="30" width="12" style="12" customWidth="1"/>
    <col min="31" max="31" width="11.109375" style="12" hidden="1" customWidth="1"/>
    <col min="32" max="37" width="0" style="12" hidden="1" customWidth="1"/>
    <col min="38" max="38" width="8.88671875" style="12"/>
    <col min="39" max="40" width="19.88671875" style="12" customWidth="1"/>
    <col min="41" max="41" width="9" style="12" bestFit="1" customWidth="1"/>
    <col min="42" max="44" width="8.88671875" style="12"/>
    <col min="45" max="45" width="9" style="12" bestFit="1" customWidth="1"/>
    <col min="46" max="46" width="38.33203125" style="12" customWidth="1"/>
    <col min="47" max="47" width="28.88671875" style="12" customWidth="1"/>
    <col min="48" max="48" width="22.33203125" style="12" customWidth="1"/>
    <col min="49" max="51" width="8.88671875" style="12"/>
    <col min="52" max="52" width="9" style="12" bestFit="1" customWidth="1"/>
    <col min="53" max="53" width="25.88671875" style="12" customWidth="1"/>
    <col min="54" max="54" width="6.88671875" style="12" customWidth="1"/>
    <col min="55" max="55" width="10.33203125" style="12" bestFit="1" customWidth="1"/>
    <col min="56" max="56" width="21" style="12" customWidth="1"/>
    <col min="57" max="57" width="11.6640625" style="12" customWidth="1"/>
    <col min="58" max="61" width="4.44140625" style="12" customWidth="1"/>
    <col min="62" max="63" width="13.44140625" style="12" customWidth="1"/>
    <col min="64" max="64" width="4.44140625" style="12" customWidth="1"/>
    <col min="65" max="65" width="65.33203125" style="12" customWidth="1"/>
    <col min="66" max="66" width="8.88671875" style="12"/>
    <col min="67" max="67" width="9" style="12" bestFit="1" customWidth="1"/>
    <col min="68" max="70" width="8.88671875" style="12"/>
    <col min="71" max="71" width="9" style="12" bestFit="1" customWidth="1"/>
    <col min="72" max="72" width="20.88671875" style="12" customWidth="1"/>
    <col min="73" max="73" width="24.6640625" style="12" customWidth="1"/>
    <col min="74" max="78" width="8.88671875" style="12"/>
    <col min="79" max="83" width="15.6640625" style="12" customWidth="1"/>
    <col min="84" max="16384" width="8.88671875" style="12"/>
  </cols>
  <sheetData>
    <row r="1" spans="1:82">
      <c r="AA1" s="12" t="s">
        <v>4829</v>
      </c>
      <c r="AM1" s="12" t="s">
        <v>4830</v>
      </c>
      <c r="AN1" s="12" t="s">
        <v>90</v>
      </c>
      <c r="AP1" s="12" t="s">
        <v>4831</v>
      </c>
      <c r="AT1" s="12" t="s">
        <v>4832</v>
      </c>
      <c r="AU1" s="12" t="s">
        <v>4833</v>
      </c>
      <c r="AV1" s="12" t="s">
        <v>4834</v>
      </c>
      <c r="BA1" s="12" t="s">
        <v>4835</v>
      </c>
      <c r="BM1" s="12" t="s">
        <v>4836</v>
      </c>
      <c r="BP1" s="12" t="s">
        <v>4831</v>
      </c>
      <c r="BT1" s="12" t="s">
        <v>4837</v>
      </c>
      <c r="BU1" s="12" t="s">
        <v>4838</v>
      </c>
      <c r="BV1" s="12" t="s">
        <v>4839</v>
      </c>
      <c r="BW1" s="12" t="s">
        <v>4842</v>
      </c>
      <c r="BX1" s="12" t="s">
        <v>4843</v>
      </c>
      <c r="BY1" s="12" t="s">
        <v>4844</v>
      </c>
      <c r="CA1" s="12" t="s">
        <v>4848</v>
      </c>
      <c r="CB1" s="12" t="s">
        <v>4845</v>
      </c>
      <c r="CC1" s="12" t="s">
        <v>4846</v>
      </c>
      <c r="CD1" s="12" t="s">
        <v>4847</v>
      </c>
    </row>
    <row r="2" spans="1:82">
      <c r="A2" s="12" t="s">
        <v>4136</v>
      </c>
      <c r="D2" s="12" t="s">
        <v>4137</v>
      </c>
      <c r="G2" s="12" t="s">
        <v>4138</v>
      </c>
      <c r="Z2" s="12">
        <v>1</v>
      </c>
      <c r="AA2" s="262">
        <f>'計画書② (取組）'!C39</f>
        <v>0</v>
      </c>
      <c r="AB2" s="12" t="str">
        <f>IF(AA2&lt;&gt;0,ROW()-1,"")</f>
        <v/>
      </c>
      <c r="AC2" s="12" t="e">
        <f>RANK(AB2,$AB$2:$AB$81,1)</f>
        <v>#VALUE!</v>
      </c>
      <c r="AM2" s="12" t="s">
        <v>5442</v>
      </c>
      <c r="AN2" s="229" t="s">
        <v>4920</v>
      </c>
      <c r="AO2" s="12">
        <f>IF(ISERROR(MATCH(AM2,$AA$2:$AA$81,0)),ROW(),"")</f>
        <v>2</v>
      </c>
      <c r="AP2" s="12" t="str">
        <f ca="1">IFERROR(INDIRECT("AM"&amp;SMALL($AO$2:$AO$44,ROW()-1)),"")</f>
        <v xml:space="preserve">外部機関による省エネ診断 </v>
      </c>
      <c r="AS2" s="12">
        <v>1</v>
      </c>
      <c r="AT2" s="12" t="str">
        <f>IFERROR(INDEX($AA$2:$AA$81,MATCH(AS2,$AC$2:$AC$81,0)),"")</f>
        <v/>
      </c>
      <c r="AU2" s="12" t="str">
        <f>IFERROR(INDEX($AA$2:$AA$61,MATCH(AS2,$AC$2:$AC$61,0)),"")</f>
        <v/>
      </c>
      <c r="AV2" s="12" t="str">
        <f>IFERROR(INDEX($AA$2:$AA$41,MATCH(AS2,$AC$2:$AC$41,0)),"")</f>
        <v/>
      </c>
      <c r="AZ2" s="12">
        <v>1</v>
      </c>
      <c r="BA2" s="263" t="str">
        <f>IF('計画書② (取組）'!C63="","",'計画書② (取組）'!C63&amp;"‡"&amp;'計画書② (取組）'!D63)</f>
        <v/>
      </c>
      <c r="BB2" s="12" t="str">
        <f>IF(BA2&lt;&gt;"",ROW()-1,"")</f>
        <v/>
      </c>
      <c r="BC2" s="12" t="e">
        <f>RANK(BB2,$BB$2:$BB$41,1)</f>
        <v>#VALUE!</v>
      </c>
      <c r="BD2" s="12">
        <f>'計画書② (取組）'!D63</f>
        <v>0</v>
      </c>
      <c r="BE2" s="12" t="e">
        <f>LEFT(BA2,FIND("‡",BA2)-1)</f>
        <v>#VALUE!</v>
      </c>
      <c r="BI2" s="12">
        <v>1</v>
      </c>
      <c r="BJ2" s="12" t="str">
        <f>IFERROR(INDEX($BE$2:$BE$41,MATCH(BI2,$BC$2:$BC$41,0)),"")</f>
        <v/>
      </c>
      <c r="BK2" s="12" t="str">
        <f>IFERROR(INDEX($BD$2:$BD$41,MATCH(BI2,$BC$2:$BC$41,0)),"")</f>
        <v/>
      </c>
      <c r="BM2" s="27" t="s">
        <v>4139</v>
      </c>
      <c r="BO2" s="12">
        <f>IF(ISERROR(MATCH(BM2,$BA$2:$BA$41,0)),ROW(),"")</f>
        <v>2</v>
      </c>
      <c r="BP2" s="12" t="str">
        <f ca="1">IFERROR(INDIRECT("bM"&amp;SMALL($BO$2:$BO$26,ROW()-1)),"")</f>
        <v>環境マネジメントシステムの導入</v>
      </c>
      <c r="BS2" s="12">
        <v>1</v>
      </c>
      <c r="BT2" s="12" t="str">
        <f>IFERROR(INDEX($BE$2:$BE$41,MATCH(BS2,$BC$2:$BC$41,0)),"")</f>
        <v/>
      </c>
      <c r="BU2" s="12" t="str">
        <f>IFERROR(INDEX($BE$2:$BE$41,MATCH(BS2,$BC$2:$BC$31,0)),"")</f>
        <v/>
      </c>
      <c r="BV2" s="12" t="str">
        <f>IFERROR(INDEX($BE$2:$BE$41,MATCH(BS2,$BC$2:$BC$21,0)),"")</f>
        <v/>
      </c>
      <c r="BW2" s="12" t="str">
        <f>IFERROR(INDEX($BD$2:$BD$41,MATCH(BS2,$BC$2:$BC$41,0)),"")</f>
        <v/>
      </c>
      <c r="BX2" s="12" t="str">
        <f>IFERROR(INDEX($BD$2:$BD$41,MATCH(BS2,$BC$2:$BC$31,0)),"")</f>
        <v/>
      </c>
      <c r="BY2" s="12" t="str">
        <f>IFERROR(INDEX($BD$2:$BD$41,MATCH(BS2,$BC$2:$BC$21,0)),"")</f>
        <v/>
      </c>
      <c r="CA2" s="264" t="str">
        <f>IF('報告書② 第3年度(取組）'!C70="","",'報告書② 第3年度(取組）'!H70&amp;"")</f>
        <v/>
      </c>
      <c r="CB2" s="265" t="str">
        <f>IF('報告書② 第2年度(取組）'!C70="","",'報告書② 第2年度(取組）'!G70&amp;"")</f>
        <v/>
      </c>
      <c r="CC2" s="266" t="str">
        <f>IF('報告書② 第1年度(取組）'!C70="","",'報告書② 第1年度(取組）'!F70&amp;"")</f>
        <v/>
      </c>
      <c r="CD2" s="262" t="str">
        <f>IF('計画書② (取組）'!C63="","",'計画書② (取組）'!E63&amp;"")</f>
        <v/>
      </c>
    </row>
    <row r="3" spans="1:82">
      <c r="A3" s="12" t="s">
        <v>4026</v>
      </c>
      <c r="B3" s="12" t="s">
        <v>4205</v>
      </c>
      <c r="D3" s="12" t="s">
        <v>5442</v>
      </c>
      <c r="E3" s="229" t="s">
        <v>4920</v>
      </c>
      <c r="G3" s="12" t="s">
        <v>4139</v>
      </c>
      <c r="Z3" s="12">
        <v>2</v>
      </c>
      <c r="AA3" s="262">
        <f>'計画書② (取組）'!C40</f>
        <v>0</v>
      </c>
      <c r="AB3" s="12" t="str">
        <f t="shared" ref="AB3:AB66" si="0">IF(AA3&lt;&gt;0,ROW()-1,"")</f>
        <v/>
      </c>
      <c r="AC3" s="12" t="e">
        <f t="shared" ref="AC3:AC66" si="1">RANK(AB3,$AB$2:$AB$81,1)</f>
        <v>#VALUE!</v>
      </c>
      <c r="AM3" s="12" t="s">
        <v>5443</v>
      </c>
      <c r="AN3" s="229" t="s">
        <v>4215</v>
      </c>
      <c r="AO3" s="12">
        <f t="shared" ref="AO3:AO25" si="2">IF(ISERROR(MATCH(AM3,$AA$2:$AA$81,0)),ROW(),"")</f>
        <v>3</v>
      </c>
      <c r="AP3" s="12" t="str">
        <f t="shared" ref="AP3:AP44" ca="1" si="3">IFERROR(INDIRECT("AM"&amp;SMALL($AO$2:$AO$44,ROW()-1)),"")</f>
        <v xml:space="preserve">生産性管理 </v>
      </c>
      <c r="AS3" s="12">
        <v>2</v>
      </c>
      <c r="AT3" s="12" t="str">
        <f t="shared" ref="AT3:AT26" si="4">IFERROR(INDEX($AA$2:$AA$81,MATCH(AS3,$AC$2:$AC$81,0)),"")</f>
        <v/>
      </c>
      <c r="AU3" s="12" t="str">
        <f t="shared" ref="AU3:AU26" si="5">IFERROR(INDEX($AA$2:$AA$61,MATCH(AS3,$AC$2:$AC$61,0)),"")</f>
        <v/>
      </c>
      <c r="AV3" s="12" t="str">
        <f t="shared" ref="AV3:AV26" si="6">IFERROR(INDEX($AA$2:$AA$41,MATCH(AS3,$AC$2:$AC$41,0)),"")</f>
        <v/>
      </c>
      <c r="AZ3" s="12">
        <v>2</v>
      </c>
      <c r="BA3" s="263" t="str">
        <f>IF('計画書② (取組）'!C64="","",'計画書② (取組）'!C64&amp;"‡"&amp;'計画書② (取組）'!D64)</f>
        <v/>
      </c>
      <c r="BB3" s="12" t="str">
        <f t="shared" ref="BB3:BB41" si="7">IF(BA3&lt;&gt;"",ROW()-1,"")</f>
        <v/>
      </c>
      <c r="BC3" s="12" t="e">
        <f t="shared" ref="BC3:BC41" si="8">RANK(BB3,$BB$2:$BB$41,1)</f>
        <v>#VALUE!</v>
      </c>
      <c r="BD3" s="12">
        <f>'計画書② (取組）'!D64</f>
        <v>0</v>
      </c>
      <c r="BE3" s="12" t="e">
        <f t="shared" ref="BE3:BE41" si="9">LEFT(BA3,FIND("‡",BA3)-1)</f>
        <v>#VALUE!</v>
      </c>
      <c r="BI3" s="12">
        <v>2</v>
      </c>
      <c r="BJ3" s="12" t="str">
        <f t="shared" ref="BJ3:BJ14" si="10">IFERROR(INDEX($BE$2:$BE$41,MATCH(BI3,$BC$2:$BC$41,0)),"")</f>
        <v/>
      </c>
      <c r="BK3" s="12" t="str">
        <f t="shared" ref="BK3:BK14" si="11">IFERROR(INDEX($BD$2:$BD$41,MATCH(BI3,$BC$2:$BC$41,0)),"")</f>
        <v/>
      </c>
      <c r="BM3" s="27" t="s">
        <v>4227</v>
      </c>
      <c r="BO3" s="12">
        <f t="shared" ref="BO3:BO14" si="12">IF(ISERROR(MATCH(BM3,$BA$2:$BA$41,0)),ROW(),"")</f>
        <v>3</v>
      </c>
      <c r="BP3" s="12" t="str">
        <f t="shared" ref="BP3:BP14" ca="1" si="13">IFERROR(INDIRECT("bM"&amp;SMALL($BO$2:$BO$26,ROW()-1)),"")</f>
        <v>SBTやRE100等の国際的な気候変動イニシアティブなど脱炭素経営への取組</v>
      </c>
      <c r="BS3" s="12">
        <v>2</v>
      </c>
      <c r="BT3" s="12" t="str">
        <f t="shared" ref="BT3:BT14" si="14">IFERROR(INDEX($BE$2:$BE$41,MATCH(BS3,$BC$2:$BC$41,0)),"")</f>
        <v/>
      </c>
      <c r="BU3" s="12" t="str">
        <f t="shared" ref="BU3:BU14" si="15">IFERROR(INDEX($BE$2:$BE$41,MATCH(BS3,$BC$2:$BC$31,0)),"")</f>
        <v/>
      </c>
      <c r="BV3" s="12" t="str">
        <f t="shared" ref="BV3:BV14" si="16">IFERROR(INDEX($BE$2:$BE$41,MATCH(BS3,$BC$2:$BC$21,0)),"")</f>
        <v/>
      </c>
      <c r="BW3" s="12" t="str">
        <f t="shared" ref="BW3:BW14" si="17">IFERROR(INDEX($BD$2:$BD$41,MATCH(BS3,$BC$2:$BC$41,0)),"")</f>
        <v/>
      </c>
      <c r="BX3" s="12" t="str">
        <f t="shared" ref="BX3:BX14" si="18">IFERROR(INDEX($BD$2:$BD$41,MATCH(BS3,$BC$2:$BC$31,0)),"")</f>
        <v/>
      </c>
      <c r="BY3" s="12" t="str">
        <f t="shared" ref="BY3:BY14" si="19">IFERROR(INDEX($BD$2:$BD$41,MATCH(BS3,$BC$2:$BC$21,0)),"")</f>
        <v/>
      </c>
      <c r="CA3" s="264" t="str">
        <f>IF('報告書② 第3年度(取組）'!C71="","",'報告書② 第3年度(取組）'!H71&amp;"")</f>
        <v/>
      </c>
      <c r="CB3" s="265" t="str">
        <f>IF('報告書② 第2年度(取組）'!C71="","",'報告書② 第2年度(取組）'!G71&amp;"")</f>
        <v/>
      </c>
      <c r="CC3" s="266" t="str">
        <f>IF('報告書② 第1年度(取組）'!C71="","",'報告書② 第1年度(取組）'!F71&amp;"")</f>
        <v/>
      </c>
      <c r="CD3" s="262" t="str">
        <f>IF('計画書② (取組）'!C64="","",'計画書② (取組）'!E64&amp;"")</f>
        <v/>
      </c>
    </row>
    <row r="4" spans="1:82">
      <c r="A4" s="12" t="s">
        <v>4027</v>
      </c>
      <c r="B4" s="12" t="s">
        <v>4207</v>
      </c>
      <c r="D4" s="12" t="s">
        <v>5443</v>
      </c>
      <c r="E4" s="229" t="s">
        <v>4215</v>
      </c>
      <c r="G4" s="12" t="s">
        <v>4227</v>
      </c>
      <c r="Z4" s="12">
        <v>3</v>
      </c>
      <c r="AA4" s="262">
        <f>'計画書② (取組）'!C41</f>
        <v>0</v>
      </c>
      <c r="AB4" s="12" t="str">
        <f t="shared" si="0"/>
        <v/>
      </c>
      <c r="AC4" s="12" t="e">
        <f t="shared" si="1"/>
        <v>#VALUE!</v>
      </c>
      <c r="AM4" s="12" t="s">
        <v>5444</v>
      </c>
      <c r="AN4" s="229" t="s">
        <v>4921</v>
      </c>
      <c r="AO4" s="12">
        <f t="shared" si="2"/>
        <v>4</v>
      </c>
      <c r="AP4" s="12" t="str">
        <f t="shared" ca="1" si="3"/>
        <v xml:space="preserve">エネルギー消費機器管理台帳の整備 </v>
      </c>
      <c r="AS4" s="12">
        <v>3</v>
      </c>
      <c r="AT4" s="12" t="str">
        <f t="shared" si="4"/>
        <v/>
      </c>
      <c r="AU4" s="12" t="str">
        <f t="shared" si="5"/>
        <v/>
      </c>
      <c r="AV4" s="12" t="str">
        <f t="shared" si="6"/>
        <v/>
      </c>
      <c r="AZ4" s="12">
        <v>3</v>
      </c>
      <c r="BA4" s="263" t="str">
        <f>IF('計画書② (取組）'!C65="","",'計画書② (取組）'!C65&amp;"‡"&amp;'計画書② (取組）'!D65)</f>
        <v/>
      </c>
      <c r="BB4" s="12" t="str">
        <f t="shared" si="7"/>
        <v/>
      </c>
      <c r="BC4" s="12" t="e">
        <f t="shared" si="8"/>
        <v>#VALUE!</v>
      </c>
      <c r="BD4" s="12">
        <f>'計画書② (取組）'!D65</f>
        <v>0</v>
      </c>
      <c r="BE4" s="12" t="e">
        <f t="shared" si="9"/>
        <v>#VALUE!</v>
      </c>
      <c r="BI4" s="12">
        <v>3</v>
      </c>
      <c r="BJ4" s="12" t="str">
        <f t="shared" si="10"/>
        <v/>
      </c>
      <c r="BK4" s="12" t="str">
        <f t="shared" si="11"/>
        <v/>
      </c>
      <c r="BM4" s="27" t="s">
        <v>4140</v>
      </c>
      <c r="BO4" s="12">
        <f t="shared" si="12"/>
        <v>4</v>
      </c>
      <c r="BP4" s="12" t="str">
        <f t="shared" ca="1" si="13"/>
        <v>従業員の自動車利用の抑制、公共交通機関の利用促進</v>
      </c>
      <c r="BS4" s="12">
        <v>3</v>
      </c>
      <c r="BT4" s="12" t="str">
        <f t="shared" si="14"/>
        <v/>
      </c>
      <c r="BU4" s="12" t="str">
        <f t="shared" si="15"/>
        <v/>
      </c>
      <c r="BV4" s="12" t="str">
        <f t="shared" si="16"/>
        <v/>
      </c>
      <c r="BW4" s="12" t="str">
        <f t="shared" si="17"/>
        <v/>
      </c>
      <c r="BX4" s="12" t="str">
        <f t="shared" si="18"/>
        <v/>
      </c>
      <c r="BY4" s="12" t="str">
        <f t="shared" si="19"/>
        <v/>
      </c>
      <c r="CA4" s="264" t="str">
        <f>IF('報告書② 第3年度(取組）'!C72="","",'報告書② 第3年度(取組）'!H72&amp;"")</f>
        <v/>
      </c>
      <c r="CB4" s="265" t="str">
        <f>IF('報告書② 第2年度(取組）'!C72="","",'報告書② 第2年度(取組）'!G72&amp;"")</f>
        <v/>
      </c>
      <c r="CC4" s="266" t="str">
        <f>IF('報告書② 第1年度(取組）'!C72="","",'報告書② 第1年度(取組）'!F72&amp;"")</f>
        <v/>
      </c>
      <c r="CD4" s="262" t="str">
        <f>IF('計画書② (取組）'!C65="","",'計画書② (取組）'!E65&amp;"")</f>
        <v/>
      </c>
    </row>
    <row r="5" spans="1:82">
      <c r="A5" s="12" t="s">
        <v>4028</v>
      </c>
      <c r="B5" s="12" t="s">
        <v>4208</v>
      </c>
      <c r="D5" s="12" t="s">
        <v>5444</v>
      </c>
      <c r="E5" s="229" t="s">
        <v>4921</v>
      </c>
      <c r="G5" s="12" t="s">
        <v>4140</v>
      </c>
      <c r="Z5" s="12">
        <v>4</v>
      </c>
      <c r="AA5" s="262">
        <f>'計画書② (取組）'!C42</f>
        <v>0</v>
      </c>
      <c r="AB5" s="12" t="str">
        <f t="shared" si="0"/>
        <v/>
      </c>
      <c r="AC5" s="12" t="e">
        <f t="shared" si="1"/>
        <v>#VALUE!</v>
      </c>
      <c r="AM5" s="12" t="s">
        <v>5445</v>
      </c>
      <c r="AN5" s="229" t="s">
        <v>4206</v>
      </c>
      <c r="AO5" s="12">
        <f t="shared" si="2"/>
        <v>5</v>
      </c>
      <c r="AP5" s="12" t="str">
        <f t="shared" ca="1" si="3"/>
        <v xml:space="preserve">管理標準（管理マニュアル）の整備 </v>
      </c>
      <c r="AS5" s="12">
        <v>4</v>
      </c>
      <c r="AT5" s="12" t="str">
        <f t="shared" si="4"/>
        <v/>
      </c>
      <c r="AU5" s="12" t="str">
        <f t="shared" si="5"/>
        <v/>
      </c>
      <c r="AV5" s="12" t="str">
        <f t="shared" si="6"/>
        <v/>
      </c>
      <c r="AZ5" s="12">
        <v>4</v>
      </c>
      <c r="BA5" s="263" t="str">
        <f>IF('計画書② (取組）'!C66="","",'計画書② (取組）'!C66&amp;"‡"&amp;'計画書② (取組）'!D66)</f>
        <v/>
      </c>
      <c r="BB5" s="12" t="str">
        <f t="shared" si="7"/>
        <v/>
      </c>
      <c r="BC5" s="12" t="e">
        <f t="shared" si="8"/>
        <v>#VALUE!</v>
      </c>
      <c r="BD5" s="12">
        <f>'計画書② (取組）'!D66</f>
        <v>0</v>
      </c>
      <c r="BE5" s="12" t="e">
        <f t="shared" si="9"/>
        <v>#VALUE!</v>
      </c>
      <c r="BI5" s="12">
        <v>4</v>
      </c>
      <c r="BJ5" s="12" t="str">
        <f t="shared" si="10"/>
        <v/>
      </c>
      <c r="BK5" s="12" t="str">
        <f t="shared" si="11"/>
        <v/>
      </c>
      <c r="BM5" s="27" t="s">
        <v>4228</v>
      </c>
      <c r="BO5" s="12">
        <f t="shared" si="12"/>
        <v>5</v>
      </c>
      <c r="BP5" s="12" t="str">
        <f t="shared" ca="1" si="13"/>
        <v>環境教育・学習の実施（従業員以外を対象にしたもの）</v>
      </c>
      <c r="BS5" s="12">
        <v>4</v>
      </c>
      <c r="BT5" s="12" t="str">
        <f t="shared" si="14"/>
        <v/>
      </c>
      <c r="BU5" s="12" t="str">
        <f t="shared" si="15"/>
        <v/>
      </c>
      <c r="BV5" s="12" t="str">
        <f t="shared" si="16"/>
        <v/>
      </c>
      <c r="BW5" s="12" t="str">
        <f t="shared" si="17"/>
        <v/>
      </c>
      <c r="BX5" s="12" t="str">
        <f t="shared" si="18"/>
        <v/>
      </c>
      <c r="BY5" s="12" t="str">
        <f t="shared" si="19"/>
        <v/>
      </c>
      <c r="CA5" s="264" t="str">
        <f>IF('報告書② 第3年度(取組）'!C73="","",'報告書② 第3年度(取組）'!H73&amp;"")</f>
        <v/>
      </c>
      <c r="CB5" s="265" t="str">
        <f>IF('報告書② 第2年度(取組）'!C73="","",'報告書② 第2年度(取組）'!G73&amp;"")</f>
        <v/>
      </c>
      <c r="CC5" s="266" t="str">
        <f>IF('報告書② 第1年度(取組）'!C73="","",'報告書② 第1年度(取組）'!F73&amp;"")</f>
        <v/>
      </c>
      <c r="CD5" s="262" t="str">
        <f>IF('計画書② (取組）'!C66="","",'計画書② (取組）'!E66&amp;"")</f>
        <v/>
      </c>
    </row>
    <row r="6" spans="1:82">
      <c r="A6" s="12" t="s">
        <v>4029</v>
      </c>
      <c r="B6" s="12" t="s">
        <v>5503</v>
      </c>
      <c r="D6" s="12" t="s">
        <v>5445</v>
      </c>
      <c r="E6" s="229" t="s">
        <v>4206</v>
      </c>
      <c r="G6" s="12" t="s">
        <v>4228</v>
      </c>
      <c r="Z6" s="12">
        <v>5</v>
      </c>
      <c r="AA6" s="262">
        <f>'計画書② (取組）'!C43</f>
        <v>0</v>
      </c>
      <c r="AB6" s="12" t="str">
        <f t="shared" si="0"/>
        <v/>
      </c>
      <c r="AC6" s="12" t="e">
        <f t="shared" si="1"/>
        <v>#VALUE!</v>
      </c>
      <c r="AM6" s="12" t="s">
        <v>5446</v>
      </c>
      <c r="AN6" s="229" t="s">
        <v>4922</v>
      </c>
      <c r="AO6" s="12">
        <f t="shared" si="2"/>
        <v>6</v>
      </c>
      <c r="AP6" s="12" t="str">
        <f t="shared" ca="1" si="3"/>
        <v xml:space="preserve">エネルギー使用量の見える化（前年度比較） </v>
      </c>
      <c r="AS6" s="12">
        <v>5</v>
      </c>
      <c r="AT6" s="12" t="str">
        <f t="shared" si="4"/>
        <v/>
      </c>
      <c r="AU6" s="12" t="str">
        <f t="shared" si="5"/>
        <v/>
      </c>
      <c r="AV6" s="12" t="str">
        <f t="shared" si="6"/>
        <v/>
      </c>
      <c r="AZ6" s="12">
        <v>5</v>
      </c>
      <c r="BA6" s="263" t="str">
        <f>IF('計画書② (取組）'!C67="","",'計画書② (取組）'!C67&amp;"‡"&amp;'計画書② (取組）'!D67)</f>
        <v/>
      </c>
      <c r="BB6" s="12" t="str">
        <f t="shared" si="7"/>
        <v/>
      </c>
      <c r="BC6" s="12" t="e">
        <f t="shared" si="8"/>
        <v>#VALUE!</v>
      </c>
      <c r="BD6" s="12">
        <f>'計画書② (取組）'!D67</f>
        <v>0</v>
      </c>
      <c r="BE6" s="12" t="e">
        <f t="shared" si="9"/>
        <v>#VALUE!</v>
      </c>
      <c r="BI6" s="12">
        <v>5</v>
      </c>
      <c r="BJ6" s="12" t="str">
        <f t="shared" si="10"/>
        <v/>
      </c>
      <c r="BK6" s="12" t="str">
        <f t="shared" si="11"/>
        <v/>
      </c>
      <c r="BM6" s="27" t="s">
        <v>4141</v>
      </c>
      <c r="BO6" s="12">
        <f t="shared" si="12"/>
        <v>6</v>
      </c>
      <c r="BP6" s="12" t="str">
        <f t="shared" ca="1" si="13"/>
        <v>廃棄物削減対策の実施</v>
      </c>
      <c r="BS6" s="12">
        <v>5</v>
      </c>
      <c r="BT6" s="12" t="str">
        <f t="shared" si="14"/>
        <v/>
      </c>
      <c r="BU6" s="12" t="str">
        <f t="shared" si="15"/>
        <v/>
      </c>
      <c r="BV6" s="12" t="str">
        <f t="shared" si="16"/>
        <v/>
      </c>
      <c r="BW6" s="12" t="str">
        <f t="shared" si="17"/>
        <v/>
      </c>
      <c r="BX6" s="12" t="str">
        <f t="shared" si="18"/>
        <v/>
      </c>
      <c r="BY6" s="12" t="str">
        <f t="shared" si="19"/>
        <v/>
      </c>
      <c r="CA6" s="264" t="str">
        <f>IF('報告書② 第3年度(取組）'!C74="","",'報告書② 第3年度(取組）'!H74&amp;"")</f>
        <v/>
      </c>
      <c r="CB6" s="265" t="str">
        <f>IF('報告書② 第2年度(取組）'!C74="","",'報告書② 第2年度(取組）'!G74&amp;"")</f>
        <v/>
      </c>
      <c r="CC6" s="266" t="str">
        <f>IF('報告書② 第1年度(取組）'!C74="","",'報告書② 第1年度(取組）'!F74&amp;"")</f>
        <v/>
      </c>
      <c r="CD6" s="262" t="str">
        <f>IF('計画書② (取組）'!C67="","",'計画書② (取組）'!E67&amp;"")</f>
        <v/>
      </c>
    </row>
    <row r="7" spans="1:82">
      <c r="A7" s="12" t="s">
        <v>5504</v>
      </c>
      <c r="B7" s="12" t="s">
        <v>5505</v>
      </c>
      <c r="D7" s="12" t="s">
        <v>5446</v>
      </c>
      <c r="E7" s="229" t="s">
        <v>4922</v>
      </c>
      <c r="G7" s="12" t="s">
        <v>4141</v>
      </c>
      <c r="Z7" s="12">
        <v>6</v>
      </c>
      <c r="AA7" s="262">
        <f>'計画書② (取組）'!C44</f>
        <v>0</v>
      </c>
      <c r="AB7" s="12" t="str">
        <f t="shared" si="0"/>
        <v/>
      </c>
      <c r="AC7" s="12" t="e">
        <f t="shared" si="1"/>
        <v>#VALUE!</v>
      </c>
      <c r="AM7" s="12" t="s">
        <v>5447</v>
      </c>
      <c r="AN7" s="229" t="s">
        <v>4216</v>
      </c>
      <c r="AO7" s="12">
        <f t="shared" si="2"/>
        <v>7</v>
      </c>
      <c r="AP7" s="12" t="str">
        <f t="shared" ca="1" si="3"/>
        <v xml:space="preserve">エネルギー使用量の見える化（分計による課題発見） </v>
      </c>
      <c r="AS7" s="12">
        <v>6</v>
      </c>
      <c r="AT7" s="12" t="str">
        <f t="shared" si="4"/>
        <v/>
      </c>
      <c r="AU7" s="12" t="str">
        <f t="shared" si="5"/>
        <v/>
      </c>
      <c r="AV7" s="12" t="str">
        <f t="shared" si="6"/>
        <v/>
      </c>
      <c r="AZ7" s="12">
        <v>6</v>
      </c>
      <c r="BA7" s="263" t="str">
        <f>IF('計画書② (取組）'!C68="","",'計画書② (取組）'!C68&amp;"‡"&amp;'計画書② (取組）'!D68)</f>
        <v/>
      </c>
      <c r="BB7" s="12" t="str">
        <f t="shared" si="7"/>
        <v/>
      </c>
      <c r="BC7" s="12" t="e">
        <f t="shared" si="8"/>
        <v>#VALUE!</v>
      </c>
      <c r="BD7" s="12">
        <f>'計画書② (取組）'!D68</f>
        <v>0</v>
      </c>
      <c r="BE7" s="12" t="e">
        <f t="shared" si="9"/>
        <v>#VALUE!</v>
      </c>
      <c r="BI7" s="12">
        <v>6</v>
      </c>
      <c r="BJ7" s="12" t="str">
        <f t="shared" si="10"/>
        <v/>
      </c>
      <c r="BK7" s="12" t="str">
        <f t="shared" si="11"/>
        <v/>
      </c>
      <c r="BM7" s="27" t="s">
        <v>4142</v>
      </c>
      <c r="BO7" s="12">
        <f t="shared" si="12"/>
        <v>7</v>
      </c>
      <c r="BP7" s="12" t="str">
        <f t="shared" ca="1" si="13"/>
        <v>森林の保全・緑化の推進</v>
      </c>
      <c r="BS7" s="12">
        <v>6</v>
      </c>
      <c r="BT7" s="12" t="str">
        <f t="shared" si="14"/>
        <v/>
      </c>
      <c r="BU7" s="12" t="str">
        <f t="shared" si="15"/>
        <v/>
      </c>
      <c r="BV7" s="12" t="str">
        <f t="shared" si="16"/>
        <v/>
      </c>
      <c r="BW7" s="12" t="str">
        <f t="shared" si="17"/>
        <v/>
      </c>
      <c r="BX7" s="12" t="str">
        <f t="shared" si="18"/>
        <v/>
      </c>
      <c r="BY7" s="12" t="str">
        <f t="shared" si="19"/>
        <v/>
      </c>
      <c r="CA7" s="264" t="str">
        <f>IF('報告書② 第3年度(取組）'!C75="","",'報告書② 第3年度(取組）'!H75&amp;"")</f>
        <v/>
      </c>
      <c r="CB7" s="265" t="str">
        <f>IF('報告書② 第2年度(取組）'!C75="","",'報告書② 第2年度(取組）'!G75&amp;"")</f>
        <v/>
      </c>
      <c r="CC7" s="266" t="str">
        <f>IF('報告書② 第1年度(取組）'!C75="","",'報告書② 第1年度(取組）'!F75&amp;"")</f>
        <v/>
      </c>
      <c r="CD7" s="262" t="str">
        <f>IF('計画書② (取組）'!C68="","",'計画書② (取組）'!E68&amp;"")</f>
        <v/>
      </c>
    </row>
    <row r="8" spans="1:82">
      <c r="A8" s="12" t="s">
        <v>4030</v>
      </c>
      <c r="B8" s="12" t="s">
        <v>4209</v>
      </c>
      <c r="D8" s="12" t="s">
        <v>5447</v>
      </c>
      <c r="E8" s="229" t="s">
        <v>4216</v>
      </c>
      <c r="G8" s="12" t="s">
        <v>4142</v>
      </c>
      <c r="Z8" s="12">
        <v>7</v>
      </c>
      <c r="AA8" s="262">
        <f>'計画書② (取組）'!C45</f>
        <v>0</v>
      </c>
      <c r="AB8" s="12" t="str">
        <f t="shared" si="0"/>
        <v/>
      </c>
      <c r="AC8" s="12" t="e">
        <f t="shared" si="1"/>
        <v>#VALUE!</v>
      </c>
      <c r="AM8" s="12" t="s">
        <v>5448</v>
      </c>
      <c r="AN8" s="229" t="s">
        <v>4923</v>
      </c>
      <c r="AO8" s="12">
        <f t="shared" si="2"/>
        <v>8</v>
      </c>
      <c r="AP8" s="12" t="str">
        <f t="shared" ca="1" si="3"/>
        <v xml:space="preserve">ボイラー、工業炉の空気比の把握・管理 </v>
      </c>
      <c r="AS8" s="12">
        <v>7</v>
      </c>
      <c r="AT8" s="12" t="str">
        <f t="shared" si="4"/>
        <v/>
      </c>
      <c r="AU8" s="12" t="str">
        <f t="shared" si="5"/>
        <v/>
      </c>
      <c r="AV8" s="12" t="str">
        <f t="shared" si="6"/>
        <v/>
      </c>
      <c r="AZ8" s="12">
        <v>7</v>
      </c>
      <c r="BA8" s="263" t="str">
        <f>IF('計画書② (取組）'!C69="","",'計画書② (取組）'!C69&amp;"‡"&amp;'計画書② (取組）'!D69)</f>
        <v/>
      </c>
      <c r="BB8" s="12" t="str">
        <f t="shared" si="7"/>
        <v/>
      </c>
      <c r="BC8" s="12" t="e">
        <f t="shared" si="8"/>
        <v>#VALUE!</v>
      </c>
      <c r="BD8" s="12">
        <f>'計画書② (取組）'!D69</f>
        <v>0</v>
      </c>
      <c r="BE8" s="12" t="e">
        <f t="shared" si="9"/>
        <v>#VALUE!</v>
      </c>
      <c r="BI8" s="12">
        <v>7</v>
      </c>
      <c r="BJ8" s="12" t="str">
        <f t="shared" si="10"/>
        <v/>
      </c>
      <c r="BK8" s="12" t="str">
        <f t="shared" si="11"/>
        <v/>
      </c>
      <c r="BM8" s="27" t="s">
        <v>4143</v>
      </c>
      <c r="BO8" s="12">
        <f t="shared" si="12"/>
        <v>8</v>
      </c>
      <c r="BP8" s="12" t="str">
        <f t="shared" ca="1" si="13"/>
        <v>グリーン調達の実施</v>
      </c>
      <c r="BS8" s="12">
        <v>7</v>
      </c>
      <c r="BT8" s="12" t="str">
        <f t="shared" si="14"/>
        <v/>
      </c>
      <c r="BU8" s="12" t="str">
        <f t="shared" si="15"/>
        <v/>
      </c>
      <c r="BV8" s="12" t="str">
        <f t="shared" si="16"/>
        <v/>
      </c>
      <c r="BW8" s="12" t="str">
        <f t="shared" si="17"/>
        <v/>
      </c>
      <c r="BX8" s="12" t="str">
        <f t="shared" si="18"/>
        <v/>
      </c>
      <c r="BY8" s="12" t="str">
        <f t="shared" si="19"/>
        <v/>
      </c>
      <c r="CA8" s="264" t="str">
        <f>IF('報告書② 第3年度(取組）'!C76="","",'報告書② 第3年度(取組）'!H76&amp;"")</f>
        <v/>
      </c>
      <c r="CB8" s="265" t="str">
        <f>IF('報告書② 第2年度(取組）'!C76="","",'報告書② 第2年度(取組）'!G76&amp;"")</f>
        <v/>
      </c>
      <c r="CC8" s="266" t="str">
        <f>IF('報告書② 第1年度(取組）'!C76="","",'報告書② 第1年度(取組）'!F76&amp;"")</f>
        <v/>
      </c>
      <c r="CD8" s="262" t="str">
        <f>IF('計画書② (取組）'!C69="","",'計画書② (取組）'!E69&amp;"")</f>
        <v/>
      </c>
    </row>
    <row r="9" spans="1:82">
      <c r="A9" s="12" t="s">
        <v>4031</v>
      </c>
      <c r="B9" s="12" t="s">
        <v>5506</v>
      </c>
      <c r="D9" s="12" t="s">
        <v>5448</v>
      </c>
      <c r="E9" s="229" t="s">
        <v>4923</v>
      </c>
      <c r="G9" s="12" t="s">
        <v>4143</v>
      </c>
      <c r="Z9" s="12">
        <v>8</v>
      </c>
      <c r="AA9" s="262">
        <f>'計画書② (取組）'!C46</f>
        <v>0</v>
      </c>
      <c r="AB9" s="12" t="str">
        <f t="shared" si="0"/>
        <v/>
      </c>
      <c r="AC9" s="12" t="e">
        <f t="shared" si="1"/>
        <v>#VALUE!</v>
      </c>
      <c r="AM9" s="12" t="s">
        <v>5449</v>
      </c>
      <c r="AN9" s="229" t="s">
        <v>4924</v>
      </c>
      <c r="AO9" s="12">
        <f t="shared" si="2"/>
        <v>9</v>
      </c>
      <c r="AP9" s="12" t="str">
        <f t="shared" ca="1" si="3"/>
        <v xml:space="preserve">ボイラーの熱効率の把握・管理 </v>
      </c>
      <c r="AS9" s="12">
        <v>8</v>
      </c>
      <c r="AT9" s="12" t="str">
        <f t="shared" si="4"/>
        <v/>
      </c>
      <c r="AU9" s="12" t="str">
        <f t="shared" si="5"/>
        <v/>
      </c>
      <c r="AV9" s="12" t="str">
        <f t="shared" si="6"/>
        <v/>
      </c>
      <c r="AZ9" s="12">
        <v>8</v>
      </c>
      <c r="BA9" s="263" t="str">
        <f>IF('計画書② (取組）'!C70="","",'計画書② (取組）'!C70&amp;"‡"&amp;'計画書② (取組）'!D70)</f>
        <v/>
      </c>
      <c r="BB9" s="12" t="str">
        <f t="shared" si="7"/>
        <v/>
      </c>
      <c r="BC9" s="12" t="e">
        <f t="shared" si="8"/>
        <v>#VALUE!</v>
      </c>
      <c r="BD9" s="12">
        <f>'計画書② (取組）'!D70</f>
        <v>0</v>
      </c>
      <c r="BE9" s="12" t="e">
        <f t="shared" si="9"/>
        <v>#VALUE!</v>
      </c>
      <c r="BI9" s="12">
        <v>8</v>
      </c>
      <c r="BJ9" s="12" t="str">
        <f t="shared" si="10"/>
        <v/>
      </c>
      <c r="BK9" s="12" t="str">
        <f t="shared" si="11"/>
        <v/>
      </c>
      <c r="BM9" s="27" t="s">
        <v>4144</v>
      </c>
      <c r="BO9" s="12">
        <f t="shared" si="12"/>
        <v>9</v>
      </c>
      <c r="BP9" s="12" t="str">
        <f t="shared" ca="1" si="13"/>
        <v>カーボンオフセットの実施</v>
      </c>
      <c r="BS9" s="12">
        <v>8</v>
      </c>
      <c r="BT9" s="12" t="str">
        <f t="shared" si="14"/>
        <v/>
      </c>
      <c r="BU9" s="12" t="str">
        <f t="shared" si="15"/>
        <v/>
      </c>
      <c r="BV9" s="12" t="str">
        <f t="shared" si="16"/>
        <v/>
      </c>
      <c r="BW9" s="12" t="str">
        <f t="shared" si="17"/>
        <v/>
      </c>
      <c r="BX9" s="12" t="str">
        <f t="shared" si="18"/>
        <v/>
      </c>
      <c r="BY9" s="12" t="str">
        <f t="shared" si="19"/>
        <v/>
      </c>
      <c r="CA9" s="264" t="str">
        <f>IF('報告書② 第3年度(取組）'!C77="","",'報告書② 第3年度(取組）'!H77&amp;"")</f>
        <v/>
      </c>
      <c r="CB9" s="265" t="str">
        <f>IF('報告書② 第2年度(取組）'!C77="","",'報告書② 第2年度(取組）'!G77&amp;"")</f>
        <v/>
      </c>
      <c r="CC9" s="266" t="str">
        <f>IF('報告書② 第1年度(取組）'!C77="","",'報告書② 第1年度(取組）'!F77&amp;"")</f>
        <v/>
      </c>
      <c r="CD9" s="262" t="str">
        <f>IF('計画書② (取組）'!C70="","",'計画書② (取組）'!E70&amp;"")</f>
        <v/>
      </c>
    </row>
    <row r="10" spans="1:82">
      <c r="A10" s="12" t="s">
        <v>5507</v>
      </c>
      <c r="B10" s="12" t="s">
        <v>5508</v>
      </c>
      <c r="D10" s="12" t="s">
        <v>5449</v>
      </c>
      <c r="E10" s="229" t="s">
        <v>4924</v>
      </c>
      <c r="G10" s="12" t="s">
        <v>4144</v>
      </c>
      <c r="Z10" s="12">
        <v>9</v>
      </c>
      <c r="AA10" s="262">
        <f>'計画書② (取組）'!C47</f>
        <v>0</v>
      </c>
      <c r="AB10" s="12" t="str">
        <f t="shared" si="0"/>
        <v/>
      </c>
      <c r="AC10" s="12" t="e">
        <f t="shared" si="1"/>
        <v>#VALUE!</v>
      </c>
      <c r="AM10" s="12" t="s">
        <v>5450</v>
      </c>
      <c r="AN10" s="229" t="s">
        <v>4925</v>
      </c>
      <c r="AO10" s="12">
        <f t="shared" si="2"/>
        <v>10</v>
      </c>
      <c r="AP10" s="12" t="str">
        <f t="shared" ca="1" si="3"/>
        <v xml:space="preserve">ボイラーの運転効率管理 </v>
      </c>
      <c r="AS10" s="12">
        <v>9</v>
      </c>
      <c r="AT10" s="12" t="str">
        <f t="shared" si="4"/>
        <v/>
      </c>
      <c r="AU10" s="12" t="str">
        <f t="shared" si="5"/>
        <v/>
      </c>
      <c r="AV10" s="12" t="str">
        <f t="shared" si="6"/>
        <v/>
      </c>
      <c r="AZ10" s="12">
        <v>9</v>
      </c>
      <c r="BA10" s="263" t="str">
        <f>IF('計画書② (取組）'!C71="","",'計画書② (取組）'!C71&amp;"‡"&amp;'計画書② (取組）'!D71)</f>
        <v/>
      </c>
      <c r="BB10" s="12" t="str">
        <f t="shared" si="7"/>
        <v/>
      </c>
      <c r="BC10" s="12" t="e">
        <f t="shared" si="8"/>
        <v>#VALUE!</v>
      </c>
      <c r="BD10" s="12">
        <f>'計画書② (取組）'!D71</f>
        <v>0</v>
      </c>
      <c r="BE10" s="12" t="e">
        <f t="shared" si="9"/>
        <v>#VALUE!</v>
      </c>
      <c r="BI10" s="12">
        <v>9</v>
      </c>
      <c r="BJ10" s="12" t="str">
        <f t="shared" si="10"/>
        <v/>
      </c>
      <c r="BK10" s="12" t="str">
        <f t="shared" si="11"/>
        <v/>
      </c>
      <c r="BM10" s="27" t="s">
        <v>4145</v>
      </c>
      <c r="BO10" s="12">
        <f t="shared" si="12"/>
        <v>10</v>
      </c>
      <c r="BP10" s="12" t="str">
        <f t="shared" ca="1" si="13"/>
        <v>ヒートアイランド対策の実施</v>
      </c>
      <c r="BS10" s="12">
        <v>9</v>
      </c>
      <c r="BT10" s="12" t="str">
        <f t="shared" si="14"/>
        <v/>
      </c>
      <c r="BU10" s="12" t="str">
        <f t="shared" si="15"/>
        <v/>
      </c>
      <c r="BV10" s="12" t="str">
        <f t="shared" si="16"/>
        <v/>
      </c>
      <c r="BW10" s="12" t="str">
        <f t="shared" si="17"/>
        <v/>
      </c>
      <c r="BX10" s="12" t="str">
        <f t="shared" si="18"/>
        <v/>
      </c>
      <c r="BY10" s="12" t="str">
        <f t="shared" si="19"/>
        <v/>
      </c>
      <c r="CA10" s="264" t="str">
        <f>IF('報告書② 第3年度(取組）'!C78="","",'報告書② 第3年度(取組）'!H78&amp;"")</f>
        <v/>
      </c>
      <c r="CB10" s="265" t="str">
        <f>IF('報告書② 第2年度(取組）'!C78="","",'報告書② 第2年度(取組）'!G78&amp;"")</f>
        <v/>
      </c>
      <c r="CC10" s="266" t="str">
        <f>IF('報告書② 第1年度(取組）'!C78="","",'報告書② 第1年度(取組）'!F78&amp;"")</f>
        <v/>
      </c>
      <c r="CD10" s="262" t="str">
        <f>IF('計画書② (取組）'!C71="","",'計画書② (取組）'!E71&amp;"")</f>
        <v/>
      </c>
    </row>
    <row r="11" spans="1:82">
      <c r="A11" s="12" t="s">
        <v>4032</v>
      </c>
      <c r="B11" s="12" t="s">
        <v>4210</v>
      </c>
      <c r="D11" s="12" t="s">
        <v>5450</v>
      </c>
      <c r="E11" s="229" t="s">
        <v>4925</v>
      </c>
      <c r="G11" s="12" t="s">
        <v>4145</v>
      </c>
      <c r="Z11" s="12">
        <v>10</v>
      </c>
      <c r="AA11" s="262">
        <f>'計画書② (取組）'!C48</f>
        <v>0</v>
      </c>
      <c r="AB11" s="12" t="str">
        <f t="shared" si="0"/>
        <v/>
      </c>
      <c r="AC11" s="12" t="e">
        <f t="shared" si="1"/>
        <v>#VALUE!</v>
      </c>
      <c r="AM11" s="12" t="s">
        <v>5451</v>
      </c>
      <c r="AN11" s="229" t="s">
        <v>4217</v>
      </c>
      <c r="AO11" s="12">
        <f t="shared" si="2"/>
        <v>11</v>
      </c>
      <c r="AP11" s="12" t="str">
        <f t="shared" ca="1" si="3"/>
        <v xml:space="preserve">ボイラーの給水及びブローの管理 </v>
      </c>
      <c r="AS11" s="12">
        <v>10</v>
      </c>
      <c r="AT11" s="12" t="str">
        <f t="shared" si="4"/>
        <v/>
      </c>
      <c r="AU11" s="12" t="str">
        <f t="shared" si="5"/>
        <v/>
      </c>
      <c r="AV11" s="12" t="str">
        <f t="shared" si="6"/>
        <v/>
      </c>
      <c r="AZ11" s="12">
        <v>10</v>
      </c>
      <c r="BA11" s="263" t="str">
        <f>IF('計画書② (取組）'!C72="","",'計画書② (取組）'!C72&amp;"‡"&amp;'計画書② (取組）'!D72)</f>
        <v/>
      </c>
      <c r="BB11" s="12" t="str">
        <f t="shared" si="7"/>
        <v/>
      </c>
      <c r="BC11" s="12" t="e">
        <f t="shared" si="8"/>
        <v>#VALUE!</v>
      </c>
      <c r="BD11" s="12">
        <f>'計画書② (取組）'!D72</f>
        <v>0</v>
      </c>
      <c r="BE11" s="12" t="e">
        <f t="shared" si="9"/>
        <v>#VALUE!</v>
      </c>
      <c r="BI11" s="12">
        <v>10</v>
      </c>
      <c r="BJ11" s="12" t="str">
        <f t="shared" si="10"/>
        <v/>
      </c>
      <c r="BK11" s="12" t="str">
        <f t="shared" si="11"/>
        <v/>
      </c>
      <c r="BM11" s="27" t="s">
        <v>4146</v>
      </c>
      <c r="BO11" s="12">
        <f t="shared" si="12"/>
        <v>11</v>
      </c>
      <c r="BP11" s="12" t="str">
        <f t="shared" ca="1" si="13"/>
        <v>計画期間以前の温室効果ガスの大幅な削減</v>
      </c>
      <c r="BS11" s="12">
        <v>10</v>
      </c>
      <c r="BT11" s="12" t="str">
        <f t="shared" si="14"/>
        <v/>
      </c>
      <c r="BU11" s="12" t="str">
        <f t="shared" si="15"/>
        <v/>
      </c>
      <c r="BV11" s="12" t="str">
        <f t="shared" si="16"/>
        <v/>
      </c>
      <c r="BW11" s="12" t="str">
        <f t="shared" si="17"/>
        <v/>
      </c>
      <c r="BX11" s="12" t="str">
        <f t="shared" si="18"/>
        <v/>
      </c>
      <c r="BY11" s="12" t="str">
        <f t="shared" si="19"/>
        <v/>
      </c>
      <c r="CA11" s="264" t="str">
        <f>IF('報告書② 第3年度(取組）'!C79="","",'報告書② 第3年度(取組）'!H79&amp;"")</f>
        <v/>
      </c>
      <c r="CB11" s="265" t="str">
        <f>IF('報告書② 第2年度(取組）'!C79="","",'報告書② 第2年度(取組）'!G79&amp;"")</f>
        <v/>
      </c>
      <c r="CC11" s="266" t="str">
        <f>IF('報告書② 第1年度(取組）'!C79="","",'報告書② 第1年度(取組）'!F79&amp;"")</f>
        <v/>
      </c>
      <c r="CD11" s="262" t="str">
        <f>IF('計画書② (取組）'!C72="","",'計画書② (取組）'!E72&amp;"")</f>
        <v/>
      </c>
    </row>
    <row r="12" spans="1:82">
      <c r="A12" s="12" t="s">
        <v>4033</v>
      </c>
      <c r="B12" s="12" t="s">
        <v>4211</v>
      </c>
      <c r="D12" s="12" t="s">
        <v>5451</v>
      </c>
      <c r="E12" s="229" t="s">
        <v>4217</v>
      </c>
      <c r="G12" s="12" t="s">
        <v>4146</v>
      </c>
      <c r="Z12" s="12">
        <v>11</v>
      </c>
      <c r="AA12" s="262">
        <f>'計画書② (取組）'!C49</f>
        <v>0</v>
      </c>
      <c r="AB12" s="12" t="str">
        <f t="shared" si="0"/>
        <v/>
      </c>
      <c r="AC12" s="12" t="e">
        <f t="shared" si="1"/>
        <v>#VALUE!</v>
      </c>
      <c r="AM12" s="12" t="s">
        <v>5452</v>
      </c>
      <c r="AN12" s="229" t="s">
        <v>4926</v>
      </c>
      <c r="AO12" s="12">
        <f t="shared" si="2"/>
        <v>12</v>
      </c>
      <c r="AP12" s="12" t="str">
        <f t="shared" ca="1" si="3"/>
        <v xml:space="preserve">蒸気圧力・温度・供給量の管理 </v>
      </c>
      <c r="AS12" s="12">
        <v>11</v>
      </c>
      <c r="AT12" s="12" t="str">
        <f t="shared" si="4"/>
        <v/>
      </c>
      <c r="AU12" s="12" t="str">
        <f t="shared" si="5"/>
        <v/>
      </c>
      <c r="AV12" s="12" t="str">
        <f t="shared" si="6"/>
        <v/>
      </c>
      <c r="AZ12" s="12">
        <v>11</v>
      </c>
      <c r="BA12" s="266" t="str">
        <f>IF('報告書② 第1年度(取組）'!C121="","",'報告書② 第1年度(取組）'!C121&amp;"‡"&amp;'報告書② 第1年度(取組）'!D121)</f>
        <v/>
      </c>
      <c r="BB12" s="12" t="str">
        <f t="shared" si="7"/>
        <v/>
      </c>
      <c r="BC12" s="12" t="e">
        <f t="shared" si="8"/>
        <v>#VALUE!</v>
      </c>
      <c r="BD12" s="12">
        <f>'報告書② 第1年度(取組）'!D121</f>
        <v>0</v>
      </c>
      <c r="BE12" s="12" t="e">
        <f t="shared" si="9"/>
        <v>#VALUE!</v>
      </c>
      <c r="BI12" s="12">
        <v>11</v>
      </c>
      <c r="BJ12" s="12" t="str">
        <f t="shared" si="10"/>
        <v/>
      </c>
      <c r="BK12" s="12" t="str">
        <f t="shared" si="11"/>
        <v/>
      </c>
      <c r="BM12" s="27" t="s">
        <v>4147</v>
      </c>
      <c r="BO12" s="12">
        <f t="shared" si="12"/>
        <v>12</v>
      </c>
      <c r="BP12" s="12" t="str">
        <f t="shared" ca="1" si="13"/>
        <v>排出係数の小さい電気事業者の選択</v>
      </c>
      <c r="BS12" s="12">
        <v>11</v>
      </c>
      <c r="BT12" s="12" t="str">
        <f t="shared" si="14"/>
        <v/>
      </c>
      <c r="BU12" s="12" t="str">
        <f t="shared" si="15"/>
        <v/>
      </c>
      <c r="BV12" s="12" t="str">
        <f t="shared" si="16"/>
        <v/>
      </c>
      <c r="BW12" s="12" t="str">
        <f t="shared" si="17"/>
        <v/>
      </c>
      <c r="BX12" s="12" t="str">
        <f t="shared" si="18"/>
        <v/>
      </c>
      <c r="BY12" s="12" t="str">
        <f t="shared" si="19"/>
        <v/>
      </c>
    </row>
    <row r="13" spans="1:82">
      <c r="A13" s="12" t="s">
        <v>4034</v>
      </c>
      <c r="B13" s="12" t="s">
        <v>4212</v>
      </c>
      <c r="D13" s="12" t="s">
        <v>5452</v>
      </c>
      <c r="E13" s="229" t="s">
        <v>4926</v>
      </c>
      <c r="G13" s="12" t="s">
        <v>4950</v>
      </c>
      <c r="Z13" s="12">
        <v>12</v>
      </c>
      <c r="AA13" s="262">
        <f>'計画書② (取組）'!C50</f>
        <v>0</v>
      </c>
      <c r="AB13" s="12" t="str">
        <f t="shared" si="0"/>
        <v/>
      </c>
      <c r="AC13" s="12" t="e">
        <f t="shared" si="1"/>
        <v>#VALUE!</v>
      </c>
      <c r="AM13" s="12" t="s">
        <v>5453</v>
      </c>
      <c r="AN13" s="229" t="s">
        <v>4927</v>
      </c>
      <c r="AO13" s="12">
        <f t="shared" si="2"/>
        <v>13</v>
      </c>
      <c r="AP13" s="12" t="str">
        <f t="shared" ca="1" si="3"/>
        <v xml:space="preserve">使用しない蒸気配管の閉止 </v>
      </c>
      <c r="AS13" s="12">
        <v>12</v>
      </c>
      <c r="AT13" s="12" t="str">
        <f t="shared" si="4"/>
        <v/>
      </c>
      <c r="AU13" s="12" t="str">
        <f t="shared" si="5"/>
        <v/>
      </c>
      <c r="AV13" s="12" t="str">
        <f t="shared" si="6"/>
        <v/>
      </c>
      <c r="AZ13" s="12">
        <v>12</v>
      </c>
      <c r="BA13" s="266" t="str">
        <f>IF('報告書② 第1年度(取組）'!C122="","",'報告書② 第1年度(取組）'!C122&amp;"‡"&amp;'報告書② 第1年度(取組）'!D122)</f>
        <v/>
      </c>
      <c r="BB13" s="12" t="str">
        <f t="shared" si="7"/>
        <v/>
      </c>
      <c r="BC13" s="12" t="e">
        <f t="shared" si="8"/>
        <v>#VALUE!</v>
      </c>
      <c r="BD13" s="12">
        <f>'報告書② 第1年度(取組）'!D122</f>
        <v>0</v>
      </c>
      <c r="BE13" s="12" t="e">
        <f t="shared" si="9"/>
        <v>#VALUE!</v>
      </c>
      <c r="BI13" s="12">
        <v>12</v>
      </c>
      <c r="BJ13" s="12" t="str">
        <f t="shared" si="10"/>
        <v/>
      </c>
      <c r="BK13" s="12" t="str">
        <f t="shared" si="11"/>
        <v/>
      </c>
      <c r="BM13" s="27" t="s">
        <v>4148</v>
      </c>
      <c r="BO13" s="12">
        <f t="shared" si="12"/>
        <v>13</v>
      </c>
      <c r="BP13" s="12" t="str">
        <f t="shared" ca="1" si="13"/>
        <v>市が実施する環境関連事業への参画</v>
      </c>
      <c r="BS13" s="12">
        <v>12</v>
      </c>
      <c r="BT13" s="12" t="str">
        <f t="shared" si="14"/>
        <v/>
      </c>
      <c r="BU13" s="12" t="str">
        <f t="shared" si="15"/>
        <v/>
      </c>
      <c r="BV13" s="12" t="str">
        <f t="shared" si="16"/>
        <v/>
      </c>
      <c r="BW13" s="12" t="str">
        <f t="shared" si="17"/>
        <v/>
      </c>
      <c r="BX13" s="12" t="str">
        <f t="shared" si="18"/>
        <v/>
      </c>
      <c r="BY13" s="12" t="str">
        <f t="shared" si="19"/>
        <v/>
      </c>
    </row>
    <row r="14" spans="1:82">
      <c r="A14" s="12" t="s">
        <v>4035</v>
      </c>
      <c r="B14" s="12" t="s">
        <v>4213</v>
      </c>
      <c r="D14" s="12" t="s">
        <v>5453</v>
      </c>
      <c r="E14" s="229" t="s">
        <v>4927</v>
      </c>
      <c r="G14" s="12" t="s">
        <v>4148</v>
      </c>
      <c r="Z14" s="12">
        <v>13</v>
      </c>
      <c r="AA14" s="262">
        <f>'計画書② (取組）'!C51</f>
        <v>0</v>
      </c>
      <c r="AB14" s="12" t="str">
        <f t="shared" si="0"/>
        <v/>
      </c>
      <c r="AC14" s="12" t="e">
        <f t="shared" si="1"/>
        <v>#VALUE!</v>
      </c>
      <c r="AM14" s="12" t="s">
        <v>5454</v>
      </c>
      <c r="AN14" s="229" t="s">
        <v>4928</v>
      </c>
      <c r="AO14" s="12">
        <f t="shared" si="2"/>
        <v>14</v>
      </c>
      <c r="AP14" s="12" t="str">
        <f t="shared" ca="1" si="3"/>
        <v xml:space="preserve">蒸気配管の弁やフランジ等の保温・断熱強化 </v>
      </c>
      <c r="AS14" s="12">
        <v>13</v>
      </c>
      <c r="AT14" s="12" t="str">
        <f t="shared" si="4"/>
        <v/>
      </c>
      <c r="AU14" s="12" t="str">
        <f t="shared" si="5"/>
        <v/>
      </c>
      <c r="AV14" s="12" t="str">
        <f t="shared" si="6"/>
        <v/>
      </c>
      <c r="AZ14" s="12">
        <v>13</v>
      </c>
      <c r="BA14" s="266" t="str">
        <f>IF('報告書② 第1年度(取組）'!C123="","",'報告書② 第1年度(取組）'!C123&amp;"‡"&amp;'報告書② 第1年度(取組）'!D123)</f>
        <v/>
      </c>
      <c r="BB14" s="12" t="str">
        <f t="shared" si="7"/>
        <v/>
      </c>
      <c r="BC14" s="12" t="e">
        <f t="shared" si="8"/>
        <v>#VALUE!</v>
      </c>
      <c r="BD14" s="12">
        <f>'報告書② 第1年度(取組）'!D123</f>
        <v>0</v>
      </c>
      <c r="BE14" s="12" t="e">
        <f t="shared" si="9"/>
        <v>#VALUE!</v>
      </c>
      <c r="BI14" s="12">
        <v>13</v>
      </c>
      <c r="BJ14" s="12" t="str">
        <f t="shared" si="10"/>
        <v/>
      </c>
      <c r="BK14" s="12" t="str">
        <f t="shared" si="11"/>
        <v/>
      </c>
      <c r="BM14" s="27" t="s">
        <v>4149</v>
      </c>
      <c r="BO14" s="12">
        <f t="shared" si="12"/>
        <v>14</v>
      </c>
      <c r="BP14" s="12" t="str">
        <f t="shared" ca="1" si="13"/>
        <v>その他地球温暖化を防止する対策の実施</v>
      </c>
      <c r="BS14" s="12">
        <v>13</v>
      </c>
      <c r="BT14" s="12" t="str">
        <f t="shared" si="14"/>
        <v/>
      </c>
      <c r="BU14" s="12" t="str">
        <f t="shared" si="15"/>
        <v/>
      </c>
      <c r="BV14" s="12" t="str">
        <f t="shared" si="16"/>
        <v/>
      </c>
      <c r="BW14" s="12" t="str">
        <f t="shared" si="17"/>
        <v/>
      </c>
      <c r="BX14" s="12" t="str">
        <f t="shared" si="18"/>
        <v/>
      </c>
      <c r="BY14" s="12" t="str">
        <f t="shared" si="19"/>
        <v/>
      </c>
    </row>
    <row r="15" spans="1:82">
      <c r="A15" s="12" t="s">
        <v>4036</v>
      </c>
      <c r="B15" s="12" t="s">
        <v>4214</v>
      </c>
      <c r="D15" s="12" t="s">
        <v>5454</v>
      </c>
      <c r="E15" s="229" t="s">
        <v>4928</v>
      </c>
      <c r="G15" s="12" t="s">
        <v>4149</v>
      </c>
      <c r="Z15" s="12">
        <v>14</v>
      </c>
      <c r="AA15" s="262">
        <f>'計画書② (取組）'!C52</f>
        <v>0</v>
      </c>
      <c r="AB15" s="12" t="str">
        <f t="shared" si="0"/>
        <v/>
      </c>
      <c r="AC15" s="12" t="e">
        <f t="shared" si="1"/>
        <v>#VALUE!</v>
      </c>
      <c r="AM15" s="12" t="s">
        <v>5455</v>
      </c>
      <c r="AN15" s="229" t="s">
        <v>4218</v>
      </c>
      <c r="AO15" s="12">
        <f t="shared" si="2"/>
        <v>15</v>
      </c>
      <c r="AP15" s="12" t="str">
        <f t="shared" ca="1" si="3"/>
        <v xml:space="preserve">蒸気トラップの管理 </v>
      </c>
      <c r="AS15" s="12">
        <v>14</v>
      </c>
      <c r="AT15" s="12" t="str">
        <f t="shared" si="4"/>
        <v/>
      </c>
      <c r="AU15" s="12" t="str">
        <f t="shared" si="5"/>
        <v/>
      </c>
      <c r="AV15" s="12" t="str">
        <f t="shared" si="6"/>
        <v/>
      </c>
      <c r="AZ15" s="12">
        <v>14</v>
      </c>
      <c r="BA15" s="266" t="str">
        <f>IF('報告書② 第1年度(取組）'!C124="","",'報告書② 第1年度(取組）'!C124&amp;"‡"&amp;'報告書② 第1年度(取組）'!D124)</f>
        <v/>
      </c>
      <c r="BB15" s="12" t="str">
        <f t="shared" si="7"/>
        <v/>
      </c>
      <c r="BC15" s="12" t="e">
        <f t="shared" si="8"/>
        <v>#VALUE!</v>
      </c>
      <c r="BD15" s="12">
        <f>'報告書② 第1年度(取組）'!D124</f>
        <v>0</v>
      </c>
      <c r="BE15" s="12" t="e">
        <f t="shared" si="9"/>
        <v>#VALUE!</v>
      </c>
    </row>
    <row r="16" spans="1:82">
      <c r="A16" s="229"/>
      <c r="B16" s="229"/>
      <c r="D16" s="12" t="s">
        <v>5455</v>
      </c>
      <c r="E16" s="229" t="s">
        <v>4218</v>
      </c>
      <c r="Z16" s="12">
        <v>15</v>
      </c>
      <c r="AA16" s="262">
        <f>'計画書② (取組）'!C53</f>
        <v>0</v>
      </c>
      <c r="AB16" s="12" t="str">
        <f t="shared" si="0"/>
        <v/>
      </c>
      <c r="AC16" s="12" t="e">
        <f t="shared" si="1"/>
        <v>#VALUE!</v>
      </c>
      <c r="AM16" s="12" t="s">
        <v>5456</v>
      </c>
      <c r="AN16" s="229" t="s">
        <v>4929</v>
      </c>
      <c r="AO16" s="12">
        <f t="shared" si="2"/>
        <v>16</v>
      </c>
      <c r="AP16" s="12" t="str">
        <f t="shared" ca="1" si="3"/>
        <v xml:space="preserve">工業炉の断熱性能維持管理 </v>
      </c>
      <c r="AS16" s="12">
        <v>15</v>
      </c>
      <c r="AT16" s="12" t="str">
        <f t="shared" si="4"/>
        <v/>
      </c>
      <c r="AU16" s="12" t="str">
        <f t="shared" si="5"/>
        <v/>
      </c>
      <c r="AV16" s="12" t="str">
        <f t="shared" si="6"/>
        <v/>
      </c>
      <c r="AZ16" s="12">
        <v>15</v>
      </c>
      <c r="BA16" s="266" t="str">
        <f>IF('報告書② 第1年度(取組）'!C125="","",'報告書② 第1年度(取組）'!C125&amp;"‡"&amp;'報告書② 第1年度(取組）'!D125)</f>
        <v/>
      </c>
      <c r="BB16" s="12" t="str">
        <f t="shared" si="7"/>
        <v/>
      </c>
      <c r="BC16" s="12" t="e">
        <f t="shared" si="8"/>
        <v>#VALUE!</v>
      </c>
      <c r="BD16" s="12">
        <f>'報告書② 第1年度(取組）'!D125</f>
        <v>0</v>
      </c>
      <c r="BE16" s="12" t="e">
        <f t="shared" si="9"/>
        <v>#VALUE!</v>
      </c>
    </row>
    <row r="17" spans="1:65">
      <c r="A17" s="229"/>
      <c r="B17" s="229"/>
      <c r="D17" s="12" t="s">
        <v>5456</v>
      </c>
      <c r="E17" s="229" t="s">
        <v>4929</v>
      </c>
      <c r="Z17" s="12">
        <v>16</v>
      </c>
      <c r="AA17" s="262">
        <f>'計画書② (取組）'!C54</f>
        <v>0</v>
      </c>
      <c r="AB17" s="12" t="str">
        <f t="shared" si="0"/>
        <v/>
      </c>
      <c r="AC17" s="12" t="e">
        <f t="shared" si="1"/>
        <v>#VALUE!</v>
      </c>
      <c r="AM17" s="12" t="s">
        <v>5457</v>
      </c>
      <c r="AN17" s="229" t="s">
        <v>4930</v>
      </c>
      <c r="AO17" s="12">
        <f t="shared" si="2"/>
        <v>17</v>
      </c>
      <c r="AP17" s="12" t="str">
        <f t="shared" ca="1" si="3"/>
        <v xml:space="preserve">廃熱回収の管理 </v>
      </c>
      <c r="AS17" s="12">
        <v>16</v>
      </c>
      <c r="AT17" s="12" t="str">
        <f t="shared" si="4"/>
        <v/>
      </c>
      <c r="AU17" s="12" t="str">
        <f t="shared" si="5"/>
        <v/>
      </c>
      <c r="AV17" s="12" t="str">
        <f t="shared" si="6"/>
        <v/>
      </c>
      <c r="AZ17" s="12">
        <v>16</v>
      </c>
      <c r="BA17" s="266" t="str">
        <f>IF('報告書② 第1年度(取組）'!C126="","",'報告書② 第1年度(取組）'!C126&amp;"‡"&amp;'報告書② 第1年度(取組）'!D126)</f>
        <v/>
      </c>
      <c r="BB17" s="12" t="str">
        <f t="shared" si="7"/>
        <v/>
      </c>
      <c r="BC17" s="12" t="e">
        <f t="shared" si="8"/>
        <v>#VALUE!</v>
      </c>
      <c r="BD17" s="12">
        <f>'報告書② 第1年度(取組）'!D126</f>
        <v>0</v>
      </c>
      <c r="BE17" s="12" t="e">
        <f t="shared" si="9"/>
        <v>#VALUE!</v>
      </c>
      <c r="BM17" s="267"/>
    </row>
    <row r="18" spans="1:65">
      <c r="A18" s="229"/>
      <c r="B18" s="229"/>
      <c r="D18" s="12" t="s">
        <v>5457</v>
      </c>
      <c r="E18" s="229" t="s">
        <v>4930</v>
      </c>
      <c r="Z18" s="12">
        <v>17</v>
      </c>
      <c r="AA18" s="262">
        <f>'計画書② (取組）'!C55</f>
        <v>0</v>
      </c>
      <c r="AB18" s="12" t="str">
        <f t="shared" si="0"/>
        <v/>
      </c>
      <c r="AC18" s="12" t="e">
        <f t="shared" si="1"/>
        <v>#VALUE!</v>
      </c>
      <c r="AM18" s="12" t="s">
        <v>5458</v>
      </c>
      <c r="AN18" s="229" t="s">
        <v>4219</v>
      </c>
      <c r="AO18" s="12">
        <f t="shared" si="2"/>
        <v>18</v>
      </c>
      <c r="AP18" s="12" t="str">
        <f t="shared" ca="1" si="3"/>
        <v xml:space="preserve">再熱除湿運転回避 </v>
      </c>
      <c r="AS18" s="12">
        <v>17</v>
      </c>
      <c r="AT18" s="12" t="str">
        <f t="shared" si="4"/>
        <v/>
      </c>
      <c r="AU18" s="12" t="str">
        <f t="shared" si="5"/>
        <v/>
      </c>
      <c r="AV18" s="12" t="str">
        <f t="shared" si="6"/>
        <v/>
      </c>
      <c r="AZ18" s="12">
        <v>17</v>
      </c>
      <c r="BA18" s="266" t="str">
        <f>IF('報告書② 第1年度(取組）'!C127="","",'報告書② 第1年度(取組）'!C127&amp;"‡"&amp;'報告書② 第1年度(取組）'!D127)</f>
        <v/>
      </c>
      <c r="BB18" s="12" t="str">
        <f t="shared" si="7"/>
        <v/>
      </c>
      <c r="BC18" s="12" t="e">
        <f t="shared" si="8"/>
        <v>#VALUE!</v>
      </c>
      <c r="BD18" s="12">
        <f>'報告書② 第1年度(取組）'!D127</f>
        <v>0</v>
      </c>
      <c r="BE18" s="12" t="e">
        <f t="shared" si="9"/>
        <v>#VALUE!</v>
      </c>
    </row>
    <row r="19" spans="1:65">
      <c r="A19" s="229"/>
      <c r="B19" s="229"/>
      <c r="D19" s="12" t="s">
        <v>5458</v>
      </c>
      <c r="E19" s="229" t="s">
        <v>4219</v>
      </c>
      <c r="Z19" s="12">
        <v>18</v>
      </c>
      <c r="AA19" s="262">
        <f>'計画書② (取組）'!C56</f>
        <v>0</v>
      </c>
      <c r="AB19" s="12" t="str">
        <f t="shared" si="0"/>
        <v/>
      </c>
      <c r="AC19" s="12" t="e">
        <f t="shared" si="1"/>
        <v>#VALUE!</v>
      </c>
      <c r="AM19" s="12" t="s">
        <v>5459</v>
      </c>
      <c r="AN19" s="229" t="s">
        <v>4220</v>
      </c>
      <c r="AO19" s="12">
        <f t="shared" si="2"/>
        <v>19</v>
      </c>
      <c r="AP19" s="12" t="str">
        <f t="shared" ca="1" si="3"/>
        <v xml:space="preserve">外気冷房 </v>
      </c>
      <c r="AS19" s="12">
        <v>18</v>
      </c>
      <c r="AT19" s="12" t="str">
        <f t="shared" si="4"/>
        <v/>
      </c>
      <c r="AU19" s="12" t="str">
        <f t="shared" si="5"/>
        <v/>
      </c>
      <c r="AV19" s="12" t="str">
        <f t="shared" si="6"/>
        <v/>
      </c>
      <c r="AZ19" s="12">
        <v>18</v>
      </c>
      <c r="BA19" s="266" t="str">
        <f>IF('報告書② 第1年度(取組）'!C128="","",'報告書② 第1年度(取組）'!C128&amp;"‡"&amp;'報告書② 第1年度(取組）'!D128)</f>
        <v/>
      </c>
      <c r="BB19" s="12" t="str">
        <f t="shared" si="7"/>
        <v/>
      </c>
      <c r="BC19" s="12" t="e">
        <f t="shared" si="8"/>
        <v>#VALUE!</v>
      </c>
      <c r="BD19" s="12">
        <f>'報告書② 第1年度(取組）'!D128</f>
        <v>0</v>
      </c>
      <c r="BE19" s="12" t="e">
        <f t="shared" si="9"/>
        <v>#VALUE!</v>
      </c>
      <c r="BM19" s="267"/>
    </row>
    <row r="20" spans="1:65">
      <c r="A20" s="229"/>
      <c r="B20" s="229"/>
      <c r="D20" s="12" t="s">
        <v>5459</v>
      </c>
      <c r="E20" s="229" t="s">
        <v>4220</v>
      </c>
      <c r="Z20" s="12">
        <v>19</v>
      </c>
      <c r="AA20" s="262">
        <f>'計画書② (取組）'!C57</f>
        <v>0</v>
      </c>
      <c r="AB20" s="12" t="str">
        <f t="shared" si="0"/>
        <v/>
      </c>
      <c r="AC20" s="12" t="e">
        <f t="shared" si="1"/>
        <v>#VALUE!</v>
      </c>
      <c r="AM20" s="12" t="s">
        <v>5460</v>
      </c>
      <c r="AN20" s="229" t="s">
        <v>4931</v>
      </c>
      <c r="AO20" s="12">
        <f t="shared" si="2"/>
        <v>20</v>
      </c>
      <c r="AP20" s="12" t="str">
        <f t="shared" ca="1" si="3"/>
        <v xml:space="preserve">設備運転時間の管理 </v>
      </c>
      <c r="AS20" s="12">
        <v>19</v>
      </c>
      <c r="AT20" s="12" t="str">
        <f t="shared" si="4"/>
        <v/>
      </c>
      <c r="AU20" s="12" t="str">
        <f t="shared" si="5"/>
        <v/>
      </c>
      <c r="AV20" s="12" t="str">
        <f t="shared" si="6"/>
        <v/>
      </c>
      <c r="AZ20" s="12">
        <v>19</v>
      </c>
      <c r="BA20" s="266" t="str">
        <f>IF('報告書② 第1年度(取組）'!C129="","",'報告書② 第1年度(取組）'!C129&amp;"‡"&amp;'報告書② 第1年度(取組）'!D129)</f>
        <v/>
      </c>
      <c r="BB20" s="12" t="str">
        <f t="shared" si="7"/>
        <v/>
      </c>
      <c r="BC20" s="12" t="e">
        <f t="shared" si="8"/>
        <v>#VALUE!</v>
      </c>
      <c r="BD20" s="12">
        <f>'報告書② 第1年度(取組）'!D129</f>
        <v>0</v>
      </c>
      <c r="BE20" s="12" t="e">
        <f t="shared" si="9"/>
        <v>#VALUE!</v>
      </c>
    </row>
    <row r="21" spans="1:65">
      <c r="A21" s="229"/>
      <c r="B21" s="229"/>
      <c r="D21" s="12" t="s">
        <v>5460</v>
      </c>
      <c r="E21" s="229" t="s">
        <v>4931</v>
      </c>
      <c r="Z21" s="12">
        <v>20</v>
      </c>
      <c r="AA21" s="262">
        <f>'計画書② (取組）'!C58</f>
        <v>0</v>
      </c>
      <c r="AB21" s="12" t="str">
        <f t="shared" si="0"/>
        <v/>
      </c>
      <c r="AC21" s="12" t="e">
        <f t="shared" si="1"/>
        <v>#VALUE!</v>
      </c>
      <c r="AM21" s="12" t="s">
        <v>5461</v>
      </c>
      <c r="AN21" s="229" t="s">
        <v>4932</v>
      </c>
      <c r="AO21" s="12">
        <f t="shared" si="2"/>
        <v>21</v>
      </c>
      <c r="AP21" s="12" t="str">
        <f t="shared" ca="1" si="3"/>
        <v xml:space="preserve">熱源設備に組み込まれた燃焼機器の運転管理 </v>
      </c>
      <c r="AS21" s="12">
        <v>20</v>
      </c>
      <c r="AT21" s="12" t="str">
        <f t="shared" si="4"/>
        <v/>
      </c>
      <c r="AU21" s="12" t="str">
        <f t="shared" si="5"/>
        <v/>
      </c>
      <c r="AV21" s="12" t="str">
        <f t="shared" si="6"/>
        <v/>
      </c>
      <c r="AZ21" s="12">
        <v>20</v>
      </c>
      <c r="BA21" s="266" t="str">
        <f>IF('報告書② 第1年度(取組）'!C130="","",'報告書② 第1年度(取組）'!C130&amp;"‡"&amp;'報告書② 第1年度(取組）'!D130)</f>
        <v/>
      </c>
      <c r="BB21" s="12" t="str">
        <f t="shared" si="7"/>
        <v/>
      </c>
      <c r="BC21" s="12" t="e">
        <f t="shared" si="8"/>
        <v>#VALUE!</v>
      </c>
      <c r="BD21" s="12">
        <f>'報告書② 第1年度(取組）'!D130</f>
        <v>0</v>
      </c>
      <c r="BE21" s="12" t="e">
        <f t="shared" si="9"/>
        <v>#VALUE!</v>
      </c>
    </row>
    <row r="22" spans="1:65">
      <c r="A22" s="229"/>
      <c r="B22" s="229"/>
      <c r="D22" s="12" t="s">
        <v>5461</v>
      </c>
      <c r="E22" s="229" t="s">
        <v>4932</v>
      </c>
      <c r="Z22" s="12">
        <v>21</v>
      </c>
      <c r="AA22" s="266">
        <f>'報告書② 第1年度(取組）'!C91</f>
        <v>0</v>
      </c>
      <c r="AB22" s="12" t="str">
        <f t="shared" si="0"/>
        <v/>
      </c>
      <c r="AC22" s="12" t="e">
        <f t="shared" si="1"/>
        <v>#VALUE!</v>
      </c>
      <c r="AM22" s="12" t="s">
        <v>5462</v>
      </c>
      <c r="AN22" s="229" t="s">
        <v>4933</v>
      </c>
      <c r="AO22" s="12">
        <f t="shared" si="2"/>
        <v>22</v>
      </c>
      <c r="AP22" s="12" t="str">
        <f t="shared" ca="1" si="3"/>
        <v xml:space="preserve">熱源設備の運転時間管理 </v>
      </c>
      <c r="AS22" s="12">
        <v>21</v>
      </c>
      <c r="AT22" s="12" t="str">
        <f t="shared" si="4"/>
        <v/>
      </c>
      <c r="AU22" s="12" t="str">
        <f t="shared" si="5"/>
        <v/>
      </c>
      <c r="AV22" s="12" t="str">
        <f t="shared" si="6"/>
        <v/>
      </c>
      <c r="AZ22" s="12">
        <v>21</v>
      </c>
      <c r="BA22" s="265" t="str">
        <f>IF('報告書② 第2年度(取組）'!C121="","",'報告書② 第2年度(取組）'!C121&amp;"‡"&amp;'報告書② 第2年度(取組）'!D121)</f>
        <v/>
      </c>
      <c r="BB22" s="12" t="str">
        <f t="shared" si="7"/>
        <v/>
      </c>
      <c r="BC22" s="12" t="e">
        <f t="shared" si="8"/>
        <v>#VALUE!</v>
      </c>
      <c r="BD22" s="12">
        <f>'報告書② 第2年度(取組）'!D121</f>
        <v>0</v>
      </c>
      <c r="BE22" s="12" t="e">
        <f t="shared" si="9"/>
        <v>#VALUE!</v>
      </c>
    </row>
    <row r="23" spans="1:65">
      <c r="A23" s="229"/>
      <c r="B23" s="229"/>
      <c r="D23" s="12" t="s">
        <v>5462</v>
      </c>
      <c r="E23" s="229" t="s">
        <v>4933</v>
      </c>
      <c r="Z23" s="12">
        <v>22</v>
      </c>
      <c r="AA23" s="266">
        <f>'報告書② 第1年度(取組）'!C92</f>
        <v>0</v>
      </c>
      <c r="AB23" s="12" t="str">
        <f t="shared" si="0"/>
        <v/>
      </c>
      <c r="AC23" s="12" t="e">
        <f t="shared" si="1"/>
        <v>#VALUE!</v>
      </c>
      <c r="AM23" s="12" t="s">
        <v>5463</v>
      </c>
      <c r="AN23" s="229" t="s">
        <v>4934</v>
      </c>
      <c r="AO23" s="12">
        <f t="shared" si="2"/>
        <v>23</v>
      </c>
      <c r="AP23" s="12" t="str">
        <f t="shared" ca="1" si="3"/>
        <v xml:space="preserve">冷水出口温度の管理 </v>
      </c>
      <c r="AS23" s="12">
        <v>22</v>
      </c>
      <c r="AT23" s="12" t="str">
        <f t="shared" si="4"/>
        <v/>
      </c>
      <c r="AU23" s="12" t="str">
        <f t="shared" si="5"/>
        <v/>
      </c>
      <c r="AV23" s="12" t="str">
        <f t="shared" si="6"/>
        <v/>
      </c>
      <c r="AZ23" s="12">
        <v>22</v>
      </c>
      <c r="BA23" s="265" t="str">
        <f>IF('報告書② 第2年度(取組）'!C122="","",'報告書② 第2年度(取組）'!C122&amp;"‡"&amp;'報告書② 第2年度(取組）'!D122)</f>
        <v/>
      </c>
      <c r="BB23" s="12" t="str">
        <f t="shared" si="7"/>
        <v/>
      </c>
      <c r="BC23" s="12" t="e">
        <f t="shared" si="8"/>
        <v>#VALUE!</v>
      </c>
      <c r="BD23" s="12">
        <f>'報告書② 第2年度(取組）'!D122</f>
        <v>0</v>
      </c>
      <c r="BE23" s="12" t="e">
        <f t="shared" si="9"/>
        <v>#VALUE!</v>
      </c>
    </row>
    <row r="24" spans="1:65">
      <c r="A24" s="229"/>
      <c r="B24" s="229"/>
      <c r="D24" s="12" t="s">
        <v>5463</v>
      </c>
      <c r="E24" s="229" t="s">
        <v>4934</v>
      </c>
      <c r="Z24" s="12">
        <v>23</v>
      </c>
      <c r="AA24" s="266">
        <f>'報告書② 第1年度(取組）'!C93</f>
        <v>0</v>
      </c>
      <c r="AB24" s="12" t="str">
        <f t="shared" si="0"/>
        <v/>
      </c>
      <c r="AC24" s="12" t="e">
        <f t="shared" si="1"/>
        <v>#VALUE!</v>
      </c>
      <c r="AM24" s="12" t="s">
        <v>5464</v>
      </c>
      <c r="AN24" s="229" t="s">
        <v>4935</v>
      </c>
      <c r="AO24" s="12">
        <f t="shared" si="2"/>
        <v>24</v>
      </c>
      <c r="AP24" s="12" t="str">
        <f t="shared" ca="1" si="3"/>
        <v xml:space="preserve">熱源設備 冷却水温度の適正管理 </v>
      </c>
      <c r="AS24" s="12">
        <v>23</v>
      </c>
      <c r="AT24" s="12" t="str">
        <f t="shared" si="4"/>
        <v/>
      </c>
      <c r="AU24" s="12" t="str">
        <f t="shared" si="5"/>
        <v/>
      </c>
      <c r="AV24" s="12" t="str">
        <f t="shared" si="6"/>
        <v/>
      </c>
      <c r="AZ24" s="12">
        <v>23</v>
      </c>
      <c r="BA24" s="265" t="str">
        <f>IF('報告書② 第2年度(取組）'!C123="","",'報告書② 第2年度(取組）'!C123&amp;"‡"&amp;'報告書② 第2年度(取組）'!D123)</f>
        <v/>
      </c>
      <c r="BB24" s="12" t="str">
        <f t="shared" si="7"/>
        <v/>
      </c>
      <c r="BC24" s="12" t="e">
        <f t="shared" si="8"/>
        <v>#VALUE!</v>
      </c>
      <c r="BD24" s="12">
        <f>'報告書② 第2年度(取組）'!D123</f>
        <v>0</v>
      </c>
      <c r="BE24" s="12" t="e">
        <f t="shared" si="9"/>
        <v>#VALUE!</v>
      </c>
    </row>
    <row r="25" spans="1:65">
      <c r="A25" s="229"/>
      <c r="B25" s="229"/>
      <c r="D25" s="12" t="s">
        <v>5464</v>
      </c>
      <c r="E25" s="229" t="s">
        <v>4935</v>
      </c>
      <c r="Z25" s="12">
        <v>24</v>
      </c>
      <c r="AA25" s="266">
        <f>'報告書② 第1年度(取組）'!C94</f>
        <v>0</v>
      </c>
      <c r="AB25" s="12" t="str">
        <f t="shared" si="0"/>
        <v/>
      </c>
      <c r="AC25" s="12" t="e">
        <f t="shared" si="1"/>
        <v>#VALUE!</v>
      </c>
      <c r="AM25" s="12" t="s">
        <v>5465</v>
      </c>
      <c r="AN25" s="229" t="s">
        <v>4936</v>
      </c>
      <c r="AO25" s="12">
        <f t="shared" si="2"/>
        <v>25</v>
      </c>
      <c r="AP25" s="12" t="str">
        <f t="shared" ca="1" si="3"/>
        <v xml:space="preserve">熱源設備 冷却水の水質管理 </v>
      </c>
      <c r="AS25" s="12">
        <v>24</v>
      </c>
      <c r="AT25" s="12" t="str">
        <f t="shared" si="4"/>
        <v/>
      </c>
      <c r="AU25" s="12" t="str">
        <f t="shared" si="5"/>
        <v/>
      </c>
      <c r="AV25" s="12" t="str">
        <f t="shared" si="6"/>
        <v/>
      </c>
      <c r="AZ25" s="12">
        <v>24</v>
      </c>
      <c r="BA25" s="265" t="str">
        <f>IF('報告書② 第2年度(取組）'!C124="","",'報告書② 第2年度(取組）'!C124&amp;"‡"&amp;'報告書② 第2年度(取組）'!D124)</f>
        <v/>
      </c>
      <c r="BB25" s="12" t="str">
        <f t="shared" si="7"/>
        <v/>
      </c>
      <c r="BC25" s="12" t="e">
        <f t="shared" si="8"/>
        <v>#VALUE!</v>
      </c>
      <c r="BD25" s="12">
        <f>'報告書② 第2年度(取組）'!D124</f>
        <v>0</v>
      </c>
      <c r="BE25" s="12" t="e">
        <f t="shared" si="9"/>
        <v>#VALUE!</v>
      </c>
    </row>
    <row r="26" spans="1:65">
      <c r="A26" s="229"/>
      <c r="B26" s="229"/>
      <c r="D26" s="12" t="s">
        <v>5465</v>
      </c>
      <c r="E26" s="229" t="s">
        <v>4936</v>
      </c>
      <c r="Z26" s="12">
        <v>25</v>
      </c>
      <c r="AA26" s="266">
        <f>'報告書② 第1年度(取組）'!C95</f>
        <v>0</v>
      </c>
      <c r="AB26" s="12" t="str">
        <f t="shared" si="0"/>
        <v/>
      </c>
      <c r="AC26" s="12" t="e">
        <f t="shared" si="1"/>
        <v>#VALUE!</v>
      </c>
      <c r="AM26" s="12" t="s">
        <v>5466</v>
      </c>
      <c r="AN26" s="229" t="s">
        <v>4221</v>
      </c>
      <c r="AO26" s="12">
        <f>IF(ISERROR(MATCH(AM26,$AA$2:$AA$81,0)),ROW(),"")</f>
        <v>26</v>
      </c>
      <c r="AP26" s="12" t="str">
        <f t="shared" ca="1" si="3"/>
        <v xml:space="preserve">冷温水ポンプの回転数制御、自動流量制御 </v>
      </c>
      <c r="AS26" s="12">
        <v>25</v>
      </c>
      <c r="AT26" s="12" t="str">
        <f t="shared" si="4"/>
        <v/>
      </c>
      <c r="AU26" s="12" t="str">
        <f t="shared" si="5"/>
        <v/>
      </c>
      <c r="AV26" s="12" t="str">
        <f t="shared" si="6"/>
        <v/>
      </c>
      <c r="AZ26" s="12">
        <v>25</v>
      </c>
      <c r="BA26" s="265" t="str">
        <f>IF('報告書② 第2年度(取組）'!C125="","",'報告書② 第2年度(取組）'!C125&amp;"‡"&amp;'報告書② 第2年度(取組）'!D125)</f>
        <v/>
      </c>
      <c r="BB26" s="12" t="str">
        <f t="shared" si="7"/>
        <v/>
      </c>
      <c r="BC26" s="12" t="e">
        <f t="shared" si="8"/>
        <v>#VALUE!</v>
      </c>
      <c r="BD26" s="12">
        <f>'報告書② 第2年度(取組）'!D125</f>
        <v>0</v>
      </c>
      <c r="BE26" s="12" t="e">
        <f t="shared" si="9"/>
        <v>#VALUE!</v>
      </c>
    </row>
    <row r="27" spans="1:65">
      <c r="A27" s="229"/>
      <c r="B27" s="229"/>
      <c r="D27" s="12" t="s">
        <v>5466</v>
      </c>
      <c r="E27" s="229" t="s">
        <v>4221</v>
      </c>
      <c r="Z27" s="12">
        <v>26</v>
      </c>
      <c r="AA27" s="266">
        <f>'報告書② 第1年度(取組）'!C96</f>
        <v>0</v>
      </c>
      <c r="AB27" s="12" t="str">
        <f t="shared" si="0"/>
        <v/>
      </c>
      <c r="AC27" s="12" t="e">
        <f t="shared" si="1"/>
        <v>#VALUE!</v>
      </c>
      <c r="AM27" s="12" t="s">
        <v>5467</v>
      </c>
      <c r="AN27" s="12" t="s">
        <v>4937</v>
      </c>
      <c r="AO27" s="12">
        <f t="shared" ref="AO27:AO44" si="20">IF(ISERROR(MATCH(AM27,$AA$2:$AA$81,0)),ROW(),"")</f>
        <v>27</v>
      </c>
      <c r="AP27" s="12" t="str">
        <f ca="1">IFERROR(INDIRECT("AM"&amp;SMALL($AO$2:$AO$44,ROW()-1)),"")</f>
        <v xml:space="preserve">コンプレッサーの運転圧力の管理  </v>
      </c>
      <c r="AS27" s="12">
        <v>26</v>
      </c>
      <c r="AZ27" s="12">
        <v>26</v>
      </c>
      <c r="BA27" s="265" t="str">
        <f>IF('報告書② 第2年度(取組）'!C126="","",'報告書② 第2年度(取組）'!C126&amp;"‡"&amp;'報告書② 第2年度(取組）'!D126)</f>
        <v/>
      </c>
      <c r="BB27" s="12" t="str">
        <f t="shared" si="7"/>
        <v/>
      </c>
      <c r="BC27" s="12" t="e">
        <f t="shared" si="8"/>
        <v>#VALUE!</v>
      </c>
      <c r="BD27" s="12">
        <f>'報告書② 第2年度(取組）'!D126</f>
        <v>0</v>
      </c>
      <c r="BE27" s="12" t="e">
        <f t="shared" si="9"/>
        <v>#VALUE!</v>
      </c>
    </row>
    <row r="28" spans="1:65">
      <c r="A28" s="229"/>
      <c r="B28" s="229"/>
      <c r="D28" s="12" t="s">
        <v>5467</v>
      </c>
      <c r="E28" s="12" t="s">
        <v>4937</v>
      </c>
      <c r="Z28" s="12">
        <v>27</v>
      </c>
      <c r="AA28" s="266">
        <f>'報告書② 第1年度(取組）'!C97</f>
        <v>0</v>
      </c>
      <c r="AB28" s="12" t="str">
        <f t="shared" si="0"/>
        <v/>
      </c>
      <c r="AC28" s="12" t="e">
        <f t="shared" si="1"/>
        <v>#VALUE!</v>
      </c>
      <c r="AM28" s="12" t="s">
        <v>5468</v>
      </c>
      <c r="AN28" s="12" t="s">
        <v>4938</v>
      </c>
      <c r="AO28" s="12">
        <f t="shared" si="20"/>
        <v>28</v>
      </c>
      <c r="AP28" s="12" t="str">
        <f t="shared" ca="1" si="3"/>
        <v xml:space="preserve">非稼働エリアへの圧縮空気供給管理 </v>
      </c>
      <c r="AS28" s="12">
        <v>27</v>
      </c>
      <c r="AZ28" s="12">
        <v>27</v>
      </c>
      <c r="BA28" s="265" t="str">
        <f>IF('報告書② 第2年度(取組）'!C127="","",'報告書② 第2年度(取組）'!C127&amp;"‡"&amp;'報告書② 第2年度(取組）'!D127)</f>
        <v/>
      </c>
      <c r="BB28" s="12" t="str">
        <f t="shared" si="7"/>
        <v/>
      </c>
      <c r="BC28" s="12" t="e">
        <f t="shared" si="8"/>
        <v>#VALUE!</v>
      </c>
      <c r="BD28" s="12">
        <f>'報告書② 第2年度(取組）'!D127</f>
        <v>0</v>
      </c>
      <c r="BE28" s="12" t="e">
        <f t="shared" si="9"/>
        <v>#VALUE!</v>
      </c>
    </row>
    <row r="29" spans="1:65">
      <c r="A29" s="229"/>
      <c r="B29" s="229"/>
      <c r="D29" s="12" t="s">
        <v>5468</v>
      </c>
      <c r="E29" s="12" t="s">
        <v>4938</v>
      </c>
      <c r="Z29" s="12">
        <v>28</v>
      </c>
      <c r="AA29" s="266">
        <f>'報告書② 第1年度(取組）'!C98</f>
        <v>0</v>
      </c>
      <c r="AB29" s="12" t="str">
        <f t="shared" si="0"/>
        <v/>
      </c>
      <c r="AC29" s="12" t="e">
        <f t="shared" si="1"/>
        <v>#VALUE!</v>
      </c>
      <c r="AM29" s="12" t="s">
        <v>5469</v>
      </c>
      <c r="AN29" s="12" t="s">
        <v>4939</v>
      </c>
      <c r="AO29" s="12">
        <f t="shared" si="20"/>
        <v>29</v>
      </c>
      <c r="AP29" s="12" t="str">
        <f t="shared" ca="1" si="3"/>
        <v xml:space="preserve">コンプレッサー吸気温度の管理 </v>
      </c>
      <c r="AS29" s="12">
        <v>28</v>
      </c>
      <c r="AZ29" s="12">
        <v>28</v>
      </c>
      <c r="BA29" s="265" t="str">
        <f>IF('報告書② 第2年度(取組）'!C128="","",'報告書② 第2年度(取組）'!C128&amp;"‡"&amp;'報告書② 第2年度(取組）'!D128)</f>
        <v/>
      </c>
      <c r="BB29" s="12" t="str">
        <f t="shared" si="7"/>
        <v/>
      </c>
      <c r="BC29" s="12" t="e">
        <f t="shared" si="8"/>
        <v>#VALUE!</v>
      </c>
      <c r="BD29" s="12">
        <f>'報告書② 第2年度(取組）'!D128</f>
        <v>0</v>
      </c>
      <c r="BE29" s="12" t="e">
        <f t="shared" si="9"/>
        <v>#VALUE!</v>
      </c>
    </row>
    <row r="30" spans="1:65">
      <c r="A30" s="229"/>
      <c r="B30" s="229"/>
      <c r="D30" s="12" t="s">
        <v>5469</v>
      </c>
      <c r="E30" s="12" t="s">
        <v>4939</v>
      </c>
      <c r="Z30" s="12">
        <v>29</v>
      </c>
      <c r="AA30" s="266">
        <f>'報告書② 第1年度(取組）'!C99</f>
        <v>0</v>
      </c>
      <c r="AB30" s="12" t="str">
        <f t="shared" si="0"/>
        <v/>
      </c>
      <c r="AC30" s="12" t="e">
        <f t="shared" si="1"/>
        <v>#VALUE!</v>
      </c>
      <c r="AM30" s="12" t="s">
        <v>5470</v>
      </c>
      <c r="AN30" s="12" t="s">
        <v>4940</v>
      </c>
      <c r="AO30" s="12">
        <f t="shared" si="20"/>
        <v>30</v>
      </c>
      <c r="AP30" s="12" t="str">
        <f t="shared" ca="1" si="3"/>
        <v xml:space="preserve">圧縮空気系統の保全管理 </v>
      </c>
      <c r="AS30" s="12">
        <v>29</v>
      </c>
      <c r="AZ30" s="12">
        <v>29</v>
      </c>
      <c r="BA30" s="265" t="str">
        <f>IF('報告書② 第2年度(取組）'!C129="","",'報告書② 第2年度(取組）'!C129&amp;"‡"&amp;'報告書② 第2年度(取組）'!D129)</f>
        <v/>
      </c>
      <c r="BB30" s="12" t="str">
        <f t="shared" si="7"/>
        <v/>
      </c>
      <c r="BC30" s="12" t="e">
        <f t="shared" si="8"/>
        <v>#VALUE!</v>
      </c>
      <c r="BD30" s="12">
        <f>'報告書② 第2年度(取組）'!D129</f>
        <v>0</v>
      </c>
      <c r="BE30" s="12" t="e">
        <f t="shared" si="9"/>
        <v>#VALUE!</v>
      </c>
    </row>
    <row r="31" spans="1:65">
      <c r="A31" s="229"/>
      <c r="B31" s="229"/>
      <c r="D31" s="12" t="s">
        <v>5470</v>
      </c>
      <c r="E31" s="12" t="s">
        <v>4940</v>
      </c>
      <c r="Z31" s="12">
        <v>30</v>
      </c>
      <c r="AA31" s="266">
        <f>'報告書② 第1年度(取組）'!C100</f>
        <v>0</v>
      </c>
      <c r="AB31" s="12" t="str">
        <f t="shared" si="0"/>
        <v/>
      </c>
      <c r="AC31" s="12" t="e">
        <f t="shared" si="1"/>
        <v>#VALUE!</v>
      </c>
      <c r="AM31" s="12" t="s">
        <v>5471</v>
      </c>
      <c r="AN31" s="12" t="s">
        <v>4941</v>
      </c>
      <c r="AO31" s="12">
        <f t="shared" si="20"/>
        <v>31</v>
      </c>
      <c r="AP31" s="12" t="str">
        <f t="shared" ca="1" si="3"/>
        <v xml:space="preserve">ポンプ、ファン、ブロワの吐出圧力、供給量の管理 </v>
      </c>
      <c r="AS31" s="12">
        <v>30</v>
      </c>
      <c r="AZ31" s="12">
        <v>30</v>
      </c>
      <c r="BA31" s="265" t="str">
        <f>IF('報告書② 第2年度(取組）'!C130="","",'報告書② 第2年度(取組）'!C130&amp;"‡"&amp;'報告書② 第2年度(取組）'!D130)</f>
        <v/>
      </c>
      <c r="BB31" s="12" t="str">
        <f t="shared" si="7"/>
        <v/>
      </c>
      <c r="BC31" s="12" t="e">
        <f t="shared" si="8"/>
        <v>#VALUE!</v>
      </c>
      <c r="BD31" s="12">
        <f>'報告書② 第2年度(取組）'!D130</f>
        <v>0</v>
      </c>
      <c r="BE31" s="12" t="e">
        <f t="shared" si="9"/>
        <v>#VALUE!</v>
      </c>
    </row>
    <row r="32" spans="1:65">
      <c r="A32" s="229"/>
      <c r="B32" s="229"/>
      <c r="D32" s="12" t="s">
        <v>5471</v>
      </c>
      <c r="E32" s="12" t="s">
        <v>4941</v>
      </c>
      <c r="Z32" s="12">
        <v>31</v>
      </c>
      <c r="AA32" s="266">
        <f>'報告書② 第1年度(取組）'!C101</f>
        <v>0</v>
      </c>
      <c r="AB32" s="12" t="str">
        <f t="shared" si="0"/>
        <v/>
      </c>
      <c r="AC32" s="12" t="e">
        <f t="shared" si="1"/>
        <v>#VALUE!</v>
      </c>
      <c r="AM32" s="12" t="s">
        <v>5472</v>
      </c>
      <c r="AN32" s="12" t="s">
        <v>4942</v>
      </c>
      <c r="AO32" s="12">
        <f t="shared" si="20"/>
        <v>32</v>
      </c>
      <c r="AP32" s="12" t="str">
        <f t="shared" ca="1" si="3"/>
        <v xml:space="preserve">ポンプ、給水系統の保全管理 </v>
      </c>
      <c r="AS32" s="12">
        <v>31</v>
      </c>
      <c r="AZ32" s="12">
        <v>31</v>
      </c>
      <c r="BA32" s="268" t="str">
        <f>IF('報告書② 第3年度(取組）'!C121="","",'報告書② 第3年度(取組）'!C121&amp;"‡"&amp;'報告書② 第3年度(取組）'!D121)</f>
        <v/>
      </c>
      <c r="BB32" s="12" t="str">
        <f t="shared" si="7"/>
        <v/>
      </c>
      <c r="BC32" s="12" t="e">
        <f t="shared" si="8"/>
        <v>#VALUE!</v>
      </c>
      <c r="BD32" s="12">
        <f>'報告書② 第3年度(取組）'!D121</f>
        <v>0</v>
      </c>
      <c r="BE32" s="12" t="e">
        <f t="shared" si="9"/>
        <v>#VALUE!</v>
      </c>
    </row>
    <row r="33" spans="4:57">
      <c r="D33" s="12" t="s">
        <v>5472</v>
      </c>
      <c r="E33" s="12" t="s">
        <v>4942</v>
      </c>
      <c r="Z33" s="12">
        <v>32</v>
      </c>
      <c r="AA33" s="266">
        <f>'報告書② 第1年度(取組）'!C102</f>
        <v>0</v>
      </c>
      <c r="AB33" s="12" t="str">
        <f t="shared" si="0"/>
        <v/>
      </c>
      <c r="AC33" s="12" t="e">
        <f t="shared" si="1"/>
        <v>#VALUE!</v>
      </c>
      <c r="AM33" s="12" t="s">
        <v>5473</v>
      </c>
      <c r="AN33" s="12" t="s">
        <v>4943</v>
      </c>
      <c r="AO33" s="12">
        <f t="shared" si="20"/>
        <v>33</v>
      </c>
      <c r="AP33" s="12" t="str">
        <f t="shared" ca="1" si="3"/>
        <v xml:space="preserve">ファン、ブロワ、給気系統の保全管理 </v>
      </c>
      <c r="AS33" s="12">
        <v>32</v>
      </c>
      <c r="AZ33" s="12">
        <v>32</v>
      </c>
      <c r="BA33" s="268" t="str">
        <f>IF('報告書② 第3年度(取組）'!C122="","",'報告書② 第3年度(取組）'!C122&amp;"‡"&amp;'報告書② 第3年度(取組）'!D122)</f>
        <v/>
      </c>
      <c r="BB33" s="12" t="str">
        <f t="shared" si="7"/>
        <v/>
      </c>
      <c r="BC33" s="12" t="e">
        <f t="shared" si="8"/>
        <v>#VALUE!</v>
      </c>
      <c r="BD33" s="12">
        <f>'報告書② 第3年度(取組）'!D122</f>
        <v>0</v>
      </c>
      <c r="BE33" s="12" t="e">
        <f t="shared" si="9"/>
        <v>#VALUE!</v>
      </c>
    </row>
    <row r="34" spans="4:57">
      <c r="D34" s="12" t="s">
        <v>5473</v>
      </c>
      <c r="E34" s="12" t="s">
        <v>4943</v>
      </c>
      <c r="Z34" s="12">
        <v>33</v>
      </c>
      <c r="AA34" s="266">
        <f>'報告書② 第1年度(取組）'!C103</f>
        <v>0</v>
      </c>
      <c r="AB34" s="12" t="str">
        <f t="shared" si="0"/>
        <v/>
      </c>
      <c r="AC34" s="12" t="e">
        <f t="shared" si="1"/>
        <v>#VALUE!</v>
      </c>
      <c r="AM34" s="12" t="s">
        <v>5474</v>
      </c>
      <c r="AN34" s="12" t="s">
        <v>4944</v>
      </c>
      <c r="AO34" s="12">
        <f t="shared" si="20"/>
        <v>34</v>
      </c>
      <c r="AP34" s="12" t="str">
        <f t="shared" ca="1" si="3"/>
        <v xml:space="preserve">コジェネレーション運転効率の管理 </v>
      </c>
      <c r="AS34" s="12">
        <v>33</v>
      </c>
      <c r="AZ34" s="12">
        <v>33</v>
      </c>
      <c r="BA34" s="268" t="str">
        <f>IF('報告書② 第3年度(取組）'!C123="","",'報告書② 第3年度(取組）'!C123&amp;"‡"&amp;'報告書② 第3年度(取組）'!D123)</f>
        <v/>
      </c>
      <c r="BB34" s="12" t="str">
        <f t="shared" si="7"/>
        <v/>
      </c>
      <c r="BC34" s="12" t="e">
        <f t="shared" si="8"/>
        <v>#VALUE!</v>
      </c>
      <c r="BD34" s="12">
        <f>'報告書② 第3年度(取組）'!D123</f>
        <v>0</v>
      </c>
      <c r="BE34" s="12" t="e">
        <f t="shared" si="9"/>
        <v>#VALUE!</v>
      </c>
    </row>
    <row r="35" spans="4:57">
      <c r="D35" s="12" t="s">
        <v>5474</v>
      </c>
      <c r="E35" s="12" t="s">
        <v>4944</v>
      </c>
      <c r="Z35" s="12">
        <v>34</v>
      </c>
      <c r="AA35" s="266">
        <f>'報告書② 第1年度(取組）'!C104</f>
        <v>0</v>
      </c>
      <c r="AB35" s="12" t="str">
        <f t="shared" si="0"/>
        <v/>
      </c>
      <c r="AC35" s="12" t="e">
        <f t="shared" si="1"/>
        <v>#VALUE!</v>
      </c>
      <c r="AM35" s="12" t="s">
        <v>5475</v>
      </c>
      <c r="AN35" s="12" t="s">
        <v>4945</v>
      </c>
      <c r="AO35" s="12">
        <f t="shared" si="20"/>
        <v>35</v>
      </c>
      <c r="AP35" s="12" t="str">
        <f t="shared" ca="1" si="3"/>
        <v xml:space="preserve">変圧器の負荷率管理 </v>
      </c>
      <c r="AS35" s="12">
        <v>34</v>
      </c>
      <c r="AZ35" s="12">
        <v>34</v>
      </c>
      <c r="BA35" s="268" t="str">
        <f>IF('報告書② 第3年度(取組）'!C124="","",'報告書② 第3年度(取組）'!C124&amp;"‡"&amp;'報告書② 第3年度(取組）'!D124)</f>
        <v/>
      </c>
      <c r="BB35" s="12" t="str">
        <f t="shared" si="7"/>
        <v/>
      </c>
      <c r="BC35" s="12" t="e">
        <f t="shared" si="8"/>
        <v>#VALUE!</v>
      </c>
      <c r="BD35" s="12">
        <f>'報告書② 第3年度(取組）'!D124</f>
        <v>0</v>
      </c>
      <c r="BE35" s="12" t="e">
        <f t="shared" si="9"/>
        <v>#VALUE!</v>
      </c>
    </row>
    <row r="36" spans="4:57">
      <c r="D36" s="12" t="s">
        <v>5475</v>
      </c>
      <c r="E36" s="12" t="s">
        <v>4945</v>
      </c>
      <c r="Z36" s="12">
        <v>35</v>
      </c>
      <c r="AA36" s="266">
        <f>'報告書② 第1年度(取組）'!C105</f>
        <v>0</v>
      </c>
      <c r="AB36" s="12" t="str">
        <f t="shared" si="0"/>
        <v/>
      </c>
      <c r="AC36" s="12" t="e">
        <f t="shared" si="1"/>
        <v>#VALUE!</v>
      </c>
      <c r="AM36" s="12" t="s">
        <v>5476</v>
      </c>
      <c r="AN36" s="12" t="s">
        <v>4946</v>
      </c>
      <c r="AO36" s="12">
        <f t="shared" si="20"/>
        <v>36</v>
      </c>
      <c r="AP36" s="12" t="str">
        <f t="shared" ca="1" si="3"/>
        <v xml:space="preserve">デマンド管理 </v>
      </c>
      <c r="AS36" s="12">
        <v>35</v>
      </c>
      <c r="AZ36" s="12">
        <v>35</v>
      </c>
      <c r="BA36" s="268" t="str">
        <f>IF('報告書② 第3年度(取組）'!C125="","",'報告書② 第3年度(取組）'!C125&amp;"‡"&amp;'報告書② 第3年度(取組）'!D125)</f>
        <v/>
      </c>
      <c r="BB36" s="12" t="str">
        <f t="shared" si="7"/>
        <v/>
      </c>
      <c r="BC36" s="12" t="e">
        <f t="shared" si="8"/>
        <v>#VALUE!</v>
      </c>
      <c r="BD36" s="12">
        <f>'報告書② 第3年度(取組）'!D125</f>
        <v>0</v>
      </c>
      <c r="BE36" s="12" t="e">
        <f t="shared" si="9"/>
        <v>#VALUE!</v>
      </c>
    </row>
    <row r="37" spans="4:57">
      <c r="D37" s="12" t="s">
        <v>5476</v>
      </c>
      <c r="E37" s="12" t="s">
        <v>4946</v>
      </c>
      <c r="Z37" s="12">
        <v>36</v>
      </c>
      <c r="AA37" s="266">
        <f>'報告書② 第1年度(取組）'!C106</f>
        <v>0</v>
      </c>
      <c r="AB37" s="12" t="str">
        <f t="shared" si="0"/>
        <v/>
      </c>
      <c r="AC37" s="12" t="e">
        <f t="shared" si="1"/>
        <v>#VALUE!</v>
      </c>
      <c r="AM37" s="12" t="s">
        <v>5477</v>
      </c>
      <c r="AN37" s="12" t="s">
        <v>4222</v>
      </c>
      <c r="AO37" s="12">
        <f t="shared" si="20"/>
        <v>37</v>
      </c>
      <c r="AP37" s="12" t="str">
        <f t="shared" ca="1" si="3"/>
        <v xml:space="preserve">負荷平準化 </v>
      </c>
      <c r="AS37" s="12">
        <v>36</v>
      </c>
      <c r="AZ37" s="12">
        <v>36</v>
      </c>
      <c r="BA37" s="268" t="str">
        <f>IF('報告書② 第3年度(取組）'!C126="","",'報告書② 第3年度(取組）'!C126&amp;"‡"&amp;'報告書② 第3年度(取組）'!D126)</f>
        <v/>
      </c>
      <c r="BB37" s="12" t="str">
        <f t="shared" si="7"/>
        <v/>
      </c>
      <c r="BC37" s="12" t="e">
        <f t="shared" si="8"/>
        <v>#VALUE!</v>
      </c>
      <c r="BD37" s="12">
        <f>'報告書② 第3年度(取組）'!D126</f>
        <v>0</v>
      </c>
      <c r="BE37" s="12" t="e">
        <f t="shared" si="9"/>
        <v>#VALUE!</v>
      </c>
    </row>
    <row r="38" spans="4:57">
      <c r="D38" s="12" t="s">
        <v>5477</v>
      </c>
      <c r="E38" s="12" t="s">
        <v>4222</v>
      </c>
      <c r="Z38" s="12">
        <v>37</v>
      </c>
      <c r="AA38" s="266">
        <f>'報告書② 第1年度(取組）'!C107</f>
        <v>0</v>
      </c>
      <c r="AB38" s="12" t="str">
        <f t="shared" si="0"/>
        <v/>
      </c>
      <c r="AC38" s="12" t="e">
        <f t="shared" si="1"/>
        <v>#VALUE!</v>
      </c>
      <c r="AM38" s="12" t="s">
        <v>5478</v>
      </c>
      <c r="AN38" s="12" t="s">
        <v>4223</v>
      </c>
      <c r="AO38" s="12">
        <f t="shared" si="20"/>
        <v>38</v>
      </c>
      <c r="AP38" s="12" t="str">
        <f t="shared" ca="1" si="3"/>
        <v xml:space="preserve">窓の断熱性向上 </v>
      </c>
      <c r="AS38" s="12">
        <v>37</v>
      </c>
      <c r="AZ38" s="12">
        <v>37</v>
      </c>
      <c r="BA38" s="268" t="str">
        <f>IF('報告書② 第3年度(取組）'!C127="","",'報告書② 第3年度(取組）'!C127&amp;"‡"&amp;'報告書② 第3年度(取組）'!D127)</f>
        <v/>
      </c>
      <c r="BB38" s="12" t="str">
        <f t="shared" si="7"/>
        <v/>
      </c>
      <c r="BC38" s="12" t="e">
        <f t="shared" si="8"/>
        <v>#VALUE!</v>
      </c>
      <c r="BD38" s="12">
        <f>'報告書② 第3年度(取組）'!D127</f>
        <v>0</v>
      </c>
      <c r="BE38" s="12" t="e">
        <f t="shared" si="9"/>
        <v>#VALUE!</v>
      </c>
    </row>
    <row r="39" spans="4:57">
      <c r="D39" s="12" t="s">
        <v>5478</v>
      </c>
      <c r="E39" s="12" t="s">
        <v>4223</v>
      </c>
      <c r="Z39" s="12">
        <v>38</v>
      </c>
      <c r="AA39" s="266">
        <f>'報告書② 第1年度(取組）'!C108</f>
        <v>0</v>
      </c>
      <c r="AB39" s="12" t="str">
        <f t="shared" si="0"/>
        <v/>
      </c>
      <c r="AC39" s="12" t="e">
        <f t="shared" si="1"/>
        <v>#VALUE!</v>
      </c>
      <c r="AM39" s="12" t="s">
        <v>5479</v>
      </c>
      <c r="AN39" s="12" t="s">
        <v>4224</v>
      </c>
      <c r="AO39" s="12">
        <f t="shared" si="20"/>
        <v>39</v>
      </c>
      <c r="AP39" s="12" t="str">
        <f t="shared" ca="1" si="3"/>
        <v xml:space="preserve">壁面緑化 </v>
      </c>
      <c r="AS39" s="12">
        <v>38</v>
      </c>
      <c r="AZ39" s="12">
        <v>38</v>
      </c>
      <c r="BA39" s="268" t="str">
        <f>IF('報告書② 第3年度(取組）'!C128="","",'報告書② 第3年度(取組）'!C128&amp;"‡"&amp;'報告書② 第3年度(取組）'!D128)</f>
        <v/>
      </c>
      <c r="BB39" s="12" t="str">
        <f t="shared" si="7"/>
        <v/>
      </c>
      <c r="BC39" s="12" t="e">
        <f t="shared" si="8"/>
        <v>#VALUE!</v>
      </c>
      <c r="BD39" s="12">
        <f>'報告書② 第3年度(取組）'!D128</f>
        <v>0</v>
      </c>
      <c r="BE39" s="12" t="e">
        <f t="shared" si="9"/>
        <v>#VALUE!</v>
      </c>
    </row>
    <row r="40" spans="4:57">
      <c r="D40" s="12" t="s">
        <v>5479</v>
      </c>
      <c r="E40" s="12" t="s">
        <v>4224</v>
      </c>
      <c r="Z40" s="12">
        <v>39</v>
      </c>
      <c r="AA40" s="266">
        <f>'報告書② 第1年度(取組）'!C109</f>
        <v>0</v>
      </c>
      <c r="AB40" s="12" t="str">
        <f t="shared" si="0"/>
        <v/>
      </c>
      <c r="AC40" s="12" t="e">
        <f t="shared" si="1"/>
        <v>#VALUE!</v>
      </c>
      <c r="AM40" s="12" t="s">
        <v>5480</v>
      </c>
      <c r="AN40" s="12" t="s">
        <v>4225</v>
      </c>
      <c r="AO40" s="12">
        <f t="shared" si="20"/>
        <v>40</v>
      </c>
      <c r="AP40" s="12" t="str">
        <f t="shared" ca="1" si="3"/>
        <v xml:space="preserve">再生可能エネルギーの導入 </v>
      </c>
      <c r="AS40" s="12">
        <v>39</v>
      </c>
      <c r="AZ40" s="12">
        <v>39</v>
      </c>
      <c r="BA40" s="268" t="str">
        <f>IF('報告書② 第3年度(取組）'!C129="","",'報告書② 第3年度(取組）'!C129&amp;"‡"&amp;'報告書② 第3年度(取組）'!D129)</f>
        <v/>
      </c>
      <c r="BB40" s="12" t="str">
        <f t="shared" si="7"/>
        <v/>
      </c>
      <c r="BC40" s="12" t="e">
        <f t="shared" si="8"/>
        <v>#VALUE!</v>
      </c>
      <c r="BD40" s="12">
        <f>'報告書② 第3年度(取組）'!D129</f>
        <v>0</v>
      </c>
      <c r="BE40" s="12" t="e">
        <f t="shared" si="9"/>
        <v>#VALUE!</v>
      </c>
    </row>
    <row r="41" spans="4:57">
      <c r="D41" s="12" t="s">
        <v>5480</v>
      </c>
      <c r="E41" s="12" t="s">
        <v>4225</v>
      </c>
      <c r="Z41" s="12">
        <v>40</v>
      </c>
      <c r="AA41" s="266">
        <f>'報告書② 第1年度(取組）'!C110</f>
        <v>0</v>
      </c>
      <c r="AB41" s="12" t="str">
        <f t="shared" si="0"/>
        <v/>
      </c>
      <c r="AC41" s="12" t="e">
        <f t="shared" si="1"/>
        <v>#VALUE!</v>
      </c>
      <c r="AM41" s="12" t="s">
        <v>5481</v>
      </c>
      <c r="AN41" s="12" t="s">
        <v>4947</v>
      </c>
      <c r="AO41" s="12">
        <f t="shared" si="20"/>
        <v>41</v>
      </c>
      <c r="AP41" s="12" t="str">
        <f t="shared" ca="1" si="3"/>
        <v xml:space="preserve">蓄電システムの導入 </v>
      </c>
      <c r="AS41" s="12">
        <v>40</v>
      </c>
      <c r="AZ41" s="12">
        <v>40</v>
      </c>
      <c r="BA41" s="268" t="str">
        <f>IF('報告書② 第3年度(取組）'!C130="","",'報告書② 第3年度(取組）'!C130&amp;"‡"&amp;'報告書② 第3年度(取組）'!D130)</f>
        <v/>
      </c>
      <c r="BB41" s="12" t="str">
        <f t="shared" si="7"/>
        <v/>
      </c>
      <c r="BC41" s="12" t="e">
        <f t="shared" si="8"/>
        <v>#VALUE!</v>
      </c>
      <c r="BD41" s="12">
        <f>'報告書② 第3年度(取組）'!D130</f>
        <v>0</v>
      </c>
      <c r="BE41" s="12" t="e">
        <f t="shared" si="9"/>
        <v>#VALUE!</v>
      </c>
    </row>
    <row r="42" spans="4:57">
      <c r="D42" s="12" t="s">
        <v>5481</v>
      </c>
      <c r="E42" s="12" t="s">
        <v>4947</v>
      </c>
      <c r="Z42" s="12">
        <v>41</v>
      </c>
      <c r="AA42" s="269">
        <f>'報告書② 第2年度(取組）'!C91</f>
        <v>0</v>
      </c>
      <c r="AB42" s="12" t="str">
        <f t="shared" si="0"/>
        <v/>
      </c>
      <c r="AC42" s="12" t="e">
        <f t="shared" si="1"/>
        <v>#VALUE!</v>
      </c>
      <c r="AM42" s="12" t="s">
        <v>5482</v>
      </c>
      <c r="AN42" s="12" t="s">
        <v>4948</v>
      </c>
      <c r="AO42" s="12">
        <f t="shared" si="20"/>
        <v>42</v>
      </c>
      <c r="AP42" s="12" t="str">
        <f t="shared" ca="1" si="3"/>
        <v xml:space="preserve">商品や原料輸送時の省エネ </v>
      </c>
      <c r="AS42" s="12">
        <v>41</v>
      </c>
    </row>
    <row r="43" spans="4:57">
      <c r="D43" s="12" t="s">
        <v>5482</v>
      </c>
      <c r="E43" s="12" t="s">
        <v>4948</v>
      </c>
      <c r="Z43" s="12">
        <v>42</v>
      </c>
      <c r="AA43" s="269">
        <f>'報告書② 第2年度(取組）'!C92</f>
        <v>0</v>
      </c>
      <c r="AB43" s="12" t="str">
        <f t="shared" si="0"/>
        <v/>
      </c>
      <c r="AC43" s="12" t="e">
        <f t="shared" si="1"/>
        <v>#VALUE!</v>
      </c>
      <c r="AM43" s="12" t="s">
        <v>5483</v>
      </c>
      <c r="AN43" s="12" t="s">
        <v>4226</v>
      </c>
      <c r="AO43" s="12">
        <f t="shared" si="20"/>
        <v>43</v>
      </c>
      <c r="AP43" s="12" t="str">
        <f t="shared" ca="1" si="3"/>
        <v xml:space="preserve">燃費性能の良い車両の計画的導入 </v>
      </c>
      <c r="AS43" s="12">
        <v>42</v>
      </c>
    </row>
    <row r="44" spans="4:57">
      <c r="D44" s="12" t="s">
        <v>5483</v>
      </c>
      <c r="E44" s="12" t="s">
        <v>4226</v>
      </c>
      <c r="Z44" s="12">
        <v>43</v>
      </c>
      <c r="AA44" s="269">
        <f>'報告書② 第2年度(取組）'!C93</f>
        <v>0</v>
      </c>
      <c r="AB44" s="12" t="str">
        <f t="shared" si="0"/>
        <v/>
      </c>
      <c r="AC44" s="12" t="e">
        <f t="shared" si="1"/>
        <v>#VALUE!</v>
      </c>
      <c r="AM44" s="12" t="s">
        <v>5484</v>
      </c>
      <c r="AN44" s="12" t="s">
        <v>4949</v>
      </c>
      <c r="AO44" s="12">
        <f t="shared" si="20"/>
        <v>44</v>
      </c>
      <c r="AP44" s="12" t="str">
        <f t="shared" ca="1" si="3"/>
        <v xml:space="preserve">エコドライブ教育実施 </v>
      </c>
      <c r="AS44" s="12">
        <v>43</v>
      </c>
    </row>
    <row r="45" spans="4:57">
      <c r="D45" s="12" t="s">
        <v>5484</v>
      </c>
      <c r="E45" s="12" t="s">
        <v>4949</v>
      </c>
      <c r="Z45" s="12">
        <v>44</v>
      </c>
      <c r="AA45" s="269">
        <f>'報告書② 第2年度(取組）'!C94</f>
        <v>0</v>
      </c>
      <c r="AB45" s="12" t="str">
        <f t="shared" si="0"/>
        <v/>
      </c>
      <c r="AC45" s="12" t="e">
        <f t="shared" si="1"/>
        <v>#VALUE!</v>
      </c>
    </row>
    <row r="46" spans="4:57">
      <c r="Z46" s="12">
        <v>45</v>
      </c>
      <c r="AA46" s="269">
        <f>'報告書② 第2年度(取組）'!C95</f>
        <v>0</v>
      </c>
      <c r="AB46" s="12" t="str">
        <f t="shared" si="0"/>
        <v/>
      </c>
      <c r="AC46" s="12" t="e">
        <f t="shared" si="1"/>
        <v>#VALUE!</v>
      </c>
    </row>
    <row r="47" spans="4:57">
      <c r="Z47" s="12">
        <v>46</v>
      </c>
      <c r="AA47" s="269">
        <f>'報告書② 第2年度(取組）'!C96</f>
        <v>0</v>
      </c>
      <c r="AB47" s="12" t="str">
        <f t="shared" si="0"/>
        <v/>
      </c>
      <c r="AC47" s="12" t="e">
        <f t="shared" si="1"/>
        <v>#VALUE!</v>
      </c>
    </row>
    <row r="48" spans="4:57">
      <c r="Z48" s="12">
        <v>47</v>
      </c>
      <c r="AA48" s="269">
        <f>'報告書② 第2年度(取組）'!C97</f>
        <v>0</v>
      </c>
      <c r="AB48" s="12" t="str">
        <f t="shared" si="0"/>
        <v/>
      </c>
      <c r="AC48" s="12" t="e">
        <f t="shared" si="1"/>
        <v>#VALUE!</v>
      </c>
    </row>
    <row r="49" spans="26:29">
      <c r="Z49" s="12">
        <v>48</v>
      </c>
      <c r="AA49" s="269">
        <f>'報告書② 第2年度(取組）'!C98</f>
        <v>0</v>
      </c>
      <c r="AB49" s="12" t="str">
        <f t="shared" si="0"/>
        <v/>
      </c>
      <c r="AC49" s="12" t="e">
        <f t="shared" si="1"/>
        <v>#VALUE!</v>
      </c>
    </row>
    <row r="50" spans="26:29">
      <c r="Z50" s="12">
        <v>49</v>
      </c>
      <c r="AA50" s="269">
        <f>'報告書② 第2年度(取組）'!C99</f>
        <v>0</v>
      </c>
      <c r="AB50" s="12" t="str">
        <f t="shared" si="0"/>
        <v/>
      </c>
      <c r="AC50" s="12" t="e">
        <f t="shared" si="1"/>
        <v>#VALUE!</v>
      </c>
    </row>
    <row r="51" spans="26:29">
      <c r="Z51" s="12">
        <v>50</v>
      </c>
      <c r="AA51" s="269">
        <f>'報告書② 第2年度(取組）'!C100</f>
        <v>0</v>
      </c>
      <c r="AB51" s="12" t="str">
        <f t="shared" si="0"/>
        <v/>
      </c>
      <c r="AC51" s="12" t="e">
        <f t="shared" si="1"/>
        <v>#VALUE!</v>
      </c>
    </row>
    <row r="52" spans="26:29">
      <c r="Z52" s="12">
        <v>51</v>
      </c>
      <c r="AA52" s="269">
        <f>'報告書② 第2年度(取組）'!C101</f>
        <v>0</v>
      </c>
      <c r="AB52" s="12" t="str">
        <f t="shared" si="0"/>
        <v/>
      </c>
      <c r="AC52" s="12" t="e">
        <f t="shared" si="1"/>
        <v>#VALUE!</v>
      </c>
    </row>
    <row r="53" spans="26:29">
      <c r="Z53" s="12">
        <v>52</v>
      </c>
      <c r="AA53" s="269">
        <f>'報告書② 第2年度(取組）'!C102</f>
        <v>0</v>
      </c>
      <c r="AB53" s="12" t="str">
        <f t="shared" si="0"/>
        <v/>
      </c>
      <c r="AC53" s="12" t="e">
        <f t="shared" si="1"/>
        <v>#VALUE!</v>
      </c>
    </row>
    <row r="54" spans="26:29">
      <c r="Z54" s="12">
        <v>53</v>
      </c>
      <c r="AA54" s="269">
        <f>'報告書② 第2年度(取組）'!C103</f>
        <v>0</v>
      </c>
      <c r="AB54" s="12" t="str">
        <f t="shared" si="0"/>
        <v/>
      </c>
      <c r="AC54" s="12" t="e">
        <f t="shared" si="1"/>
        <v>#VALUE!</v>
      </c>
    </row>
    <row r="55" spans="26:29">
      <c r="Z55" s="12">
        <v>54</v>
      </c>
      <c r="AA55" s="269">
        <f>'報告書② 第2年度(取組）'!C104</f>
        <v>0</v>
      </c>
      <c r="AB55" s="12" t="str">
        <f t="shared" si="0"/>
        <v/>
      </c>
      <c r="AC55" s="12" t="e">
        <f t="shared" si="1"/>
        <v>#VALUE!</v>
      </c>
    </row>
    <row r="56" spans="26:29">
      <c r="Z56" s="12">
        <v>55</v>
      </c>
      <c r="AA56" s="269">
        <f>'報告書② 第2年度(取組）'!C105</f>
        <v>0</v>
      </c>
      <c r="AB56" s="12" t="str">
        <f t="shared" si="0"/>
        <v/>
      </c>
      <c r="AC56" s="12" t="e">
        <f t="shared" si="1"/>
        <v>#VALUE!</v>
      </c>
    </row>
    <row r="57" spans="26:29">
      <c r="Z57" s="12">
        <v>56</v>
      </c>
      <c r="AA57" s="269">
        <f>'報告書② 第2年度(取組）'!C106</f>
        <v>0</v>
      </c>
      <c r="AB57" s="12" t="str">
        <f t="shared" si="0"/>
        <v/>
      </c>
      <c r="AC57" s="12" t="e">
        <f t="shared" si="1"/>
        <v>#VALUE!</v>
      </c>
    </row>
    <row r="58" spans="26:29">
      <c r="Z58" s="12">
        <v>57</v>
      </c>
      <c r="AA58" s="269">
        <f>'報告書② 第2年度(取組）'!C107</f>
        <v>0</v>
      </c>
      <c r="AB58" s="12" t="str">
        <f t="shared" si="0"/>
        <v/>
      </c>
      <c r="AC58" s="12" t="e">
        <f t="shared" si="1"/>
        <v>#VALUE!</v>
      </c>
    </row>
    <row r="59" spans="26:29">
      <c r="Z59" s="12">
        <v>58</v>
      </c>
      <c r="AA59" s="269">
        <f>'報告書② 第2年度(取組）'!C108</f>
        <v>0</v>
      </c>
      <c r="AB59" s="12" t="str">
        <f t="shared" si="0"/>
        <v/>
      </c>
      <c r="AC59" s="12" t="e">
        <f t="shared" si="1"/>
        <v>#VALUE!</v>
      </c>
    </row>
    <row r="60" spans="26:29">
      <c r="Z60" s="12">
        <v>59</v>
      </c>
      <c r="AA60" s="269">
        <f>'報告書② 第2年度(取組）'!C109</f>
        <v>0</v>
      </c>
      <c r="AB60" s="12" t="str">
        <f t="shared" si="0"/>
        <v/>
      </c>
      <c r="AC60" s="12" t="e">
        <f t="shared" si="1"/>
        <v>#VALUE!</v>
      </c>
    </row>
    <row r="61" spans="26:29">
      <c r="Z61" s="12">
        <v>60</v>
      </c>
      <c r="AA61" s="269">
        <f>'報告書② 第2年度(取組）'!C110</f>
        <v>0</v>
      </c>
      <c r="AB61" s="12" t="str">
        <f t="shared" si="0"/>
        <v/>
      </c>
      <c r="AC61" s="12" t="e">
        <f t="shared" si="1"/>
        <v>#VALUE!</v>
      </c>
    </row>
    <row r="62" spans="26:29">
      <c r="Z62" s="12">
        <v>61</v>
      </c>
      <c r="AA62" s="268">
        <f>'報告書② 第3年度(取組）'!C91</f>
        <v>0</v>
      </c>
      <c r="AB62" s="12" t="str">
        <f t="shared" si="0"/>
        <v/>
      </c>
      <c r="AC62" s="12" t="e">
        <f t="shared" si="1"/>
        <v>#VALUE!</v>
      </c>
    </row>
    <row r="63" spans="26:29">
      <c r="Z63" s="12">
        <v>62</v>
      </c>
      <c r="AA63" s="268">
        <f>'報告書② 第3年度(取組）'!C92</f>
        <v>0</v>
      </c>
      <c r="AB63" s="12" t="str">
        <f t="shared" si="0"/>
        <v/>
      </c>
      <c r="AC63" s="12" t="e">
        <f t="shared" si="1"/>
        <v>#VALUE!</v>
      </c>
    </row>
    <row r="64" spans="26:29">
      <c r="Z64" s="12">
        <v>63</v>
      </c>
      <c r="AA64" s="268">
        <f>'報告書② 第3年度(取組）'!C93</f>
        <v>0</v>
      </c>
      <c r="AB64" s="12" t="str">
        <f t="shared" si="0"/>
        <v/>
      </c>
      <c r="AC64" s="12" t="e">
        <f t="shared" si="1"/>
        <v>#VALUE!</v>
      </c>
    </row>
    <row r="65" spans="26:29">
      <c r="Z65" s="12">
        <v>64</v>
      </c>
      <c r="AA65" s="268">
        <f>'報告書② 第3年度(取組）'!C94</f>
        <v>0</v>
      </c>
      <c r="AB65" s="12" t="str">
        <f t="shared" si="0"/>
        <v/>
      </c>
      <c r="AC65" s="12" t="e">
        <f t="shared" si="1"/>
        <v>#VALUE!</v>
      </c>
    </row>
    <row r="66" spans="26:29">
      <c r="Z66" s="12">
        <v>65</v>
      </c>
      <c r="AA66" s="268">
        <f>'報告書② 第3年度(取組）'!C95</f>
        <v>0</v>
      </c>
      <c r="AB66" s="12" t="str">
        <f t="shared" si="0"/>
        <v/>
      </c>
      <c r="AC66" s="12" t="e">
        <f t="shared" si="1"/>
        <v>#VALUE!</v>
      </c>
    </row>
    <row r="67" spans="26:29">
      <c r="Z67" s="12">
        <v>66</v>
      </c>
      <c r="AA67" s="268">
        <f>'報告書② 第3年度(取組）'!C96</f>
        <v>0</v>
      </c>
      <c r="AB67" s="12" t="str">
        <f t="shared" ref="AB67:AB81" si="21">IF(AA67&lt;&gt;0,ROW()-1,"")</f>
        <v/>
      </c>
      <c r="AC67" s="12" t="e">
        <f t="shared" ref="AC67:AC81" si="22">RANK(AB67,$AB$2:$AB$81,1)</f>
        <v>#VALUE!</v>
      </c>
    </row>
    <row r="68" spans="26:29">
      <c r="Z68" s="12">
        <v>67</v>
      </c>
      <c r="AA68" s="268">
        <f>'報告書② 第3年度(取組）'!C97</f>
        <v>0</v>
      </c>
      <c r="AB68" s="12" t="str">
        <f t="shared" si="21"/>
        <v/>
      </c>
      <c r="AC68" s="12" t="e">
        <f t="shared" si="22"/>
        <v>#VALUE!</v>
      </c>
    </row>
    <row r="69" spans="26:29">
      <c r="Z69" s="12">
        <v>68</v>
      </c>
      <c r="AA69" s="268">
        <f>'報告書② 第3年度(取組）'!C98</f>
        <v>0</v>
      </c>
      <c r="AB69" s="12" t="str">
        <f t="shared" si="21"/>
        <v/>
      </c>
      <c r="AC69" s="12" t="e">
        <f t="shared" si="22"/>
        <v>#VALUE!</v>
      </c>
    </row>
    <row r="70" spans="26:29">
      <c r="Z70" s="12">
        <v>69</v>
      </c>
      <c r="AA70" s="268">
        <f>'報告書② 第3年度(取組）'!C99</f>
        <v>0</v>
      </c>
      <c r="AB70" s="12" t="str">
        <f t="shared" si="21"/>
        <v/>
      </c>
      <c r="AC70" s="12" t="e">
        <f t="shared" si="22"/>
        <v>#VALUE!</v>
      </c>
    </row>
    <row r="71" spans="26:29">
      <c r="Z71" s="12">
        <v>70</v>
      </c>
      <c r="AA71" s="268">
        <f>'報告書② 第3年度(取組）'!C100</f>
        <v>0</v>
      </c>
      <c r="AB71" s="12" t="str">
        <f t="shared" si="21"/>
        <v/>
      </c>
      <c r="AC71" s="12" t="e">
        <f t="shared" si="22"/>
        <v>#VALUE!</v>
      </c>
    </row>
    <row r="72" spans="26:29">
      <c r="Z72" s="12">
        <v>71</v>
      </c>
      <c r="AA72" s="268">
        <f>'報告書② 第3年度(取組）'!C101</f>
        <v>0</v>
      </c>
      <c r="AB72" s="12" t="str">
        <f t="shared" si="21"/>
        <v/>
      </c>
      <c r="AC72" s="12" t="e">
        <f t="shared" si="22"/>
        <v>#VALUE!</v>
      </c>
    </row>
    <row r="73" spans="26:29">
      <c r="Z73" s="12">
        <v>72</v>
      </c>
      <c r="AA73" s="268">
        <f>'報告書② 第3年度(取組）'!C102</f>
        <v>0</v>
      </c>
      <c r="AB73" s="12" t="str">
        <f t="shared" si="21"/>
        <v/>
      </c>
      <c r="AC73" s="12" t="e">
        <f t="shared" si="22"/>
        <v>#VALUE!</v>
      </c>
    </row>
    <row r="74" spans="26:29">
      <c r="Z74" s="12">
        <v>73</v>
      </c>
      <c r="AA74" s="268">
        <f>'報告書② 第3年度(取組）'!C103</f>
        <v>0</v>
      </c>
      <c r="AB74" s="12" t="str">
        <f t="shared" si="21"/>
        <v/>
      </c>
      <c r="AC74" s="12" t="e">
        <f t="shared" si="22"/>
        <v>#VALUE!</v>
      </c>
    </row>
    <row r="75" spans="26:29">
      <c r="Z75" s="12">
        <v>74</v>
      </c>
      <c r="AA75" s="268">
        <f>'報告書② 第3年度(取組）'!C104</f>
        <v>0</v>
      </c>
      <c r="AB75" s="12" t="str">
        <f t="shared" si="21"/>
        <v/>
      </c>
      <c r="AC75" s="12" t="e">
        <f t="shared" si="22"/>
        <v>#VALUE!</v>
      </c>
    </row>
    <row r="76" spans="26:29">
      <c r="Z76" s="12">
        <v>75</v>
      </c>
      <c r="AA76" s="268">
        <f>'報告書② 第3年度(取組）'!C105</f>
        <v>0</v>
      </c>
      <c r="AB76" s="12" t="str">
        <f t="shared" si="21"/>
        <v/>
      </c>
      <c r="AC76" s="12" t="e">
        <f t="shared" si="22"/>
        <v>#VALUE!</v>
      </c>
    </row>
    <row r="77" spans="26:29">
      <c r="Z77" s="12">
        <v>76</v>
      </c>
      <c r="AA77" s="268">
        <f>'報告書② 第3年度(取組）'!C106</f>
        <v>0</v>
      </c>
      <c r="AB77" s="12" t="str">
        <f t="shared" si="21"/>
        <v/>
      </c>
      <c r="AC77" s="12" t="e">
        <f t="shared" si="22"/>
        <v>#VALUE!</v>
      </c>
    </row>
    <row r="78" spans="26:29">
      <c r="Z78" s="12">
        <v>77</v>
      </c>
      <c r="AA78" s="268">
        <f>'報告書② 第3年度(取組）'!C107</f>
        <v>0</v>
      </c>
      <c r="AB78" s="12" t="str">
        <f t="shared" si="21"/>
        <v/>
      </c>
      <c r="AC78" s="12" t="e">
        <f t="shared" si="22"/>
        <v>#VALUE!</v>
      </c>
    </row>
    <row r="79" spans="26:29">
      <c r="Z79" s="12">
        <v>78</v>
      </c>
      <c r="AA79" s="268">
        <f>'報告書② 第3年度(取組）'!C108</f>
        <v>0</v>
      </c>
      <c r="AB79" s="12" t="str">
        <f t="shared" si="21"/>
        <v/>
      </c>
      <c r="AC79" s="12" t="e">
        <f t="shared" si="22"/>
        <v>#VALUE!</v>
      </c>
    </row>
    <row r="80" spans="26:29">
      <c r="Z80" s="12">
        <v>79</v>
      </c>
      <c r="AA80" s="268">
        <f>'報告書② 第3年度(取組）'!C109</f>
        <v>0</v>
      </c>
      <c r="AB80" s="12" t="str">
        <f t="shared" si="21"/>
        <v/>
      </c>
      <c r="AC80" s="12" t="e">
        <f t="shared" si="22"/>
        <v>#VALUE!</v>
      </c>
    </row>
    <row r="81" spans="26:29">
      <c r="Z81" s="12">
        <v>80</v>
      </c>
      <c r="AA81" s="268">
        <f>'報告書② 第3年度(取組）'!C110</f>
        <v>0</v>
      </c>
      <c r="AB81" s="12" t="str">
        <f t="shared" si="21"/>
        <v/>
      </c>
      <c r="AC81" s="12" t="e">
        <f t="shared" si="22"/>
        <v>#VALUE!</v>
      </c>
    </row>
  </sheetData>
  <sheetProtection algorithmName="SHA-512" hashValue="05tf5FbWkjL3BNqzfq6fwln2DNToClb7U0uHexbFMfQT0HsyTu+0Kdg9uD0wYj7eo4bBmZwxKHTp2UYroIE0OA==" saltValue="A86lr20TWjv/UNI+fVEOug==" spinCount="100000" sheet="1" objects="1" scenarios="1"/>
  <phoneticPr fontId="1"/>
  <pageMargins left="0.7" right="0.7" top="0.75" bottom="0.75" header="0.3" footer="0.3"/>
  <pageSetup paperSize="9" orientation="portrait"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53186-3321-4405-A871-BF3DA54F8EFA}">
  <sheetPr codeName="Sheet18"/>
  <dimension ref="A2:P178"/>
  <sheetViews>
    <sheetView zoomScaleNormal="100" workbookViewId="0"/>
  </sheetViews>
  <sheetFormatPr defaultRowHeight="13.2"/>
  <sheetData>
    <row r="2" spans="1:16" ht="14.4">
      <c r="B2" s="248"/>
    </row>
    <row r="3" spans="1:16" ht="14.4">
      <c r="D3" s="247"/>
    </row>
    <row r="7" spans="1:16" ht="14.4">
      <c r="D7" s="246"/>
      <c r="E7" s="242"/>
      <c r="F7" s="242"/>
      <c r="G7" s="242"/>
      <c r="I7" s="242"/>
      <c r="J7" s="242"/>
      <c r="K7" s="242"/>
      <c r="L7" s="242"/>
      <c r="M7" s="242"/>
      <c r="N7" s="242"/>
      <c r="O7" s="242"/>
      <c r="P7" s="242"/>
    </row>
    <row r="8" spans="1:16">
      <c r="B8" s="241"/>
      <c r="C8" s="245"/>
      <c r="D8" s="242"/>
      <c r="E8" s="242"/>
      <c r="F8" s="242"/>
      <c r="G8" s="244"/>
      <c r="H8" s="242"/>
      <c r="I8" s="242"/>
      <c r="K8" s="243"/>
      <c r="L8" s="242"/>
      <c r="M8" s="242"/>
      <c r="N8" s="242"/>
      <c r="O8" s="242"/>
      <c r="P8" s="242"/>
    </row>
    <row r="10" spans="1:16">
      <c r="A10" s="239"/>
      <c r="B10" s="241"/>
    </row>
    <row r="11" spans="1:16">
      <c r="A11" s="239"/>
      <c r="B11" s="239"/>
    </row>
    <row r="12" spans="1:16">
      <c r="B12" s="239"/>
    </row>
    <row r="13" spans="1:16">
      <c r="B13" s="240"/>
    </row>
    <row r="14" spans="1:16">
      <c r="B14" s="240"/>
    </row>
    <row r="15" spans="1:16">
      <c r="B15" s="240"/>
    </row>
    <row r="16" spans="1:16">
      <c r="B16" s="240"/>
    </row>
    <row r="17" spans="2:2">
      <c r="B17" s="240"/>
    </row>
    <row r="18" spans="2:2">
      <c r="B18" s="240"/>
    </row>
    <row r="19" spans="2:2">
      <c r="B19" s="240"/>
    </row>
    <row r="20" spans="2:2">
      <c r="B20" s="240"/>
    </row>
    <row r="21" spans="2:2">
      <c r="B21" s="240"/>
    </row>
    <row r="22" spans="2:2">
      <c r="B22" s="240"/>
    </row>
    <row r="23" spans="2:2">
      <c r="B23" s="240"/>
    </row>
    <row r="24" spans="2:2">
      <c r="B24" s="240"/>
    </row>
    <row r="25" spans="2:2">
      <c r="B25" s="240"/>
    </row>
    <row r="26" spans="2:2">
      <c r="B26" s="240"/>
    </row>
    <row r="27" spans="2:2">
      <c r="B27" s="240"/>
    </row>
    <row r="28" spans="2:2">
      <c r="B28" s="240"/>
    </row>
    <row r="29" spans="2:2">
      <c r="B29" s="240"/>
    </row>
    <row r="30" spans="2:2">
      <c r="B30" s="240"/>
    </row>
    <row r="31" spans="2:2">
      <c r="B31" s="240"/>
    </row>
    <row r="32" spans="2:2">
      <c r="B32" s="240"/>
    </row>
    <row r="33" spans="1:2">
      <c r="B33" s="240"/>
    </row>
    <row r="34" spans="1:2">
      <c r="B34" s="240"/>
    </row>
    <row r="35" spans="1:2">
      <c r="B35" s="240"/>
    </row>
    <row r="36" spans="1:2">
      <c r="B36" s="240"/>
    </row>
    <row r="37" spans="1:2">
      <c r="B37" s="240"/>
    </row>
    <row r="38" spans="1:2">
      <c r="B38" s="240"/>
    </row>
    <row r="39" spans="1:2">
      <c r="B39" s="240"/>
    </row>
    <row r="40" spans="1:2">
      <c r="B40" s="240"/>
    </row>
    <row r="41" spans="1:2">
      <c r="B41" s="240"/>
    </row>
    <row r="42" spans="1:2">
      <c r="B42" s="240"/>
    </row>
    <row r="43" spans="1:2">
      <c r="B43" s="240"/>
    </row>
    <row r="44" spans="1:2">
      <c r="A44" s="239"/>
      <c r="B44" s="238"/>
    </row>
    <row r="84" spans="1:2">
      <c r="A84" s="239"/>
      <c r="B84" s="238"/>
    </row>
    <row r="85" spans="1:2">
      <c r="B85" s="238"/>
    </row>
    <row r="86" spans="1:2">
      <c r="B86" s="239"/>
    </row>
    <row r="124" spans="1:2">
      <c r="A124" s="239"/>
      <c r="B124" s="238"/>
    </row>
    <row r="125" spans="1:2">
      <c r="B125" s="240"/>
    </row>
    <row r="127" spans="1:2">
      <c r="A127" s="239"/>
    </row>
    <row r="128" spans="1:2">
      <c r="A128" s="239"/>
      <c r="B128" s="238"/>
    </row>
    <row r="151" spans="1:13">
      <c r="B151" s="238"/>
    </row>
    <row r="152" spans="1:13">
      <c r="M152" s="239" t="s">
        <v>5502</v>
      </c>
    </row>
    <row r="153" spans="1:13">
      <c r="A153" s="239"/>
    </row>
    <row r="154" spans="1:13">
      <c r="A154" s="239"/>
      <c r="B154" s="238"/>
    </row>
    <row r="178" spans="2:2">
      <c r="B178" s="238"/>
    </row>
  </sheetData>
  <sheetProtection algorithmName="SHA-512" hashValue="G0Eo/E1DDsp/iBqfEMuwrNAO62HhTH8p3YUSFSuzsoBdf4bfMx2UgZuiMwPGpiHaVHOY0FEzDdFOsKxnfqkFmg==" saltValue="zIA2laRu0H513o0JnRSlnQ==" spinCount="100000" sheet="1" objects="1" scenarios="1"/>
  <phoneticPr fontId="1"/>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6">
    <tabColor rgb="FFFF0000"/>
  </sheetPr>
  <dimension ref="A1:Y491"/>
  <sheetViews>
    <sheetView workbookViewId="0"/>
  </sheetViews>
  <sheetFormatPr defaultColWidth="8.88671875" defaultRowHeight="16.2"/>
  <cols>
    <col min="1" max="1" width="42.109375" style="12" bestFit="1" customWidth="1"/>
    <col min="2" max="2" width="28.88671875" style="12" bestFit="1" customWidth="1"/>
    <col min="3" max="3" width="8.88671875" style="12"/>
    <col min="4" max="4" width="28.88671875" style="12" bestFit="1" customWidth="1"/>
    <col min="5" max="5" width="8.88671875" style="12"/>
    <col min="6" max="6" width="7.109375" style="12" customWidth="1"/>
    <col min="7" max="10" width="2.109375" style="12" customWidth="1"/>
    <col min="11" max="12" width="5.44140625" style="12" bestFit="1" customWidth="1"/>
    <col min="13" max="13" width="4.44140625" style="12" customWidth="1"/>
    <col min="14" max="14" width="9" style="12" bestFit="1" customWidth="1"/>
    <col min="15" max="15" width="8.88671875" style="12"/>
    <col min="16" max="16" width="10.109375" style="12" bestFit="1" customWidth="1"/>
    <col min="17" max="16384" width="8.88671875" style="12"/>
  </cols>
  <sheetData>
    <row r="1" spans="1:25">
      <c r="A1" s="12" t="s">
        <v>4237</v>
      </c>
      <c r="B1" s="12" t="s">
        <v>4238</v>
      </c>
      <c r="C1" s="12" t="s">
        <v>4239</v>
      </c>
      <c r="D1" s="12" t="s">
        <v>4240</v>
      </c>
      <c r="E1" s="12" t="s">
        <v>4241</v>
      </c>
      <c r="F1" s="12" t="s">
        <v>4242</v>
      </c>
      <c r="K1" s="12" t="s">
        <v>4300</v>
      </c>
      <c r="L1" s="12" t="s">
        <v>4301</v>
      </c>
      <c r="T1" s="62"/>
      <c r="X1" s="12" t="s">
        <v>4300</v>
      </c>
      <c r="Y1" s="12" t="s">
        <v>4301</v>
      </c>
    </row>
    <row r="2" spans="1:25" ht="17.399999999999999">
      <c r="A2" s="12" t="s">
        <v>4164</v>
      </c>
      <c r="B2" s="12" t="s">
        <v>4243</v>
      </c>
      <c r="C2" s="1" t="s">
        <v>5510</v>
      </c>
      <c r="D2" s="1" t="s">
        <v>4243</v>
      </c>
      <c r="E2" s="1" t="s">
        <v>5510</v>
      </c>
      <c r="K2" s="12">
        <v>1</v>
      </c>
      <c r="L2" s="12">
        <v>1</v>
      </c>
      <c r="T2" s="62"/>
      <c r="X2" s="12">
        <v>1</v>
      </c>
      <c r="Y2" s="12">
        <v>1</v>
      </c>
    </row>
    <row r="3" spans="1:25">
      <c r="A3" s="12" t="s">
        <v>5166</v>
      </c>
      <c r="B3" s="12" t="s">
        <v>4243</v>
      </c>
      <c r="C3" s="12" t="s">
        <v>4256</v>
      </c>
      <c r="D3" s="12" t="s">
        <v>4243</v>
      </c>
      <c r="E3" s="12" t="s">
        <v>4256</v>
      </c>
      <c r="K3" s="12">
        <v>2</v>
      </c>
      <c r="L3" s="12">
        <v>2</v>
      </c>
      <c r="T3" s="62"/>
      <c r="X3" s="12">
        <v>2</v>
      </c>
      <c r="Y3" s="12">
        <v>2</v>
      </c>
    </row>
    <row r="4" spans="1:25">
      <c r="A4" s="12" t="s">
        <v>5167</v>
      </c>
      <c r="B4" s="12" t="s">
        <v>4243</v>
      </c>
      <c r="C4" s="12" t="s">
        <v>4305</v>
      </c>
      <c r="D4" s="12" t="s">
        <v>4243</v>
      </c>
      <c r="E4" s="12" t="s">
        <v>4305</v>
      </c>
      <c r="K4" s="12">
        <v>3</v>
      </c>
      <c r="L4" s="12">
        <v>3</v>
      </c>
      <c r="T4" s="62"/>
      <c r="X4" s="12">
        <v>3</v>
      </c>
      <c r="Y4" s="12">
        <v>3</v>
      </c>
    </row>
    <row r="5" spans="1:25">
      <c r="A5" s="12" t="s">
        <v>5168</v>
      </c>
      <c r="B5" s="12" t="s">
        <v>4243</v>
      </c>
      <c r="C5" s="12" t="s">
        <v>4306</v>
      </c>
      <c r="D5" s="12" t="s">
        <v>4243</v>
      </c>
      <c r="E5" s="12" t="s">
        <v>4306</v>
      </c>
      <c r="K5" s="12">
        <v>4</v>
      </c>
      <c r="L5" s="12">
        <v>4</v>
      </c>
      <c r="T5" s="62"/>
      <c r="X5" s="12">
        <v>4</v>
      </c>
      <c r="Y5" s="12">
        <v>4</v>
      </c>
    </row>
    <row r="6" spans="1:25">
      <c r="A6" s="12" t="s">
        <v>20</v>
      </c>
      <c r="B6" s="12" t="s">
        <v>4243</v>
      </c>
      <c r="C6" s="12" t="s">
        <v>4257</v>
      </c>
      <c r="D6" s="12" t="s">
        <v>4243</v>
      </c>
      <c r="E6" s="12" t="s">
        <v>4257</v>
      </c>
      <c r="K6" s="12">
        <v>5</v>
      </c>
      <c r="L6" s="12">
        <v>5</v>
      </c>
      <c r="T6" s="62"/>
      <c r="X6" s="12">
        <v>5</v>
      </c>
      <c r="Y6" s="12">
        <v>5</v>
      </c>
    </row>
    <row r="7" spans="1:25">
      <c r="A7" s="12" t="s">
        <v>19</v>
      </c>
      <c r="B7" s="12" t="s">
        <v>4243</v>
      </c>
      <c r="C7" s="12" t="s">
        <v>4259</v>
      </c>
      <c r="D7" s="12" t="s">
        <v>4243</v>
      </c>
      <c r="E7" s="12" t="s">
        <v>4259</v>
      </c>
      <c r="K7" s="12">
        <v>6</v>
      </c>
      <c r="L7" s="12">
        <v>6</v>
      </c>
      <c r="T7" s="62"/>
      <c r="X7" s="12">
        <v>6</v>
      </c>
      <c r="Y7" s="12">
        <v>6</v>
      </c>
    </row>
    <row r="8" spans="1:25">
      <c r="A8" s="12" t="s">
        <v>21</v>
      </c>
      <c r="B8" s="12" t="s">
        <v>4243</v>
      </c>
      <c r="C8" s="12" t="s">
        <v>4260</v>
      </c>
      <c r="D8" s="12" t="s">
        <v>4243</v>
      </c>
      <c r="E8" s="12" t="s">
        <v>4260</v>
      </c>
      <c r="K8" s="12">
        <v>7</v>
      </c>
      <c r="L8" s="12">
        <v>7</v>
      </c>
      <c r="T8" s="62"/>
      <c r="X8" s="12">
        <v>7</v>
      </c>
      <c r="Y8" s="12">
        <v>7</v>
      </c>
    </row>
    <row r="9" spans="1:25">
      <c r="A9" s="12" t="s">
        <v>22</v>
      </c>
      <c r="B9" s="12" t="s">
        <v>4243</v>
      </c>
      <c r="C9" s="12" t="s">
        <v>4261</v>
      </c>
      <c r="D9" s="12" t="s">
        <v>4243</v>
      </c>
      <c r="E9" s="12" t="s">
        <v>4261</v>
      </c>
      <c r="K9" s="12">
        <v>8</v>
      </c>
      <c r="L9" s="12">
        <v>8</v>
      </c>
      <c r="T9" s="62"/>
      <c r="X9" s="12">
        <v>8</v>
      </c>
      <c r="Y9" s="12">
        <v>8</v>
      </c>
    </row>
    <row r="10" spans="1:25">
      <c r="A10" s="12" t="s">
        <v>4054</v>
      </c>
      <c r="B10" s="12" t="s">
        <v>4243</v>
      </c>
      <c r="C10" s="12" t="s">
        <v>5485</v>
      </c>
      <c r="D10" s="12" t="s">
        <v>4243</v>
      </c>
      <c r="E10" s="12" t="s">
        <v>5485</v>
      </c>
      <c r="K10" s="12">
        <v>9</v>
      </c>
      <c r="L10" s="12">
        <v>9</v>
      </c>
      <c r="T10" s="62"/>
      <c r="X10" s="12">
        <v>9</v>
      </c>
      <c r="Y10" s="12">
        <v>9</v>
      </c>
    </row>
    <row r="11" spans="1:25">
      <c r="A11" s="12" t="s">
        <v>4055</v>
      </c>
      <c r="B11" s="12" t="s">
        <v>4243</v>
      </c>
      <c r="C11" s="12" t="s">
        <v>5486</v>
      </c>
      <c r="D11" s="12" t="s">
        <v>4243</v>
      </c>
      <c r="E11" s="12" t="s">
        <v>5486</v>
      </c>
      <c r="K11" s="12">
        <v>10</v>
      </c>
      <c r="L11" s="12">
        <v>10</v>
      </c>
      <c r="T11" s="62"/>
      <c r="X11" s="12">
        <v>10</v>
      </c>
      <c r="Y11" s="12">
        <v>10</v>
      </c>
    </row>
    <row r="12" spans="1:25">
      <c r="A12" s="12" t="s">
        <v>4056</v>
      </c>
      <c r="B12" s="12" t="s">
        <v>4243</v>
      </c>
      <c r="C12" s="12" t="s">
        <v>5487</v>
      </c>
      <c r="D12" s="12" t="s">
        <v>4243</v>
      </c>
      <c r="E12" s="12" t="s">
        <v>5487</v>
      </c>
      <c r="K12" s="12">
        <v>11</v>
      </c>
      <c r="L12" s="12">
        <v>11</v>
      </c>
      <c r="T12" s="62"/>
      <c r="X12" s="12">
        <v>11</v>
      </c>
      <c r="Y12" s="12">
        <v>11</v>
      </c>
    </row>
    <row r="13" spans="1:25">
      <c r="A13" s="12" t="s">
        <v>4060</v>
      </c>
      <c r="B13" s="12" t="s">
        <v>4243</v>
      </c>
      <c r="C13" s="12" t="s">
        <v>5488</v>
      </c>
      <c r="D13" s="12" t="s">
        <v>4243</v>
      </c>
      <c r="E13" s="12" t="s">
        <v>5488</v>
      </c>
      <c r="K13" s="12">
        <v>12</v>
      </c>
      <c r="L13" s="12">
        <v>12</v>
      </c>
      <c r="T13" s="62"/>
      <c r="X13" s="12">
        <v>12</v>
      </c>
      <c r="Y13" s="12">
        <v>12</v>
      </c>
    </row>
    <row r="14" spans="1:25">
      <c r="A14" s="12" t="s">
        <v>23</v>
      </c>
      <c r="B14" s="12" t="s">
        <v>4243</v>
      </c>
      <c r="C14" s="12" t="s">
        <v>4244</v>
      </c>
      <c r="D14" s="12" t="s">
        <v>4243</v>
      </c>
      <c r="E14" s="12" t="s">
        <v>4244</v>
      </c>
      <c r="K14" s="12">
        <v>13</v>
      </c>
      <c r="L14" s="12">
        <v>13</v>
      </c>
      <c r="T14" s="62"/>
      <c r="X14" s="12">
        <v>13</v>
      </c>
      <c r="Y14" s="12">
        <v>13</v>
      </c>
    </row>
    <row r="15" spans="1:25">
      <c r="A15" s="12" t="s">
        <v>4307</v>
      </c>
      <c r="B15" s="12" t="s">
        <v>4243</v>
      </c>
      <c r="C15" s="12" t="s">
        <v>4283</v>
      </c>
      <c r="D15" s="12" t="s">
        <v>4243</v>
      </c>
      <c r="E15" s="12" t="s">
        <v>4283</v>
      </c>
      <c r="K15" s="12">
        <v>14</v>
      </c>
      <c r="L15" s="12">
        <v>14</v>
      </c>
      <c r="T15" s="62"/>
      <c r="X15" s="12">
        <v>14</v>
      </c>
      <c r="Y15" s="12">
        <v>14</v>
      </c>
    </row>
    <row r="16" spans="1:25">
      <c r="A16" s="12" t="s">
        <v>4308</v>
      </c>
      <c r="B16" s="12" t="s">
        <v>4243</v>
      </c>
      <c r="C16" s="12" t="s">
        <v>4309</v>
      </c>
      <c r="D16" s="12" t="s">
        <v>4243</v>
      </c>
      <c r="E16" s="12" t="s">
        <v>4309</v>
      </c>
      <c r="K16" s="12">
        <v>15</v>
      </c>
      <c r="L16" s="12">
        <v>15</v>
      </c>
      <c r="T16" s="62"/>
      <c r="X16" s="12">
        <v>15</v>
      </c>
      <c r="Y16" s="12">
        <v>15</v>
      </c>
    </row>
    <row r="17" spans="1:25">
      <c r="A17" s="12" t="s">
        <v>24</v>
      </c>
      <c r="B17" s="12" t="s">
        <v>4243</v>
      </c>
      <c r="C17" s="12" t="s">
        <v>4245</v>
      </c>
      <c r="D17" s="12" t="s">
        <v>4243</v>
      </c>
      <c r="E17" s="12" t="s">
        <v>4245</v>
      </c>
      <c r="K17" s="12">
        <v>16</v>
      </c>
      <c r="L17" s="12">
        <v>16</v>
      </c>
      <c r="T17" s="62"/>
      <c r="X17" s="12">
        <v>16</v>
      </c>
      <c r="Y17" s="12">
        <v>16</v>
      </c>
    </row>
    <row r="18" spans="1:25">
      <c r="A18" s="12" t="s">
        <v>4310</v>
      </c>
      <c r="B18" s="12" t="s">
        <v>4243</v>
      </c>
      <c r="C18" s="12" t="s">
        <v>4248</v>
      </c>
      <c r="D18" s="12" t="s">
        <v>4243</v>
      </c>
      <c r="E18" s="12" t="s">
        <v>4248</v>
      </c>
      <c r="K18" s="12">
        <v>17</v>
      </c>
      <c r="L18" s="12">
        <v>17</v>
      </c>
      <c r="T18" s="62"/>
      <c r="X18" s="12">
        <v>17</v>
      </c>
      <c r="Y18" s="12">
        <v>17</v>
      </c>
    </row>
    <row r="19" spans="1:25">
      <c r="A19" s="12" t="s">
        <v>4311</v>
      </c>
      <c r="B19" s="12" t="s">
        <v>4243</v>
      </c>
      <c r="C19" s="12" t="s">
        <v>4250</v>
      </c>
      <c r="D19" s="12" t="s">
        <v>4243</v>
      </c>
      <c r="E19" s="12" t="s">
        <v>4250</v>
      </c>
      <c r="K19" s="12">
        <v>18</v>
      </c>
      <c r="L19" s="12">
        <v>18</v>
      </c>
      <c r="T19" s="62"/>
      <c r="X19" s="12">
        <v>18</v>
      </c>
      <c r="Y19" s="12">
        <v>18</v>
      </c>
    </row>
    <row r="20" spans="1:25">
      <c r="A20" s="12" t="s">
        <v>4312</v>
      </c>
      <c r="B20" s="12" t="s">
        <v>4243</v>
      </c>
      <c r="C20" s="12" t="s">
        <v>4252</v>
      </c>
      <c r="D20" s="12" t="s">
        <v>4243</v>
      </c>
      <c r="E20" s="12" t="s">
        <v>4252</v>
      </c>
      <c r="K20" s="12">
        <v>19</v>
      </c>
      <c r="L20" s="12">
        <v>19</v>
      </c>
      <c r="T20" s="62"/>
      <c r="X20" s="12">
        <v>19</v>
      </c>
      <c r="Y20" s="12">
        <v>19</v>
      </c>
    </row>
    <row r="21" spans="1:25">
      <c r="A21" s="12" t="s">
        <v>4313</v>
      </c>
      <c r="B21" s="12" t="s">
        <v>4243</v>
      </c>
      <c r="C21" s="12" t="s">
        <v>4254</v>
      </c>
      <c r="D21" s="12" t="s">
        <v>4243</v>
      </c>
      <c r="E21" s="12" t="s">
        <v>4254</v>
      </c>
      <c r="K21" s="12">
        <v>20</v>
      </c>
      <c r="L21" s="12">
        <v>20</v>
      </c>
      <c r="T21" s="62"/>
      <c r="X21" s="12">
        <v>20</v>
      </c>
      <c r="Y21" s="12">
        <v>20</v>
      </c>
    </row>
    <row r="22" spans="1:25" ht="17.399999999999999">
      <c r="A22" s="12" t="s">
        <v>104</v>
      </c>
      <c r="B22" s="12" t="s">
        <v>4243</v>
      </c>
      <c r="C22" s="12" t="s">
        <v>4269</v>
      </c>
      <c r="D22" s="12" t="s">
        <v>4243</v>
      </c>
      <c r="E22" s="1" t="s">
        <v>5510</v>
      </c>
      <c r="K22" s="12">
        <v>21</v>
      </c>
      <c r="L22" s="12">
        <v>21</v>
      </c>
      <c r="T22" s="62"/>
      <c r="X22" s="12">
        <v>21</v>
      </c>
      <c r="Y22" s="12">
        <v>21</v>
      </c>
    </row>
    <row r="23" spans="1:25" ht="17.399999999999999">
      <c r="A23" s="12" t="s">
        <v>105</v>
      </c>
      <c r="B23" s="12" t="s">
        <v>4243</v>
      </c>
      <c r="C23" s="12" t="s">
        <v>4270</v>
      </c>
      <c r="D23" s="12" t="s">
        <v>4243</v>
      </c>
      <c r="E23" s="1" t="s">
        <v>5510</v>
      </c>
      <c r="K23" s="12">
        <v>22</v>
      </c>
      <c r="L23" s="12">
        <v>22</v>
      </c>
      <c r="T23" s="62"/>
      <c r="X23" s="12">
        <v>22</v>
      </c>
      <c r="Y23" s="12">
        <v>22</v>
      </c>
    </row>
    <row r="24" spans="1:25">
      <c r="A24" s="12" t="s">
        <v>31</v>
      </c>
      <c r="B24" s="12" t="s">
        <v>4243</v>
      </c>
      <c r="C24" s="12" t="s">
        <v>4271</v>
      </c>
      <c r="D24" s="12" t="s">
        <v>4243</v>
      </c>
      <c r="E24" s="12" t="s">
        <v>4271</v>
      </c>
      <c r="K24" s="12">
        <v>23</v>
      </c>
      <c r="L24" s="12">
        <v>23</v>
      </c>
      <c r="T24" s="62"/>
      <c r="X24" s="12">
        <v>23</v>
      </c>
      <c r="Y24" s="12">
        <v>23</v>
      </c>
    </row>
    <row r="25" spans="1:25">
      <c r="A25" s="12" t="s">
        <v>4314</v>
      </c>
      <c r="B25" s="12" t="s">
        <v>4243</v>
      </c>
      <c r="C25" s="12" t="s">
        <v>4289</v>
      </c>
      <c r="D25" s="12" t="s">
        <v>4243</v>
      </c>
      <c r="E25" s="12" t="s">
        <v>4289</v>
      </c>
      <c r="K25" s="12">
        <v>24</v>
      </c>
      <c r="L25" s="12">
        <v>24</v>
      </c>
      <c r="T25" s="62"/>
      <c r="X25" s="12">
        <v>24</v>
      </c>
      <c r="Y25" s="12">
        <v>24</v>
      </c>
    </row>
    <row r="26" spans="1:25">
      <c r="A26" s="12" t="s">
        <v>4315</v>
      </c>
      <c r="B26" s="12" t="s">
        <v>4243</v>
      </c>
      <c r="C26" s="12" t="s">
        <v>4316</v>
      </c>
      <c r="D26" s="12" t="s">
        <v>4243</v>
      </c>
      <c r="E26" s="12" t="s">
        <v>4316</v>
      </c>
      <c r="K26" s="12">
        <v>25</v>
      </c>
      <c r="L26" s="12">
        <v>25</v>
      </c>
      <c r="T26" s="62"/>
      <c r="X26" s="12">
        <v>25</v>
      </c>
      <c r="Y26" s="12">
        <v>25</v>
      </c>
    </row>
    <row r="27" spans="1:25">
      <c r="A27" s="12" t="s">
        <v>4</v>
      </c>
      <c r="B27" s="12" t="s">
        <v>4243</v>
      </c>
      <c r="C27" s="12" t="s">
        <v>4246</v>
      </c>
      <c r="D27" s="12" t="s">
        <v>4243</v>
      </c>
      <c r="E27" s="12" t="s">
        <v>4246</v>
      </c>
      <c r="K27" s="12">
        <v>26</v>
      </c>
      <c r="L27" s="12">
        <v>26</v>
      </c>
      <c r="T27" s="62"/>
      <c r="X27" s="12">
        <v>26</v>
      </c>
      <c r="Y27" s="12">
        <v>26</v>
      </c>
    </row>
    <row r="28" spans="1:25">
      <c r="A28" s="12" t="s">
        <v>33</v>
      </c>
      <c r="B28" s="12" t="s">
        <v>4243</v>
      </c>
      <c r="C28" s="12" t="s">
        <v>4247</v>
      </c>
      <c r="D28" s="12" t="s">
        <v>4243</v>
      </c>
      <c r="E28" s="12" t="s">
        <v>4247</v>
      </c>
      <c r="K28" s="12">
        <v>27</v>
      </c>
      <c r="L28" s="12">
        <v>27</v>
      </c>
    </row>
    <row r="29" spans="1:25">
      <c r="A29" s="12" t="s">
        <v>34</v>
      </c>
      <c r="B29" s="12" t="s">
        <v>4243</v>
      </c>
      <c r="C29" s="12" t="s">
        <v>4249</v>
      </c>
      <c r="D29" s="12" t="s">
        <v>4243</v>
      </c>
      <c r="E29" s="12" t="s">
        <v>4249</v>
      </c>
      <c r="K29" s="12">
        <v>28</v>
      </c>
      <c r="L29" s="12">
        <v>28</v>
      </c>
    </row>
    <row r="30" spans="1:25">
      <c r="A30" s="12" t="s">
        <v>35</v>
      </c>
      <c r="B30" s="12" t="s">
        <v>4243</v>
      </c>
      <c r="C30" s="12" t="s">
        <v>4251</v>
      </c>
      <c r="D30" s="12" t="s">
        <v>4243</v>
      </c>
      <c r="E30" s="12" t="s">
        <v>4251</v>
      </c>
      <c r="K30" s="12">
        <v>29</v>
      </c>
      <c r="L30" s="12">
        <v>29</v>
      </c>
    </row>
    <row r="31" spans="1:25">
      <c r="A31" s="12" t="s">
        <v>4038</v>
      </c>
      <c r="B31" s="12" t="s">
        <v>4243</v>
      </c>
      <c r="C31" s="12" t="s">
        <v>4253</v>
      </c>
      <c r="D31" s="12" t="s">
        <v>4243</v>
      </c>
      <c r="E31" s="12" t="s">
        <v>4253</v>
      </c>
      <c r="K31" s="12">
        <v>30</v>
      </c>
      <c r="L31" s="12">
        <v>30</v>
      </c>
    </row>
    <row r="32" spans="1:25">
      <c r="A32" s="12" t="s">
        <v>4673</v>
      </c>
      <c r="B32" s="12" t="s">
        <v>4672</v>
      </c>
      <c r="C32" s="12" t="s">
        <v>5169</v>
      </c>
      <c r="D32" s="12" t="s">
        <v>4672</v>
      </c>
      <c r="E32" s="12" t="s">
        <v>5169</v>
      </c>
      <c r="K32" s="12">
        <v>31</v>
      </c>
      <c r="L32" s="12">
        <v>1</v>
      </c>
    </row>
    <row r="33" spans="1:12">
      <c r="A33" s="12" t="s">
        <v>4674</v>
      </c>
      <c r="B33" s="12" t="s">
        <v>4672</v>
      </c>
      <c r="C33" s="12" t="s">
        <v>5170</v>
      </c>
      <c r="D33" s="12" t="s">
        <v>4672</v>
      </c>
      <c r="E33" s="12" t="s">
        <v>5170</v>
      </c>
      <c r="K33" s="12">
        <v>32</v>
      </c>
      <c r="L33" s="12">
        <v>2</v>
      </c>
    </row>
    <row r="34" spans="1:12">
      <c r="A34" s="12" t="s">
        <v>5171</v>
      </c>
      <c r="B34" s="12" t="s">
        <v>4672</v>
      </c>
      <c r="C34" s="12" t="s">
        <v>5489</v>
      </c>
      <c r="D34" s="12" t="s">
        <v>4672</v>
      </c>
      <c r="E34" s="12" t="s">
        <v>5489</v>
      </c>
      <c r="K34" s="12">
        <v>33</v>
      </c>
      <c r="L34" s="12">
        <v>3</v>
      </c>
    </row>
    <row r="35" spans="1:12">
      <c r="A35" s="12" t="s">
        <v>5172</v>
      </c>
      <c r="B35" s="12" t="s">
        <v>4672</v>
      </c>
      <c r="C35" s="12" t="s">
        <v>5490</v>
      </c>
      <c r="D35" s="12" t="s">
        <v>4672</v>
      </c>
      <c r="E35" s="12" t="s">
        <v>5490</v>
      </c>
      <c r="K35" s="12">
        <v>34</v>
      </c>
      <c r="L35" s="12">
        <v>4</v>
      </c>
    </row>
    <row r="36" spans="1:12">
      <c r="A36" s="12" t="s">
        <v>4675</v>
      </c>
      <c r="B36" s="12" t="s">
        <v>4672</v>
      </c>
      <c r="C36" s="12" t="s">
        <v>5173</v>
      </c>
      <c r="D36" s="12" t="s">
        <v>4672</v>
      </c>
      <c r="E36" s="12" t="s">
        <v>5173</v>
      </c>
      <c r="K36" s="12">
        <v>35</v>
      </c>
      <c r="L36" s="12">
        <v>5</v>
      </c>
    </row>
    <row r="37" spans="1:12">
      <c r="A37" s="12" t="s">
        <v>4317</v>
      </c>
      <c r="B37" s="12" t="s">
        <v>4318</v>
      </c>
      <c r="C37" s="12" t="s">
        <v>4256</v>
      </c>
      <c r="D37" s="12" t="s">
        <v>4318</v>
      </c>
      <c r="E37" s="12" t="s">
        <v>4256</v>
      </c>
      <c r="K37" s="12">
        <v>36</v>
      </c>
      <c r="L37" s="12">
        <v>1</v>
      </c>
    </row>
    <row r="38" spans="1:12">
      <c r="A38" s="12" t="s">
        <v>4319</v>
      </c>
      <c r="B38" s="12" t="s">
        <v>4318</v>
      </c>
      <c r="C38" s="12" t="s">
        <v>4257</v>
      </c>
      <c r="D38" s="12" t="s">
        <v>4318</v>
      </c>
      <c r="E38" s="12" t="s">
        <v>4257</v>
      </c>
      <c r="K38" s="12">
        <v>37</v>
      </c>
      <c r="L38" s="12">
        <v>2</v>
      </c>
    </row>
    <row r="39" spans="1:12">
      <c r="A39" s="12" t="s">
        <v>4320</v>
      </c>
      <c r="B39" s="12" t="s">
        <v>4318</v>
      </c>
      <c r="C39" s="12" t="s">
        <v>4259</v>
      </c>
      <c r="D39" s="12" t="s">
        <v>4318</v>
      </c>
      <c r="E39" s="12" t="s">
        <v>4259</v>
      </c>
      <c r="K39" s="12">
        <v>38</v>
      </c>
      <c r="L39" s="12">
        <v>3</v>
      </c>
    </row>
    <row r="40" spans="1:12">
      <c r="A40" s="12" t="s">
        <v>4321</v>
      </c>
      <c r="B40" s="12" t="s">
        <v>4318</v>
      </c>
      <c r="C40" s="12" t="s">
        <v>4260</v>
      </c>
      <c r="D40" s="12" t="s">
        <v>4318</v>
      </c>
      <c r="E40" s="12" t="s">
        <v>4260</v>
      </c>
      <c r="K40" s="12">
        <v>39</v>
      </c>
      <c r="L40" s="12">
        <v>4</v>
      </c>
    </row>
    <row r="41" spans="1:12">
      <c r="A41" s="12" t="s">
        <v>4322</v>
      </c>
      <c r="B41" s="12" t="s">
        <v>4318</v>
      </c>
      <c r="C41" s="12" t="s">
        <v>4261</v>
      </c>
      <c r="D41" s="12" t="s">
        <v>4318</v>
      </c>
      <c r="E41" s="12" t="s">
        <v>4261</v>
      </c>
      <c r="K41" s="12">
        <v>40</v>
      </c>
      <c r="L41" s="12">
        <v>5</v>
      </c>
    </row>
    <row r="42" spans="1:12">
      <c r="A42" s="12" t="s">
        <v>4323</v>
      </c>
      <c r="B42" s="12" t="s">
        <v>4318</v>
      </c>
      <c r="C42" s="12" t="s">
        <v>4262</v>
      </c>
      <c r="D42" s="12" t="s">
        <v>4318</v>
      </c>
      <c r="E42" s="12" t="s">
        <v>4262</v>
      </c>
      <c r="K42" s="12">
        <v>41</v>
      </c>
      <c r="L42" s="12">
        <v>6</v>
      </c>
    </row>
    <row r="43" spans="1:12">
      <c r="A43" s="12" t="s">
        <v>4324</v>
      </c>
      <c r="B43" s="12" t="s">
        <v>4318</v>
      </c>
      <c r="C43" s="12" t="s">
        <v>4263</v>
      </c>
      <c r="D43" s="12" t="s">
        <v>4318</v>
      </c>
      <c r="E43" s="12" t="s">
        <v>4263</v>
      </c>
      <c r="K43" s="12">
        <v>42</v>
      </c>
      <c r="L43" s="12">
        <v>7</v>
      </c>
    </row>
    <row r="44" spans="1:12">
      <c r="A44" s="12" t="s">
        <v>4325</v>
      </c>
      <c r="B44" s="12" t="s">
        <v>4318</v>
      </c>
      <c r="C44" s="12" t="s">
        <v>4264</v>
      </c>
      <c r="D44" s="12" t="s">
        <v>4318</v>
      </c>
      <c r="E44" s="12" t="s">
        <v>4264</v>
      </c>
      <c r="K44" s="12">
        <v>43</v>
      </c>
      <c r="L44" s="12">
        <v>8</v>
      </c>
    </row>
    <row r="45" spans="1:12">
      <c r="A45" s="12" t="s">
        <v>4326</v>
      </c>
      <c r="B45" s="12" t="s">
        <v>4318</v>
      </c>
      <c r="C45" s="12" t="s">
        <v>4265</v>
      </c>
      <c r="D45" s="12" t="s">
        <v>4318</v>
      </c>
      <c r="E45" s="12" t="s">
        <v>4265</v>
      </c>
      <c r="K45" s="12">
        <v>44</v>
      </c>
      <c r="L45" s="12">
        <v>9</v>
      </c>
    </row>
    <row r="46" spans="1:12">
      <c r="A46" s="12" t="s">
        <v>4327</v>
      </c>
      <c r="B46" s="12" t="s">
        <v>4318</v>
      </c>
      <c r="C46" s="12" t="s">
        <v>4244</v>
      </c>
      <c r="D46" s="12" t="s">
        <v>4318</v>
      </c>
      <c r="E46" s="12" t="s">
        <v>4244</v>
      </c>
      <c r="K46" s="12">
        <v>45</v>
      </c>
      <c r="L46" s="12">
        <v>10</v>
      </c>
    </row>
    <row r="47" spans="1:12">
      <c r="A47" s="12" t="s">
        <v>4328</v>
      </c>
      <c r="B47" s="12" t="s">
        <v>4318</v>
      </c>
      <c r="C47" s="12" t="s">
        <v>4266</v>
      </c>
      <c r="D47" s="12" t="s">
        <v>4318</v>
      </c>
      <c r="E47" s="12" t="s">
        <v>4266</v>
      </c>
      <c r="K47" s="12">
        <v>46</v>
      </c>
      <c r="L47" s="12">
        <v>11</v>
      </c>
    </row>
    <row r="48" spans="1:12">
      <c r="A48" s="12" t="s">
        <v>4329</v>
      </c>
      <c r="B48" s="12" t="s">
        <v>4318</v>
      </c>
      <c r="C48" s="12" t="s">
        <v>4245</v>
      </c>
      <c r="D48" s="12" t="s">
        <v>4318</v>
      </c>
      <c r="E48" s="12" t="s">
        <v>4245</v>
      </c>
      <c r="K48" s="12">
        <v>47</v>
      </c>
      <c r="L48" s="12">
        <v>12</v>
      </c>
    </row>
    <row r="49" spans="1:12">
      <c r="A49" s="12" t="s">
        <v>4330</v>
      </c>
      <c r="B49" s="12" t="s">
        <v>4318</v>
      </c>
      <c r="C49" s="12" t="s">
        <v>4248</v>
      </c>
      <c r="D49" s="12" t="s">
        <v>4318</v>
      </c>
      <c r="E49" s="12" t="s">
        <v>4248</v>
      </c>
      <c r="K49" s="12">
        <v>48</v>
      </c>
      <c r="L49" s="12">
        <v>13</v>
      </c>
    </row>
    <row r="50" spans="1:12">
      <c r="A50" s="12" t="s">
        <v>4336</v>
      </c>
      <c r="B50" s="12" t="s">
        <v>4318</v>
      </c>
      <c r="C50" s="12" t="s">
        <v>4273</v>
      </c>
      <c r="D50" s="12" t="s">
        <v>4318</v>
      </c>
      <c r="E50" s="12" t="s">
        <v>4273</v>
      </c>
      <c r="K50" s="12">
        <v>49</v>
      </c>
      <c r="L50" s="12">
        <v>31</v>
      </c>
    </row>
    <row r="51" spans="1:12">
      <c r="A51" s="12" t="s">
        <v>4337</v>
      </c>
      <c r="B51" s="12" t="s">
        <v>4318</v>
      </c>
      <c r="C51" s="12" t="s">
        <v>4274</v>
      </c>
      <c r="D51" s="12" t="s">
        <v>4318</v>
      </c>
      <c r="E51" s="12" t="s">
        <v>4274</v>
      </c>
      <c r="K51" s="12">
        <v>50</v>
      </c>
      <c r="L51" s="12">
        <v>32</v>
      </c>
    </row>
    <row r="52" spans="1:12">
      <c r="A52" s="12" t="s">
        <v>4338</v>
      </c>
      <c r="B52" s="12" t="s">
        <v>4318</v>
      </c>
      <c r="C52" s="12" t="s">
        <v>4275</v>
      </c>
      <c r="D52" s="12" t="s">
        <v>4318</v>
      </c>
      <c r="E52" s="12" t="s">
        <v>4275</v>
      </c>
      <c r="K52" s="12">
        <v>51</v>
      </c>
      <c r="L52" s="12">
        <v>33</v>
      </c>
    </row>
    <row r="53" spans="1:12">
      <c r="A53" s="12" t="s">
        <v>4339</v>
      </c>
      <c r="B53" s="12" t="s">
        <v>4318</v>
      </c>
      <c r="C53" s="12" t="s">
        <v>4276</v>
      </c>
      <c r="D53" s="12" t="s">
        <v>4318</v>
      </c>
      <c r="E53" s="12" t="s">
        <v>4276</v>
      </c>
      <c r="K53" s="12">
        <v>52</v>
      </c>
      <c r="L53" s="12">
        <v>34</v>
      </c>
    </row>
    <row r="54" spans="1:12">
      <c r="A54" s="12" t="s">
        <v>4340</v>
      </c>
      <c r="B54" s="12" t="s">
        <v>4318</v>
      </c>
      <c r="C54" s="12" t="s">
        <v>4277</v>
      </c>
      <c r="D54" s="12" t="s">
        <v>4318</v>
      </c>
      <c r="E54" s="12" t="s">
        <v>4277</v>
      </c>
      <c r="K54" s="12">
        <v>53</v>
      </c>
      <c r="L54" s="12">
        <v>35</v>
      </c>
    </row>
    <row r="55" spans="1:12">
      <c r="A55" s="12" t="s">
        <v>4341</v>
      </c>
      <c r="B55" s="12" t="s">
        <v>4318</v>
      </c>
      <c r="C55" s="12" t="s">
        <v>4278</v>
      </c>
      <c r="D55" s="12" t="s">
        <v>4318</v>
      </c>
      <c r="E55" s="12" t="s">
        <v>4278</v>
      </c>
      <c r="K55" s="12">
        <v>54</v>
      </c>
      <c r="L55" s="12">
        <v>36</v>
      </c>
    </row>
    <row r="56" spans="1:12">
      <c r="A56" s="12" t="s">
        <v>4342</v>
      </c>
      <c r="B56" s="12" t="s">
        <v>4318</v>
      </c>
      <c r="C56" s="12" t="s">
        <v>4279</v>
      </c>
      <c r="D56" s="12" t="s">
        <v>4318</v>
      </c>
      <c r="E56" s="12" t="s">
        <v>4279</v>
      </c>
      <c r="K56" s="12">
        <v>55</v>
      </c>
      <c r="L56" s="12">
        <v>37</v>
      </c>
    </row>
    <row r="57" spans="1:12">
      <c r="A57" s="12" t="s">
        <v>4343</v>
      </c>
      <c r="B57" s="12" t="s">
        <v>4318</v>
      </c>
      <c r="C57" s="12" t="s">
        <v>4280</v>
      </c>
      <c r="D57" s="12" t="s">
        <v>4318</v>
      </c>
      <c r="E57" s="12" t="s">
        <v>4280</v>
      </c>
      <c r="K57" s="12">
        <v>56</v>
      </c>
      <c r="L57" s="12">
        <v>38</v>
      </c>
    </row>
    <row r="58" spans="1:12">
      <c r="A58" s="12" t="s">
        <v>4344</v>
      </c>
      <c r="B58" s="12" t="s">
        <v>4318</v>
      </c>
      <c r="C58" s="12" t="s">
        <v>4281</v>
      </c>
      <c r="D58" s="12" t="s">
        <v>4318</v>
      </c>
      <c r="E58" s="12" t="s">
        <v>4281</v>
      </c>
      <c r="K58" s="12">
        <v>57</v>
      </c>
      <c r="L58" s="12">
        <v>39</v>
      </c>
    </row>
    <row r="59" spans="1:12">
      <c r="A59" s="12" t="s">
        <v>4345</v>
      </c>
      <c r="B59" s="12" t="s">
        <v>4318</v>
      </c>
      <c r="C59" s="12" t="s">
        <v>4282</v>
      </c>
      <c r="D59" s="12" t="s">
        <v>4318</v>
      </c>
      <c r="E59" s="12" t="s">
        <v>4282</v>
      </c>
      <c r="K59" s="12">
        <v>58</v>
      </c>
      <c r="L59" s="12">
        <v>40</v>
      </c>
    </row>
    <row r="60" spans="1:12">
      <c r="A60" s="12" t="s">
        <v>4346</v>
      </c>
      <c r="B60" s="12" t="s">
        <v>4318</v>
      </c>
      <c r="C60" s="12" t="s">
        <v>4283</v>
      </c>
      <c r="D60" s="12" t="s">
        <v>4318</v>
      </c>
      <c r="E60" s="12" t="s">
        <v>4283</v>
      </c>
      <c r="K60" s="12">
        <v>59</v>
      </c>
      <c r="L60" s="12">
        <v>41</v>
      </c>
    </row>
    <row r="61" spans="1:12">
      <c r="A61" s="12" t="s">
        <v>4347</v>
      </c>
      <c r="B61" s="12" t="s">
        <v>4318</v>
      </c>
      <c r="C61" s="12" t="s">
        <v>4284</v>
      </c>
      <c r="D61" s="12" t="s">
        <v>4318</v>
      </c>
      <c r="E61" s="12" t="s">
        <v>4284</v>
      </c>
      <c r="K61" s="12">
        <v>60</v>
      </c>
      <c r="L61" s="12">
        <v>42</v>
      </c>
    </row>
    <row r="62" spans="1:12">
      <c r="A62" s="12" t="s">
        <v>4348</v>
      </c>
      <c r="B62" s="12" t="s">
        <v>4318</v>
      </c>
      <c r="C62" s="12" t="s">
        <v>4250</v>
      </c>
      <c r="D62" s="12" t="s">
        <v>4318</v>
      </c>
      <c r="E62" s="12" t="s">
        <v>4250</v>
      </c>
      <c r="K62" s="12">
        <v>61</v>
      </c>
      <c r="L62" s="12">
        <v>43</v>
      </c>
    </row>
    <row r="63" spans="1:12">
      <c r="A63" s="12" t="s">
        <v>4349</v>
      </c>
      <c r="B63" s="12" t="s">
        <v>4318</v>
      </c>
      <c r="C63" s="12" t="s">
        <v>4350</v>
      </c>
      <c r="D63" s="12" t="s">
        <v>4318</v>
      </c>
      <c r="E63" s="12" t="s">
        <v>4350</v>
      </c>
      <c r="K63" s="12">
        <v>62</v>
      </c>
      <c r="L63" s="12">
        <v>61</v>
      </c>
    </row>
    <row r="64" spans="1:12">
      <c r="A64" s="12" t="s">
        <v>4351</v>
      </c>
      <c r="B64" s="12" t="s">
        <v>4318</v>
      </c>
      <c r="C64" s="12" t="s">
        <v>4352</v>
      </c>
      <c r="D64" s="12" t="s">
        <v>4318</v>
      </c>
      <c r="E64" s="12" t="s">
        <v>4352</v>
      </c>
      <c r="K64" s="12">
        <v>63</v>
      </c>
      <c r="L64" s="12">
        <v>62</v>
      </c>
    </row>
    <row r="65" spans="1:12">
      <c r="A65" s="12" t="s">
        <v>4353</v>
      </c>
      <c r="B65" s="12" t="s">
        <v>4318</v>
      </c>
      <c r="C65" s="12" t="s">
        <v>4354</v>
      </c>
      <c r="D65" s="12" t="s">
        <v>4318</v>
      </c>
      <c r="E65" s="12" t="s">
        <v>4354</v>
      </c>
      <c r="K65" s="12">
        <v>64</v>
      </c>
      <c r="L65" s="12">
        <v>63</v>
      </c>
    </row>
    <row r="66" spans="1:12">
      <c r="A66" s="12" t="s">
        <v>4355</v>
      </c>
      <c r="B66" s="12" t="s">
        <v>4318</v>
      </c>
      <c r="C66" s="12" t="s">
        <v>4356</v>
      </c>
      <c r="D66" s="12" t="s">
        <v>4318</v>
      </c>
      <c r="E66" s="12" t="s">
        <v>4356</v>
      </c>
      <c r="K66" s="12">
        <v>65</v>
      </c>
      <c r="L66" s="12">
        <v>64</v>
      </c>
    </row>
    <row r="67" spans="1:12">
      <c r="A67" s="12" t="s">
        <v>4357</v>
      </c>
      <c r="B67" s="12" t="s">
        <v>4318</v>
      </c>
      <c r="C67" s="12" t="s">
        <v>4358</v>
      </c>
      <c r="D67" s="12" t="s">
        <v>4318</v>
      </c>
      <c r="E67" s="12" t="s">
        <v>4358</v>
      </c>
      <c r="K67" s="12">
        <v>66</v>
      </c>
      <c r="L67" s="12">
        <v>65</v>
      </c>
    </row>
    <row r="68" spans="1:12">
      <c r="A68" s="12" t="s">
        <v>4359</v>
      </c>
      <c r="B68" s="12" t="s">
        <v>4318</v>
      </c>
      <c r="C68" s="12" t="s">
        <v>4360</v>
      </c>
      <c r="D68" s="12" t="s">
        <v>4318</v>
      </c>
      <c r="E68" s="12" t="s">
        <v>4360</v>
      </c>
      <c r="K68" s="12">
        <v>67</v>
      </c>
      <c r="L68" s="12">
        <v>66</v>
      </c>
    </row>
    <row r="69" spans="1:12">
      <c r="A69" s="12" t="s">
        <v>4361</v>
      </c>
      <c r="B69" s="12" t="s">
        <v>4318</v>
      </c>
      <c r="C69" s="12" t="s">
        <v>4362</v>
      </c>
      <c r="D69" s="12" t="s">
        <v>4318</v>
      </c>
      <c r="E69" s="12" t="s">
        <v>4362</v>
      </c>
      <c r="K69" s="12">
        <v>68</v>
      </c>
      <c r="L69" s="12">
        <v>67</v>
      </c>
    </row>
    <row r="70" spans="1:12">
      <c r="A70" s="12" t="s">
        <v>4363</v>
      </c>
      <c r="B70" s="12" t="s">
        <v>4318</v>
      </c>
      <c r="C70" s="12" t="s">
        <v>4364</v>
      </c>
      <c r="D70" s="12" t="s">
        <v>4318</v>
      </c>
      <c r="E70" s="12" t="s">
        <v>4364</v>
      </c>
      <c r="K70" s="12">
        <v>69</v>
      </c>
      <c r="L70" s="12">
        <v>68</v>
      </c>
    </row>
    <row r="71" spans="1:12">
      <c r="A71" s="12" t="s">
        <v>4365</v>
      </c>
      <c r="B71" s="12" t="s">
        <v>4318</v>
      </c>
      <c r="C71" s="12" t="s">
        <v>4366</v>
      </c>
      <c r="D71" s="12" t="s">
        <v>4318</v>
      </c>
      <c r="E71" s="12" t="s">
        <v>4366</v>
      </c>
      <c r="K71" s="12">
        <v>70</v>
      </c>
      <c r="L71" s="12">
        <v>69</v>
      </c>
    </row>
    <row r="72" spans="1:12">
      <c r="A72" s="12" t="s">
        <v>4367</v>
      </c>
      <c r="B72" s="12" t="s">
        <v>4318</v>
      </c>
      <c r="C72" s="12" t="s">
        <v>4368</v>
      </c>
      <c r="D72" s="12" t="s">
        <v>4318</v>
      </c>
      <c r="E72" s="12" t="s">
        <v>4368</v>
      </c>
      <c r="K72" s="12">
        <v>71</v>
      </c>
      <c r="L72" s="12">
        <v>70</v>
      </c>
    </row>
    <row r="73" spans="1:12">
      <c r="A73" s="12" t="s">
        <v>4369</v>
      </c>
      <c r="B73" s="12" t="s">
        <v>4318</v>
      </c>
      <c r="C73" s="12" t="s">
        <v>4370</v>
      </c>
      <c r="D73" s="12" t="s">
        <v>4318</v>
      </c>
      <c r="E73" s="12" t="s">
        <v>4370</v>
      </c>
      <c r="K73" s="12">
        <v>72</v>
      </c>
      <c r="L73" s="12">
        <v>71</v>
      </c>
    </row>
    <row r="74" spans="1:12">
      <c r="A74" s="12" t="s">
        <v>4371</v>
      </c>
      <c r="B74" s="12" t="s">
        <v>4318</v>
      </c>
      <c r="C74" s="12" t="s">
        <v>4372</v>
      </c>
      <c r="D74" s="12" t="s">
        <v>4318</v>
      </c>
      <c r="E74" s="12" t="s">
        <v>4372</v>
      </c>
      <c r="K74" s="12">
        <v>73</v>
      </c>
      <c r="L74" s="12">
        <v>72</v>
      </c>
    </row>
    <row r="75" spans="1:12">
      <c r="A75" s="12" t="s">
        <v>4373</v>
      </c>
      <c r="B75" s="12" t="s">
        <v>4318</v>
      </c>
      <c r="C75" s="12" t="s">
        <v>4374</v>
      </c>
      <c r="D75" s="12" t="s">
        <v>4318</v>
      </c>
      <c r="E75" s="12" t="s">
        <v>4374</v>
      </c>
      <c r="K75" s="12">
        <v>74</v>
      </c>
      <c r="L75" s="12">
        <v>73</v>
      </c>
    </row>
    <row r="76" spans="1:12">
      <c r="A76" s="12" t="s">
        <v>4375</v>
      </c>
      <c r="B76" s="12" t="s">
        <v>4318</v>
      </c>
      <c r="C76" s="12" t="s">
        <v>4376</v>
      </c>
      <c r="D76" s="12" t="s">
        <v>4318</v>
      </c>
      <c r="E76" s="12" t="s">
        <v>4376</v>
      </c>
      <c r="K76" s="12">
        <v>75</v>
      </c>
      <c r="L76" s="12">
        <v>74</v>
      </c>
    </row>
    <row r="77" spans="1:12">
      <c r="A77" s="12" t="s">
        <v>4377</v>
      </c>
      <c r="B77" s="12" t="s">
        <v>4318</v>
      </c>
      <c r="C77" s="12" t="s">
        <v>4378</v>
      </c>
      <c r="D77" s="12" t="s">
        <v>4318</v>
      </c>
      <c r="E77" s="12" t="s">
        <v>4378</v>
      </c>
      <c r="K77" s="12">
        <v>76</v>
      </c>
      <c r="L77" s="12">
        <v>75</v>
      </c>
    </row>
    <row r="78" spans="1:12">
      <c r="A78" s="12" t="s">
        <v>4379</v>
      </c>
      <c r="B78" s="12" t="s">
        <v>4318</v>
      </c>
      <c r="C78" s="12" t="s">
        <v>4380</v>
      </c>
      <c r="D78" s="12" t="s">
        <v>4318</v>
      </c>
      <c r="E78" s="12" t="s">
        <v>4380</v>
      </c>
      <c r="K78" s="12">
        <v>77</v>
      </c>
      <c r="L78" s="12">
        <v>76</v>
      </c>
    </row>
    <row r="79" spans="1:12">
      <c r="A79" s="12" t="s">
        <v>4381</v>
      </c>
      <c r="B79" s="12" t="s">
        <v>4318</v>
      </c>
      <c r="C79" s="12" t="s">
        <v>4382</v>
      </c>
      <c r="D79" s="12" t="s">
        <v>4318</v>
      </c>
      <c r="E79" s="12" t="s">
        <v>4382</v>
      </c>
      <c r="K79" s="12">
        <v>78</v>
      </c>
      <c r="L79" s="12">
        <v>77</v>
      </c>
    </row>
    <row r="80" spans="1:12">
      <c r="A80" s="12" t="s">
        <v>4383</v>
      </c>
      <c r="B80" s="12" t="s">
        <v>4318</v>
      </c>
      <c r="C80" s="12" t="s">
        <v>4384</v>
      </c>
      <c r="D80" s="12" t="s">
        <v>4318</v>
      </c>
      <c r="E80" s="12" t="s">
        <v>4384</v>
      </c>
      <c r="K80" s="12">
        <v>79</v>
      </c>
      <c r="L80" s="12">
        <v>78</v>
      </c>
    </row>
    <row r="81" spans="1:12">
      <c r="A81" s="12" t="s">
        <v>4385</v>
      </c>
      <c r="B81" s="12" t="s">
        <v>4318</v>
      </c>
      <c r="C81" s="12" t="s">
        <v>4386</v>
      </c>
      <c r="D81" s="12" t="s">
        <v>4318</v>
      </c>
      <c r="E81" s="12" t="s">
        <v>4386</v>
      </c>
      <c r="K81" s="12">
        <v>80</v>
      </c>
      <c r="L81" s="12">
        <v>79</v>
      </c>
    </row>
    <row r="82" spans="1:12">
      <c r="A82" s="12" t="s">
        <v>4387</v>
      </c>
      <c r="B82" s="12" t="s">
        <v>4318</v>
      </c>
      <c r="C82" s="12" t="s">
        <v>4388</v>
      </c>
      <c r="D82" s="12" t="s">
        <v>4318</v>
      </c>
      <c r="E82" s="12" t="s">
        <v>4388</v>
      </c>
      <c r="K82" s="12">
        <v>81</v>
      </c>
      <c r="L82" s="12">
        <v>80</v>
      </c>
    </row>
    <row r="83" spans="1:12">
      <c r="A83" s="12" t="s">
        <v>4389</v>
      </c>
      <c r="B83" s="12" t="s">
        <v>4318</v>
      </c>
      <c r="C83" s="12" t="s">
        <v>4390</v>
      </c>
      <c r="D83" s="12" t="s">
        <v>4318</v>
      </c>
      <c r="E83" s="12" t="s">
        <v>4390</v>
      </c>
      <c r="K83" s="12">
        <v>82</v>
      </c>
      <c r="L83" s="12">
        <v>81</v>
      </c>
    </row>
    <row r="84" spans="1:12">
      <c r="A84" s="12" t="s">
        <v>4391</v>
      </c>
      <c r="B84" s="12" t="s">
        <v>4318</v>
      </c>
      <c r="C84" s="12" t="s">
        <v>4392</v>
      </c>
      <c r="D84" s="12" t="s">
        <v>4318</v>
      </c>
      <c r="E84" s="12" t="s">
        <v>4392</v>
      </c>
      <c r="K84" s="12">
        <v>83</v>
      </c>
      <c r="L84" s="12">
        <v>82</v>
      </c>
    </row>
    <row r="85" spans="1:12">
      <c r="A85" s="12" t="s">
        <v>4393</v>
      </c>
      <c r="B85" s="12" t="s">
        <v>4318</v>
      </c>
      <c r="C85" s="12" t="s">
        <v>4394</v>
      </c>
      <c r="D85" s="12" t="s">
        <v>4318</v>
      </c>
      <c r="E85" s="12" t="s">
        <v>4394</v>
      </c>
      <c r="K85" s="12">
        <v>84</v>
      </c>
      <c r="L85" s="12">
        <v>83</v>
      </c>
    </row>
    <row r="86" spans="1:12">
      <c r="A86" s="12" t="s">
        <v>4395</v>
      </c>
      <c r="B86" s="12" t="s">
        <v>4318</v>
      </c>
      <c r="C86" s="12" t="s">
        <v>4290</v>
      </c>
      <c r="D86" s="12" t="s">
        <v>4318</v>
      </c>
      <c r="E86" s="12" t="s">
        <v>4290</v>
      </c>
      <c r="K86" s="12">
        <v>85</v>
      </c>
      <c r="L86" s="12">
        <v>84</v>
      </c>
    </row>
    <row r="87" spans="1:12">
      <c r="A87" s="12" t="s">
        <v>4396</v>
      </c>
      <c r="B87" s="12" t="s">
        <v>4318</v>
      </c>
      <c r="C87" s="12" t="s">
        <v>4292</v>
      </c>
      <c r="D87" s="12" t="s">
        <v>4318</v>
      </c>
      <c r="E87" s="12" t="s">
        <v>4292</v>
      </c>
      <c r="K87" s="12">
        <v>86</v>
      </c>
      <c r="L87" s="12">
        <v>85</v>
      </c>
    </row>
    <row r="88" spans="1:12">
      <c r="A88" s="12" t="s">
        <v>4397</v>
      </c>
      <c r="B88" s="12" t="s">
        <v>4318</v>
      </c>
      <c r="C88" s="12" t="s">
        <v>4294</v>
      </c>
      <c r="D88" s="12" t="s">
        <v>4318</v>
      </c>
      <c r="E88" s="12" t="s">
        <v>4294</v>
      </c>
      <c r="K88" s="12">
        <v>87</v>
      </c>
      <c r="L88" s="12">
        <v>86</v>
      </c>
    </row>
    <row r="89" spans="1:12">
      <c r="A89" s="12" t="s">
        <v>4398</v>
      </c>
      <c r="B89" s="12" t="s">
        <v>4318</v>
      </c>
      <c r="C89" s="12" t="s">
        <v>4295</v>
      </c>
      <c r="D89" s="12" t="s">
        <v>4318</v>
      </c>
      <c r="E89" s="12" t="s">
        <v>4295</v>
      </c>
      <c r="K89" s="12">
        <v>88</v>
      </c>
      <c r="L89" s="12">
        <v>87</v>
      </c>
    </row>
    <row r="90" spans="1:12">
      <c r="A90" s="12" t="s">
        <v>4399</v>
      </c>
      <c r="B90" s="12" t="s">
        <v>4318</v>
      </c>
      <c r="C90" s="12" t="s">
        <v>4400</v>
      </c>
      <c r="D90" s="12" t="s">
        <v>4318</v>
      </c>
      <c r="E90" s="12" t="s">
        <v>4400</v>
      </c>
      <c r="K90" s="12">
        <v>89</v>
      </c>
      <c r="L90" s="12">
        <v>88</v>
      </c>
    </row>
    <row r="91" spans="1:12">
      <c r="A91" s="12" t="s">
        <v>4401</v>
      </c>
      <c r="B91" s="12" t="s">
        <v>4318</v>
      </c>
      <c r="C91" s="12" t="s">
        <v>4402</v>
      </c>
      <c r="D91" s="12" t="s">
        <v>4318</v>
      </c>
      <c r="E91" s="12" t="s">
        <v>4402</v>
      </c>
      <c r="K91" s="12">
        <v>90</v>
      </c>
      <c r="L91" s="12">
        <v>89</v>
      </c>
    </row>
    <row r="92" spans="1:12">
      <c r="A92" s="12" t="s">
        <v>4403</v>
      </c>
      <c r="B92" s="12" t="s">
        <v>4318</v>
      </c>
      <c r="C92" s="12" t="s">
        <v>4404</v>
      </c>
      <c r="D92" s="12" t="s">
        <v>4318</v>
      </c>
      <c r="E92" s="12" t="s">
        <v>4404</v>
      </c>
      <c r="K92" s="12">
        <v>91</v>
      </c>
      <c r="L92" s="12">
        <v>90</v>
      </c>
    </row>
    <row r="93" spans="1:12">
      <c r="A93" s="12" t="s">
        <v>4405</v>
      </c>
      <c r="B93" s="12" t="s">
        <v>4318</v>
      </c>
      <c r="C93" s="12" t="s">
        <v>4406</v>
      </c>
      <c r="D93" s="12" t="s">
        <v>4318</v>
      </c>
      <c r="E93" s="12" t="s">
        <v>4406</v>
      </c>
      <c r="K93" s="12">
        <v>92</v>
      </c>
      <c r="L93" s="12">
        <v>91</v>
      </c>
    </row>
    <row r="94" spans="1:12">
      <c r="A94" s="12" t="s">
        <v>4407</v>
      </c>
      <c r="B94" s="12" t="s">
        <v>4318</v>
      </c>
      <c r="C94" s="12" t="s">
        <v>4408</v>
      </c>
      <c r="D94" s="12" t="s">
        <v>4318</v>
      </c>
      <c r="E94" s="12" t="s">
        <v>4408</v>
      </c>
      <c r="K94" s="12">
        <v>93</v>
      </c>
      <c r="L94" s="12">
        <v>92</v>
      </c>
    </row>
    <row r="95" spans="1:12">
      <c r="A95" s="12" t="s">
        <v>4409</v>
      </c>
      <c r="B95" s="12" t="s">
        <v>4318</v>
      </c>
      <c r="C95" s="12" t="s">
        <v>4410</v>
      </c>
      <c r="D95" s="12" t="s">
        <v>4318</v>
      </c>
      <c r="E95" s="12" t="s">
        <v>4410</v>
      </c>
      <c r="K95" s="12">
        <v>94</v>
      </c>
      <c r="L95" s="12">
        <v>93</v>
      </c>
    </row>
    <row r="96" spans="1:12">
      <c r="A96" s="12" t="s">
        <v>4411</v>
      </c>
      <c r="B96" s="12" t="s">
        <v>4318</v>
      </c>
      <c r="C96" s="12" t="s">
        <v>4412</v>
      </c>
      <c r="D96" s="12" t="s">
        <v>4318</v>
      </c>
      <c r="E96" s="12" t="s">
        <v>4412</v>
      </c>
      <c r="K96" s="12">
        <v>95</v>
      </c>
      <c r="L96" s="12">
        <v>94</v>
      </c>
    </row>
    <row r="97" spans="1:12">
      <c r="A97" s="12" t="s">
        <v>4413</v>
      </c>
      <c r="B97" s="12" t="s">
        <v>4318</v>
      </c>
      <c r="C97" s="12" t="s">
        <v>4414</v>
      </c>
      <c r="D97" s="12" t="s">
        <v>4318</v>
      </c>
      <c r="E97" s="12" t="s">
        <v>4414</v>
      </c>
      <c r="K97" s="12">
        <v>96</v>
      </c>
      <c r="L97" s="12">
        <v>95</v>
      </c>
    </row>
    <row r="98" spans="1:12">
      <c r="A98" s="12" t="s">
        <v>4415</v>
      </c>
      <c r="B98" s="12" t="s">
        <v>4318</v>
      </c>
      <c r="C98" s="12" t="s">
        <v>4416</v>
      </c>
      <c r="D98" s="12" t="s">
        <v>4318</v>
      </c>
      <c r="E98" s="12" t="s">
        <v>4416</v>
      </c>
      <c r="K98" s="12">
        <v>97</v>
      </c>
      <c r="L98" s="12">
        <v>96</v>
      </c>
    </row>
    <row r="99" spans="1:12">
      <c r="A99" s="12" t="s">
        <v>4417</v>
      </c>
      <c r="B99" s="12" t="s">
        <v>4318</v>
      </c>
      <c r="C99" s="12" t="s">
        <v>4418</v>
      </c>
      <c r="D99" s="12" t="s">
        <v>4318</v>
      </c>
      <c r="E99" s="12" t="s">
        <v>4418</v>
      </c>
      <c r="K99" s="12">
        <v>98</v>
      </c>
      <c r="L99" s="12">
        <v>97</v>
      </c>
    </row>
    <row r="100" spans="1:12">
      <c r="A100" s="12" t="s">
        <v>4419</v>
      </c>
      <c r="B100" s="12" t="s">
        <v>4318</v>
      </c>
      <c r="C100" s="12" t="s">
        <v>4420</v>
      </c>
      <c r="D100" s="12" t="s">
        <v>4318</v>
      </c>
      <c r="E100" s="12" t="s">
        <v>4420</v>
      </c>
      <c r="K100" s="12">
        <v>99</v>
      </c>
      <c r="L100" s="12">
        <v>98</v>
      </c>
    </row>
    <row r="101" spans="1:12">
      <c r="A101" s="12" t="s">
        <v>4421</v>
      </c>
      <c r="B101" s="12" t="s">
        <v>4318</v>
      </c>
      <c r="C101" s="12" t="s">
        <v>4422</v>
      </c>
      <c r="D101" s="12" t="s">
        <v>4318</v>
      </c>
      <c r="E101" s="12" t="s">
        <v>4422</v>
      </c>
      <c r="K101" s="12">
        <v>100</v>
      </c>
      <c r="L101" s="12">
        <v>99</v>
      </c>
    </row>
    <row r="102" spans="1:12">
      <c r="A102" s="12" t="s">
        <v>4423</v>
      </c>
      <c r="B102" s="12" t="s">
        <v>4318</v>
      </c>
      <c r="C102" s="12" t="s">
        <v>4424</v>
      </c>
      <c r="D102" s="12" t="s">
        <v>4318</v>
      </c>
      <c r="E102" s="12" t="s">
        <v>4424</v>
      </c>
      <c r="K102" s="12">
        <v>101</v>
      </c>
      <c r="L102" s="12">
        <v>100</v>
      </c>
    </row>
    <row r="103" spans="1:12">
      <c r="A103" s="12" t="s">
        <v>4425</v>
      </c>
      <c r="B103" s="12" t="s">
        <v>4318</v>
      </c>
      <c r="C103" s="12" t="s">
        <v>4426</v>
      </c>
      <c r="D103" s="12" t="s">
        <v>4318</v>
      </c>
      <c r="E103" s="12" t="s">
        <v>4426</v>
      </c>
      <c r="K103" s="12">
        <v>102</v>
      </c>
      <c r="L103" s="12">
        <v>101</v>
      </c>
    </row>
    <row r="104" spans="1:12">
      <c r="A104" s="12" t="s">
        <v>4427</v>
      </c>
      <c r="B104" s="12" t="s">
        <v>4318</v>
      </c>
      <c r="C104" s="12" t="s">
        <v>4428</v>
      </c>
      <c r="D104" s="12" t="s">
        <v>4318</v>
      </c>
      <c r="E104" s="12" t="s">
        <v>4428</v>
      </c>
      <c r="K104" s="12">
        <v>103</v>
      </c>
      <c r="L104" s="12">
        <v>102</v>
      </c>
    </row>
    <row r="105" spans="1:12">
      <c r="A105" s="12" t="s">
        <v>4429</v>
      </c>
      <c r="B105" s="12" t="s">
        <v>4318</v>
      </c>
      <c r="C105" s="12" t="s">
        <v>4430</v>
      </c>
      <c r="D105" s="12" t="s">
        <v>4318</v>
      </c>
      <c r="E105" s="12" t="s">
        <v>4430</v>
      </c>
      <c r="K105" s="12">
        <v>104</v>
      </c>
      <c r="L105" s="12">
        <v>103</v>
      </c>
    </row>
    <row r="106" spans="1:12">
      <c r="A106" s="12" t="s">
        <v>4431</v>
      </c>
      <c r="B106" s="12" t="s">
        <v>4318</v>
      </c>
      <c r="C106" s="12" t="s">
        <v>4296</v>
      </c>
      <c r="D106" s="12" t="s">
        <v>4318</v>
      </c>
      <c r="E106" s="12" t="s">
        <v>4296</v>
      </c>
      <c r="K106" s="12">
        <v>105</v>
      </c>
      <c r="L106" s="12">
        <v>104</v>
      </c>
    </row>
    <row r="107" spans="1:12">
      <c r="A107" s="12" t="s">
        <v>4432</v>
      </c>
      <c r="B107" s="12" t="s">
        <v>4318</v>
      </c>
      <c r="C107" s="12" t="s">
        <v>4297</v>
      </c>
      <c r="D107" s="12" t="s">
        <v>4318</v>
      </c>
      <c r="E107" s="12" t="s">
        <v>4297</v>
      </c>
      <c r="K107" s="12">
        <v>106</v>
      </c>
      <c r="L107" s="12">
        <v>105</v>
      </c>
    </row>
    <row r="108" spans="1:12">
      <c r="A108" s="12" t="s">
        <v>4433</v>
      </c>
      <c r="B108" s="12" t="s">
        <v>4318</v>
      </c>
      <c r="C108" s="12" t="s">
        <v>4298</v>
      </c>
      <c r="D108" s="12" t="s">
        <v>4318</v>
      </c>
      <c r="E108" s="12" t="s">
        <v>4298</v>
      </c>
      <c r="K108" s="12">
        <v>107</v>
      </c>
      <c r="L108" s="12">
        <v>106</v>
      </c>
    </row>
    <row r="109" spans="1:12">
      <c r="A109" s="12" t="s">
        <v>4434</v>
      </c>
      <c r="B109" s="12" t="s">
        <v>4318</v>
      </c>
      <c r="C109" s="12" t="s">
        <v>4299</v>
      </c>
      <c r="D109" s="12" t="s">
        <v>4318</v>
      </c>
      <c r="E109" s="12" t="s">
        <v>4299</v>
      </c>
      <c r="K109" s="12">
        <v>108</v>
      </c>
      <c r="L109" s="12">
        <v>107</v>
      </c>
    </row>
    <row r="110" spans="1:12">
      <c r="A110" s="12" t="s">
        <v>4435</v>
      </c>
      <c r="B110" s="12" t="s">
        <v>4318</v>
      </c>
      <c r="C110" s="12" t="s">
        <v>4436</v>
      </c>
      <c r="D110" s="12" t="s">
        <v>4318</v>
      </c>
      <c r="E110" s="12" t="s">
        <v>4436</v>
      </c>
      <c r="K110" s="12">
        <v>109</v>
      </c>
      <c r="L110" s="12">
        <v>108</v>
      </c>
    </row>
    <row r="111" spans="1:12">
      <c r="A111" s="12" t="s">
        <v>4437</v>
      </c>
      <c r="B111" s="12" t="s">
        <v>4318</v>
      </c>
      <c r="C111" s="12" t="s">
        <v>4438</v>
      </c>
      <c r="D111" s="12" t="s">
        <v>4318</v>
      </c>
      <c r="E111" s="12" t="s">
        <v>4438</v>
      </c>
      <c r="K111" s="12">
        <v>110</v>
      </c>
      <c r="L111" s="12">
        <v>109</v>
      </c>
    </row>
    <row r="112" spans="1:12">
      <c r="A112" s="12" t="s">
        <v>4439</v>
      </c>
      <c r="B112" s="12" t="s">
        <v>4318</v>
      </c>
      <c r="C112" s="12" t="s">
        <v>4440</v>
      </c>
      <c r="D112" s="12" t="s">
        <v>4318</v>
      </c>
      <c r="E112" s="12" t="s">
        <v>4440</v>
      </c>
      <c r="K112" s="12">
        <v>111</v>
      </c>
      <c r="L112" s="12">
        <v>110</v>
      </c>
    </row>
    <row r="113" spans="1:12">
      <c r="A113" s="12" t="s">
        <v>4441</v>
      </c>
      <c r="B113" s="12" t="s">
        <v>4318</v>
      </c>
      <c r="C113" s="12" t="s">
        <v>4442</v>
      </c>
      <c r="D113" s="12" t="s">
        <v>4318</v>
      </c>
      <c r="E113" s="12" t="s">
        <v>4442</v>
      </c>
      <c r="K113" s="12">
        <v>112</v>
      </c>
      <c r="L113" s="12">
        <v>111</v>
      </c>
    </row>
    <row r="114" spans="1:12">
      <c r="A114" s="12" t="s">
        <v>4443</v>
      </c>
      <c r="B114" s="12" t="s">
        <v>4318</v>
      </c>
      <c r="C114" s="12" t="s">
        <v>4444</v>
      </c>
      <c r="D114" s="12" t="s">
        <v>4318</v>
      </c>
      <c r="E114" s="12" t="s">
        <v>4444</v>
      </c>
      <c r="K114" s="12">
        <v>113</v>
      </c>
      <c r="L114" s="12">
        <v>112</v>
      </c>
    </row>
    <row r="115" spans="1:12">
      <c r="A115" s="12" t="s">
        <v>4445</v>
      </c>
      <c r="B115" s="12" t="s">
        <v>4318</v>
      </c>
      <c r="C115" s="12" t="s">
        <v>4446</v>
      </c>
      <c r="D115" s="12" t="s">
        <v>4318</v>
      </c>
      <c r="E115" s="12" t="s">
        <v>4446</v>
      </c>
      <c r="K115" s="12">
        <v>114</v>
      </c>
      <c r="L115" s="12">
        <v>113</v>
      </c>
    </row>
    <row r="116" spans="1:12">
      <c r="A116" s="12" t="s">
        <v>4447</v>
      </c>
      <c r="B116" s="12" t="s">
        <v>4318</v>
      </c>
      <c r="C116" s="12" t="s">
        <v>4448</v>
      </c>
      <c r="D116" s="12" t="s">
        <v>4318</v>
      </c>
      <c r="E116" s="12" t="s">
        <v>4448</v>
      </c>
      <c r="K116" s="12">
        <v>115</v>
      </c>
      <c r="L116" s="12">
        <v>114</v>
      </c>
    </row>
    <row r="117" spans="1:12">
      <c r="A117" s="12" t="s">
        <v>4449</v>
      </c>
      <c r="B117" s="12" t="s">
        <v>4318</v>
      </c>
      <c r="C117" s="12" t="s">
        <v>4450</v>
      </c>
      <c r="D117" s="12" t="s">
        <v>4318</v>
      </c>
      <c r="E117" s="12" t="s">
        <v>4450</v>
      </c>
      <c r="K117" s="12">
        <v>116</v>
      </c>
      <c r="L117" s="12">
        <v>115</v>
      </c>
    </row>
    <row r="118" spans="1:12">
      <c r="A118" s="12" t="s">
        <v>4451</v>
      </c>
      <c r="B118" s="12" t="s">
        <v>4318</v>
      </c>
      <c r="C118" s="12" t="s">
        <v>4452</v>
      </c>
      <c r="D118" s="12" t="s">
        <v>4318</v>
      </c>
      <c r="E118" s="12" t="s">
        <v>4452</v>
      </c>
      <c r="K118" s="12">
        <v>117</v>
      </c>
      <c r="L118" s="12">
        <v>116</v>
      </c>
    </row>
    <row r="119" spans="1:12">
      <c r="A119" s="12" t="s">
        <v>4453</v>
      </c>
      <c r="B119" s="12" t="s">
        <v>4318</v>
      </c>
      <c r="C119" s="12" t="s">
        <v>4454</v>
      </c>
      <c r="D119" s="12" t="s">
        <v>4318</v>
      </c>
      <c r="E119" s="12" t="s">
        <v>4454</v>
      </c>
      <c r="K119" s="12">
        <v>118</v>
      </c>
      <c r="L119" s="12">
        <v>117</v>
      </c>
    </row>
    <row r="120" spans="1:12">
      <c r="A120" s="12" t="s">
        <v>4455</v>
      </c>
      <c r="B120" s="12" t="s">
        <v>4318</v>
      </c>
      <c r="C120" s="12" t="s">
        <v>4456</v>
      </c>
      <c r="D120" s="12" t="s">
        <v>4318</v>
      </c>
      <c r="E120" s="12" t="s">
        <v>4456</v>
      </c>
      <c r="K120" s="12">
        <v>119</v>
      </c>
      <c r="L120" s="12">
        <v>118</v>
      </c>
    </row>
    <row r="121" spans="1:12">
      <c r="A121" s="12" t="s">
        <v>4457</v>
      </c>
      <c r="B121" s="12" t="s">
        <v>4318</v>
      </c>
      <c r="C121" s="12" t="s">
        <v>4458</v>
      </c>
      <c r="D121" s="12" t="s">
        <v>4318</v>
      </c>
      <c r="E121" s="12" t="s">
        <v>4458</v>
      </c>
      <c r="K121" s="12">
        <v>120</v>
      </c>
      <c r="L121" s="12">
        <v>119</v>
      </c>
    </row>
    <row r="122" spans="1:12">
      <c r="A122" s="12" t="s">
        <v>4459</v>
      </c>
      <c r="B122" s="12" t="s">
        <v>4318</v>
      </c>
      <c r="C122" s="12" t="s">
        <v>4460</v>
      </c>
      <c r="D122" s="12" t="s">
        <v>4318</v>
      </c>
      <c r="E122" s="12" t="s">
        <v>4460</v>
      </c>
      <c r="K122" s="12">
        <v>121</v>
      </c>
      <c r="L122" s="12">
        <v>120</v>
      </c>
    </row>
    <row r="123" spans="1:12">
      <c r="A123" s="12" t="s">
        <v>4461</v>
      </c>
      <c r="B123" s="12" t="s">
        <v>4318</v>
      </c>
      <c r="C123" s="12" t="s">
        <v>4462</v>
      </c>
      <c r="D123" s="12" t="s">
        <v>4318</v>
      </c>
      <c r="E123" s="12" t="s">
        <v>4462</v>
      </c>
      <c r="K123" s="12">
        <v>122</v>
      </c>
      <c r="L123" s="12">
        <v>121</v>
      </c>
    </row>
    <row r="124" spans="1:12">
      <c r="A124" s="12" t="s">
        <v>4463</v>
      </c>
      <c r="B124" s="12" t="s">
        <v>4318</v>
      </c>
      <c r="C124" s="12" t="s">
        <v>4464</v>
      </c>
      <c r="D124" s="12" t="s">
        <v>4318</v>
      </c>
      <c r="E124" s="12" t="s">
        <v>4464</v>
      </c>
      <c r="K124" s="12">
        <v>123</v>
      </c>
      <c r="L124" s="12">
        <v>122</v>
      </c>
    </row>
    <row r="125" spans="1:12">
      <c r="A125" s="12" t="s">
        <v>4465</v>
      </c>
      <c r="B125" s="12" t="s">
        <v>4318</v>
      </c>
      <c r="C125" s="12" t="s">
        <v>4466</v>
      </c>
      <c r="D125" s="12" t="s">
        <v>4318</v>
      </c>
      <c r="E125" s="12" t="s">
        <v>4466</v>
      </c>
      <c r="K125" s="12">
        <v>124</v>
      </c>
      <c r="L125" s="12">
        <v>123</v>
      </c>
    </row>
    <row r="126" spans="1:12">
      <c r="A126" s="12" t="s">
        <v>4467</v>
      </c>
      <c r="B126" s="12" t="s">
        <v>4318</v>
      </c>
      <c r="C126" s="12" t="s">
        <v>4468</v>
      </c>
      <c r="D126" s="12" t="s">
        <v>4318</v>
      </c>
      <c r="E126" s="12" t="s">
        <v>4468</v>
      </c>
      <c r="K126" s="12">
        <v>125</v>
      </c>
      <c r="L126" s="12">
        <v>124</v>
      </c>
    </row>
    <row r="127" spans="1:12">
      <c r="A127" s="12" t="s">
        <v>4469</v>
      </c>
      <c r="B127" s="12" t="s">
        <v>4318</v>
      </c>
      <c r="C127" s="12" t="s">
        <v>4470</v>
      </c>
      <c r="D127" s="12" t="s">
        <v>4318</v>
      </c>
      <c r="E127" s="12" t="s">
        <v>4470</v>
      </c>
      <c r="K127" s="12">
        <v>126</v>
      </c>
      <c r="L127" s="12">
        <v>125</v>
      </c>
    </row>
    <row r="128" spans="1:12">
      <c r="A128" s="12" t="s">
        <v>4471</v>
      </c>
      <c r="B128" s="12" t="s">
        <v>4318</v>
      </c>
      <c r="C128" s="12" t="s">
        <v>4472</v>
      </c>
      <c r="D128" s="12" t="s">
        <v>4318</v>
      </c>
      <c r="E128" s="12" t="s">
        <v>4472</v>
      </c>
      <c r="K128" s="12">
        <v>127</v>
      </c>
      <c r="L128" s="12">
        <v>126</v>
      </c>
    </row>
    <row r="129" spans="1:12">
      <c r="A129" s="12" t="s">
        <v>4473</v>
      </c>
      <c r="B129" s="12" t="s">
        <v>4318</v>
      </c>
      <c r="C129" s="12" t="s">
        <v>4474</v>
      </c>
      <c r="D129" s="12" t="s">
        <v>4318</v>
      </c>
      <c r="E129" s="12" t="s">
        <v>4474</v>
      </c>
      <c r="K129" s="12">
        <v>128</v>
      </c>
      <c r="L129" s="12">
        <v>127</v>
      </c>
    </row>
    <row r="130" spans="1:12">
      <c r="A130" s="12" t="s">
        <v>4475</v>
      </c>
      <c r="B130" s="12" t="s">
        <v>4318</v>
      </c>
      <c r="C130" s="12" t="s">
        <v>4476</v>
      </c>
      <c r="D130" s="12" t="s">
        <v>4318</v>
      </c>
      <c r="E130" s="12" t="s">
        <v>4476</v>
      </c>
      <c r="K130" s="12">
        <v>129</v>
      </c>
      <c r="L130" s="12">
        <v>128</v>
      </c>
    </row>
    <row r="131" spans="1:12">
      <c r="A131" s="12" t="s">
        <v>4477</v>
      </c>
      <c r="B131" s="12" t="s">
        <v>4318</v>
      </c>
      <c r="C131" s="12" t="s">
        <v>4478</v>
      </c>
      <c r="D131" s="12" t="s">
        <v>4318</v>
      </c>
      <c r="E131" s="12" t="s">
        <v>4478</v>
      </c>
      <c r="K131" s="12">
        <v>130</v>
      </c>
      <c r="L131" s="12">
        <v>129</v>
      </c>
    </row>
    <row r="132" spans="1:12">
      <c r="A132" s="12" t="s">
        <v>4479</v>
      </c>
      <c r="B132" s="12" t="s">
        <v>4318</v>
      </c>
      <c r="C132" s="12" t="s">
        <v>4480</v>
      </c>
      <c r="D132" s="12" t="s">
        <v>4318</v>
      </c>
      <c r="E132" s="12" t="s">
        <v>4480</v>
      </c>
      <c r="K132" s="12">
        <v>131</v>
      </c>
      <c r="L132" s="12">
        <v>130</v>
      </c>
    </row>
    <row r="133" spans="1:12">
      <c r="A133" s="12" t="s">
        <v>4481</v>
      </c>
      <c r="B133" s="12" t="s">
        <v>4318</v>
      </c>
      <c r="C133" s="12" t="s">
        <v>4482</v>
      </c>
      <c r="D133" s="12" t="s">
        <v>4318</v>
      </c>
      <c r="E133" s="12" t="s">
        <v>4482</v>
      </c>
      <c r="K133" s="12">
        <v>132</v>
      </c>
      <c r="L133" s="12">
        <v>131</v>
      </c>
    </row>
    <row r="134" spans="1:12">
      <c r="A134" s="12" t="s">
        <v>4483</v>
      </c>
      <c r="B134" s="12" t="s">
        <v>4318</v>
      </c>
      <c r="C134" s="12" t="s">
        <v>4484</v>
      </c>
      <c r="D134" s="12" t="s">
        <v>4318</v>
      </c>
      <c r="E134" s="12" t="s">
        <v>4484</v>
      </c>
      <c r="K134" s="12">
        <v>133</v>
      </c>
      <c r="L134" s="12">
        <v>132</v>
      </c>
    </row>
    <row r="135" spans="1:12">
      <c r="A135" s="12" t="s">
        <v>4485</v>
      </c>
      <c r="B135" s="12" t="s">
        <v>4318</v>
      </c>
      <c r="C135" s="12" t="s">
        <v>4486</v>
      </c>
      <c r="D135" s="12" t="s">
        <v>4318</v>
      </c>
      <c r="E135" s="12" t="s">
        <v>4486</v>
      </c>
      <c r="K135" s="12">
        <v>134</v>
      </c>
      <c r="L135" s="12">
        <v>133</v>
      </c>
    </row>
    <row r="136" spans="1:12">
      <c r="A136" s="12" t="s">
        <v>4487</v>
      </c>
      <c r="B136" s="12" t="s">
        <v>4318</v>
      </c>
      <c r="C136" s="12" t="s">
        <v>4488</v>
      </c>
      <c r="D136" s="12" t="s">
        <v>4318</v>
      </c>
      <c r="E136" s="12" t="s">
        <v>4488</v>
      </c>
      <c r="K136" s="12">
        <v>135</v>
      </c>
      <c r="L136" s="12">
        <v>134</v>
      </c>
    </row>
    <row r="137" spans="1:12">
      <c r="A137" s="12" t="s">
        <v>4489</v>
      </c>
      <c r="B137" s="12" t="s">
        <v>4318</v>
      </c>
      <c r="C137" s="12" t="s">
        <v>4490</v>
      </c>
      <c r="D137" s="12" t="s">
        <v>4318</v>
      </c>
      <c r="E137" s="12" t="s">
        <v>4490</v>
      </c>
      <c r="K137" s="12">
        <v>136</v>
      </c>
      <c r="L137" s="12">
        <v>135</v>
      </c>
    </row>
    <row r="138" spans="1:12">
      <c r="A138" s="12" t="s">
        <v>4491</v>
      </c>
      <c r="B138" s="12" t="s">
        <v>4318</v>
      </c>
      <c r="C138" s="12" t="s">
        <v>4492</v>
      </c>
      <c r="D138" s="12" t="s">
        <v>4318</v>
      </c>
      <c r="E138" s="12" t="s">
        <v>4492</v>
      </c>
      <c r="K138" s="12">
        <v>137</v>
      </c>
      <c r="L138" s="12">
        <v>136</v>
      </c>
    </row>
    <row r="139" spans="1:12">
      <c r="A139" s="12" t="s">
        <v>4493</v>
      </c>
      <c r="B139" s="12" t="s">
        <v>4318</v>
      </c>
      <c r="C139" s="12" t="s">
        <v>4494</v>
      </c>
      <c r="D139" s="12" t="s">
        <v>4318</v>
      </c>
      <c r="E139" s="12" t="s">
        <v>4494</v>
      </c>
      <c r="K139" s="12">
        <v>138</v>
      </c>
      <c r="L139" s="12">
        <v>137</v>
      </c>
    </row>
    <row r="140" spans="1:12">
      <c r="A140" s="12" t="s">
        <v>4495</v>
      </c>
      <c r="B140" s="12" t="s">
        <v>4318</v>
      </c>
      <c r="C140" s="12" t="s">
        <v>4496</v>
      </c>
      <c r="D140" s="12" t="s">
        <v>4318</v>
      </c>
      <c r="E140" s="12" t="s">
        <v>4496</v>
      </c>
      <c r="K140" s="12">
        <v>139</v>
      </c>
      <c r="L140" s="12">
        <v>138</v>
      </c>
    </row>
    <row r="141" spans="1:12">
      <c r="A141" s="12" t="s">
        <v>4497</v>
      </c>
      <c r="B141" s="12" t="s">
        <v>4318</v>
      </c>
      <c r="C141" s="12" t="s">
        <v>4498</v>
      </c>
      <c r="D141" s="12" t="s">
        <v>4318</v>
      </c>
      <c r="E141" s="12" t="s">
        <v>4498</v>
      </c>
      <c r="K141" s="12">
        <v>140</v>
      </c>
      <c r="L141" s="12">
        <v>139</v>
      </c>
    </row>
    <row r="142" spans="1:12">
      <c r="A142" s="12" t="s">
        <v>4499</v>
      </c>
      <c r="B142" s="12" t="s">
        <v>4318</v>
      </c>
      <c r="C142" s="12" t="s">
        <v>4500</v>
      </c>
      <c r="D142" s="12" t="s">
        <v>4318</v>
      </c>
      <c r="E142" s="12" t="s">
        <v>4500</v>
      </c>
      <c r="K142" s="12">
        <v>141</v>
      </c>
      <c r="L142" s="12">
        <v>140</v>
      </c>
    </row>
    <row r="143" spans="1:12">
      <c r="A143" s="12" t="s">
        <v>4501</v>
      </c>
      <c r="B143" s="12" t="s">
        <v>4318</v>
      </c>
      <c r="C143" s="12" t="s">
        <v>4502</v>
      </c>
      <c r="D143" s="12" t="s">
        <v>4318</v>
      </c>
      <c r="E143" s="12" t="s">
        <v>4502</v>
      </c>
      <c r="K143" s="12">
        <v>142</v>
      </c>
      <c r="L143" s="12">
        <v>141</v>
      </c>
    </row>
    <row r="144" spans="1:12">
      <c r="A144" s="12" t="s">
        <v>4503</v>
      </c>
      <c r="B144" s="12" t="s">
        <v>4318</v>
      </c>
      <c r="C144" s="12" t="s">
        <v>4504</v>
      </c>
      <c r="D144" s="12" t="s">
        <v>4318</v>
      </c>
      <c r="E144" s="12" t="s">
        <v>4504</v>
      </c>
      <c r="K144" s="12">
        <v>143</v>
      </c>
      <c r="L144" s="12">
        <v>142</v>
      </c>
    </row>
    <row r="145" spans="1:12">
      <c r="A145" s="12" t="s">
        <v>4505</v>
      </c>
      <c r="B145" s="12" t="s">
        <v>4318</v>
      </c>
      <c r="C145" s="12" t="s">
        <v>4506</v>
      </c>
      <c r="D145" s="12" t="s">
        <v>4318</v>
      </c>
      <c r="E145" s="12" t="s">
        <v>4506</v>
      </c>
      <c r="K145" s="12">
        <v>144</v>
      </c>
      <c r="L145" s="12">
        <v>143</v>
      </c>
    </row>
    <row r="146" spans="1:12">
      <c r="A146" s="12" t="s">
        <v>4507</v>
      </c>
      <c r="B146" s="12" t="s">
        <v>4318</v>
      </c>
      <c r="C146" s="12" t="s">
        <v>4508</v>
      </c>
      <c r="D146" s="12" t="s">
        <v>4318</v>
      </c>
      <c r="E146" s="12" t="s">
        <v>4508</v>
      </c>
      <c r="K146" s="12">
        <v>145</v>
      </c>
      <c r="L146" s="12">
        <v>144</v>
      </c>
    </row>
    <row r="147" spans="1:12">
      <c r="A147" s="12" t="s">
        <v>4509</v>
      </c>
      <c r="B147" s="12" t="s">
        <v>4318</v>
      </c>
      <c r="C147" s="12" t="s">
        <v>4510</v>
      </c>
      <c r="D147" s="12" t="s">
        <v>4318</v>
      </c>
      <c r="E147" s="12" t="s">
        <v>4510</v>
      </c>
      <c r="K147" s="12">
        <v>146</v>
      </c>
      <c r="L147" s="12">
        <v>145</v>
      </c>
    </row>
    <row r="148" spans="1:12">
      <c r="A148" s="12" t="s">
        <v>4511</v>
      </c>
      <c r="B148" s="12" t="s">
        <v>4318</v>
      </c>
      <c r="C148" s="12" t="s">
        <v>4512</v>
      </c>
      <c r="D148" s="12" t="s">
        <v>4318</v>
      </c>
      <c r="E148" s="12" t="s">
        <v>4512</v>
      </c>
      <c r="K148" s="12">
        <v>147</v>
      </c>
      <c r="L148" s="12">
        <v>146</v>
      </c>
    </row>
    <row r="149" spans="1:12">
      <c r="A149" s="12" t="s">
        <v>4513</v>
      </c>
      <c r="B149" s="12" t="s">
        <v>4318</v>
      </c>
      <c r="C149" s="12" t="s">
        <v>4514</v>
      </c>
      <c r="D149" s="12" t="s">
        <v>4318</v>
      </c>
      <c r="E149" s="12" t="s">
        <v>4514</v>
      </c>
      <c r="K149" s="12">
        <v>148</v>
      </c>
      <c r="L149" s="12">
        <v>147</v>
      </c>
    </row>
    <row r="150" spans="1:12">
      <c r="A150" s="12" t="s">
        <v>4515</v>
      </c>
      <c r="B150" s="12" t="s">
        <v>4318</v>
      </c>
      <c r="C150" s="12" t="s">
        <v>4516</v>
      </c>
      <c r="D150" s="12" t="s">
        <v>4318</v>
      </c>
      <c r="E150" s="12" t="s">
        <v>4516</v>
      </c>
      <c r="K150" s="12">
        <v>149</v>
      </c>
      <c r="L150" s="12">
        <v>148</v>
      </c>
    </row>
    <row r="151" spans="1:12">
      <c r="A151" s="12" t="s">
        <v>4517</v>
      </c>
      <c r="B151" s="12" t="s">
        <v>4318</v>
      </c>
      <c r="C151" s="12" t="s">
        <v>4518</v>
      </c>
      <c r="D151" s="12" t="s">
        <v>4318</v>
      </c>
      <c r="E151" s="12" t="s">
        <v>4518</v>
      </c>
      <c r="K151" s="12">
        <v>150</v>
      </c>
      <c r="L151" s="12">
        <v>149</v>
      </c>
    </row>
    <row r="152" spans="1:12">
      <c r="A152" s="12" t="s">
        <v>4519</v>
      </c>
      <c r="B152" s="12" t="s">
        <v>4318</v>
      </c>
      <c r="C152" s="12" t="s">
        <v>4520</v>
      </c>
      <c r="D152" s="12" t="s">
        <v>4318</v>
      </c>
      <c r="E152" s="12" t="s">
        <v>4520</v>
      </c>
      <c r="K152" s="12">
        <v>151</v>
      </c>
      <c r="L152" s="12">
        <v>150</v>
      </c>
    </row>
    <row r="153" spans="1:12">
      <c r="A153" s="12" t="s">
        <v>4521</v>
      </c>
      <c r="B153" s="12" t="s">
        <v>4318</v>
      </c>
      <c r="C153" s="12" t="s">
        <v>4522</v>
      </c>
      <c r="D153" s="12" t="s">
        <v>4318</v>
      </c>
      <c r="E153" s="12" t="s">
        <v>4522</v>
      </c>
      <c r="K153" s="12">
        <v>152</v>
      </c>
      <c r="L153" s="12">
        <v>151</v>
      </c>
    </row>
    <row r="154" spans="1:12">
      <c r="A154" s="12" t="s">
        <v>4523</v>
      </c>
      <c r="B154" s="12" t="s">
        <v>4318</v>
      </c>
      <c r="C154" s="12" t="s">
        <v>4524</v>
      </c>
      <c r="D154" s="12" t="s">
        <v>4318</v>
      </c>
      <c r="E154" s="12" t="s">
        <v>4524</v>
      </c>
      <c r="K154" s="12">
        <v>153</v>
      </c>
      <c r="L154" s="12">
        <v>152</v>
      </c>
    </row>
    <row r="155" spans="1:12">
      <c r="A155" s="12" t="s">
        <v>4525</v>
      </c>
      <c r="B155" s="12" t="s">
        <v>4318</v>
      </c>
      <c r="C155" s="12" t="s">
        <v>4526</v>
      </c>
      <c r="D155" s="12" t="s">
        <v>4318</v>
      </c>
      <c r="E155" s="12" t="s">
        <v>4526</v>
      </c>
      <c r="K155" s="12">
        <v>154</v>
      </c>
      <c r="L155" s="12">
        <v>153</v>
      </c>
    </row>
    <row r="156" spans="1:12">
      <c r="A156" s="12" t="s">
        <v>4527</v>
      </c>
      <c r="B156" s="12" t="s">
        <v>4318</v>
      </c>
      <c r="C156" s="12" t="s">
        <v>4528</v>
      </c>
      <c r="D156" s="12" t="s">
        <v>4318</v>
      </c>
      <c r="E156" s="12" t="s">
        <v>4528</v>
      </c>
      <c r="K156" s="12">
        <v>155</v>
      </c>
      <c r="L156" s="12">
        <v>154</v>
      </c>
    </row>
    <row r="157" spans="1:12">
      <c r="A157" s="12" t="s">
        <v>4529</v>
      </c>
      <c r="B157" s="12" t="s">
        <v>4318</v>
      </c>
      <c r="C157" s="12" t="s">
        <v>4530</v>
      </c>
      <c r="D157" s="12" t="s">
        <v>4318</v>
      </c>
      <c r="E157" s="12" t="s">
        <v>4530</v>
      </c>
      <c r="K157" s="12">
        <v>156</v>
      </c>
      <c r="L157" s="12">
        <v>155</v>
      </c>
    </row>
    <row r="158" spans="1:12">
      <c r="A158" s="12" t="s">
        <v>4531</v>
      </c>
      <c r="B158" s="12" t="s">
        <v>4318</v>
      </c>
      <c r="C158" s="12" t="s">
        <v>4532</v>
      </c>
      <c r="D158" s="12" t="s">
        <v>4318</v>
      </c>
      <c r="E158" s="12" t="s">
        <v>4532</v>
      </c>
      <c r="K158" s="12">
        <v>157</v>
      </c>
      <c r="L158" s="12">
        <v>156</v>
      </c>
    </row>
    <row r="159" spans="1:12">
      <c r="A159" s="12" t="s">
        <v>4533</v>
      </c>
      <c r="B159" s="12" t="s">
        <v>4318</v>
      </c>
      <c r="C159" s="12" t="s">
        <v>4534</v>
      </c>
      <c r="D159" s="12" t="s">
        <v>4318</v>
      </c>
      <c r="E159" s="12" t="s">
        <v>4534</v>
      </c>
      <c r="K159" s="12">
        <v>158</v>
      </c>
      <c r="L159" s="12">
        <v>157</v>
      </c>
    </row>
    <row r="160" spans="1:12">
      <c r="A160" s="12" t="s">
        <v>4535</v>
      </c>
      <c r="B160" s="12" t="s">
        <v>4318</v>
      </c>
      <c r="C160" s="12" t="s">
        <v>4536</v>
      </c>
      <c r="D160" s="12" t="s">
        <v>4318</v>
      </c>
      <c r="E160" s="12" t="s">
        <v>4536</v>
      </c>
      <c r="K160" s="12">
        <v>159</v>
      </c>
      <c r="L160" s="12">
        <v>158</v>
      </c>
    </row>
    <row r="161" spans="1:12">
      <c r="A161" s="12" t="s">
        <v>4537</v>
      </c>
      <c r="B161" s="12" t="s">
        <v>4318</v>
      </c>
      <c r="C161" s="12" t="s">
        <v>4538</v>
      </c>
      <c r="D161" s="12" t="s">
        <v>4318</v>
      </c>
      <c r="E161" s="12" t="s">
        <v>4538</v>
      </c>
      <c r="K161" s="12">
        <v>160</v>
      </c>
      <c r="L161" s="12">
        <v>159</v>
      </c>
    </row>
    <row r="162" spans="1:12">
      <c r="A162" s="12" t="s">
        <v>4539</v>
      </c>
      <c r="B162" s="12" t="s">
        <v>4318</v>
      </c>
      <c r="C162" s="12" t="s">
        <v>4540</v>
      </c>
      <c r="D162" s="12" t="s">
        <v>4318</v>
      </c>
      <c r="E162" s="12" t="s">
        <v>4540</v>
      </c>
      <c r="K162" s="12">
        <v>161</v>
      </c>
      <c r="L162" s="12">
        <v>160</v>
      </c>
    </row>
    <row r="163" spans="1:12">
      <c r="A163" s="12" t="s">
        <v>4541</v>
      </c>
      <c r="B163" s="12" t="s">
        <v>4542</v>
      </c>
      <c r="C163" s="12" t="s">
        <v>4543</v>
      </c>
      <c r="D163" s="12" t="s">
        <v>4542</v>
      </c>
      <c r="E163" s="12" t="s">
        <v>4543</v>
      </c>
      <c r="K163" s="12">
        <v>162</v>
      </c>
      <c r="L163" s="12">
        <v>1</v>
      </c>
    </row>
    <row r="164" spans="1:12">
      <c r="A164" s="12" t="s">
        <v>4544</v>
      </c>
      <c r="B164" s="12" t="s">
        <v>4542</v>
      </c>
      <c r="C164" s="12" t="s">
        <v>4545</v>
      </c>
      <c r="D164" s="12" t="s">
        <v>4542</v>
      </c>
      <c r="E164" s="12" t="s">
        <v>4545</v>
      </c>
      <c r="K164" s="12">
        <v>163</v>
      </c>
      <c r="L164" s="12">
        <v>2</v>
      </c>
    </row>
    <row r="165" spans="1:12">
      <c r="A165" s="12" t="s">
        <v>4546</v>
      </c>
      <c r="B165" s="12" t="s">
        <v>4542</v>
      </c>
      <c r="C165" s="12" t="s">
        <v>4547</v>
      </c>
      <c r="D165" s="12" t="s">
        <v>4542</v>
      </c>
      <c r="E165" s="12" t="s">
        <v>4547</v>
      </c>
      <c r="K165" s="12">
        <v>164</v>
      </c>
      <c r="L165" s="12">
        <v>3</v>
      </c>
    </row>
    <row r="166" spans="1:12">
      <c r="A166" s="12" t="s">
        <v>4548</v>
      </c>
      <c r="B166" s="12" t="s">
        <v>4542</v>
      </c>
      <c r="C166" s="12" t="s">
        <v>4549</v>
      </c>
      <c r="D166" s="12" t="s">
        <v>4542</v>
      </c>
      <c r="E166" s="12" t="s">
        <v>4549</v>
      </c>
      <c r="K166" s="12">
        <v>165</v>
      </c>
      <c r="L166" s="12">
        <v>4</v>
      </c>
    </row>
    <row r="167" spans="1:12">
      <c r="A167" s="12" t="s">
        <v>4550</v>
      </c>
      <c r="B167" s="12" t="s">
        <v>4542</v>
      </c>
      <c r="C167" s="12" t="s">
        <v>4551</v>
      </c>
      <c r="D167" s="12" t="s">
        <v>4542</v>
      </c>
      <c r="E167" s="12" t="s">
        <v>4551</v>
      </c>
      <c r="K167" s="12">
        <v>166</v>
      </c>
      <c r="L167" s="12">
        <v>5</v>
      </c>
    </row>
    <row r="168" spans="1:12">
      <c r="A168" s="12" t="s">
        <v>4552</v>
      </c>
      <c r="B168" s="12" t="s">
        <v>4542</v>
      </c>
      <c r="C168" s="12" t="s">
        <v>4553</v>
      </c>
      <c r="D168" s="12" t="s">
        <v>4542</v>
      </c>
      <c r="E168" s="12" t="s">
        <v>4553</v>
      </c>
      <c r="K168" s="12">
        <v>167</v>
      </c>
      <c r="L168" s="12">
        <v>6</v>
      </c>
    </row>
    <row r="169" spans="1:12">
      <c r="A169" s="12" t="s">
        <v>4554</v>
      </c>
      <c r="B169" s="12" t="s">
        <v>4542</v>
      </c>
      <c r="C169" s="12" t="s">
        <v>4555</v>
      </c>
      <c r="D169" s="12" t="s">
        <v>4542</v>
      </c>
      <c r="E169" s="12" t="s">
        <v>4555</v>
      </c>
      <c r="K169" s="12">
        <v>168</v>
      </c>
      <c r="L169" s="12">
        <v>7</v>
      </c>
    </row>
    <row r="170" spans="1:12">
      <c r="A170" s="12" t="s">
        <v>4556</v>
      </c>
      <c r="B170" s="12" t="s">
        <v>4542</v>
      </c>
      <c r="C170" s="12" t="s">
        <v>4557</v>
      </c>
      <c r="D170" s="12" t="s">
        <v>4542</v>
      </c>
      <c r="E170" s="12" t="s">
        <v>4557</v>
      </c>
      <c r="K170" s="12">
        <v>169</v>
      </c>
      <c r="L170" s="12">
        <v>8</v>
      </c>
    </row>
    <row r="171" spans="1:12">
      <c r="A171" s="12" t="s">
        <v>4558</v>
      </c>
      <c r="B171" s="12" t="s">
        <v>4542</v>
      </c>
      <c r="C171" s="12" t="s">
        <v>4559</v>
      </c>
      <c r="D171" s="12" t="s">
        <v>4542</v>
      </c>
      <c r="E171" s="12" t="s">
        <v>4559</v>
      </c>
      <c r="K171" s="12">
        <v>170</v>
      </c>
      <c r="L171" s="12">
        <v>9</v>
      </c>
    </row>
    <row r="172" spans="1:12">
      <c r="A172" s="12" t="s">
        <v>4560</v>
      </c>
      <c r="B172" s="12" t="s">
        <v>4542</v>
      </c>
      <c r="C172" s="12" t="s">
        <v>4561</v>
      </c>
      <c r="D172" s="12" t="s">
        <v>4542</v>
      </c>
      <c r="E172" s="12" t="s">
        <v>4561</v>
      </c>
      <c r="K172" s="12">
        <v>171</v>
      </c>
      <c r="L172" s="12">
        <v>10</v>
      </c>
    </row>
    <row r="173" spans="1:12">
      <c r="A173" s="12" t="s">
        <v>4562</v>
      </c>
      <c r="B173" s="12" t="s">
        <v>4542</v>
      </c>
      <c r="C173" s="12" t="s">
        <v>4563</v>
      </c>
      <c r="D173" s="12" t="s">
        <v>4542</v>
      </c>
      <c r="E173" s="12" t="s">
        <v>4563</v>
      </c>
      <c r="K173" s="12">
        <v>172</v>
      </c>
      <c r="L173" s="12">
        <v>11</v>
      </c>
    </row>
    <row r="174" spans="1:12">
      <c r="A174" s="12" t="s">
        <v>4564</v>
      </c>
      <c r="B174" s="12" t="s">
        <v>4542</v>
      </c>
      <c r="C174" s="12" t="s">
        <v>4565</v>
      </c>
      <c r="D174" s="12" t="s">
        <v>4542</v>
      </c>
      <c r="E174" s="12" t="s">
        <v>4565</v>
      </c>
      <c r="K174" s="12">
        <v>173</v>
      </c>
      <c r="L174" s="12">
        <v>12</v>
      </c>
    </row>
    <row r="175" spans="1:12">
      <c r="A175" s="12" t="s">
        <v>4566</v>
      </c>
      <c r="B175" s="12" t="s">
        <v>4542</v>
      </c>
      <c r="C175" s="12" t="s">
        <v>4567</v>
      </c>
      <c r="D175" s="12" t="s">
        <v>4542</v>
      </c>
      <c r="E175" s="12" t="s">
        <v>4567</v>
      </c>
      <c r="K175" s="12">
        <v>174</v>
      </c>
      <c r="L175" s="12">
        <v>13</v>
      </c>
    </row>
    <row r="176" spans="1:12">
      <c r="A176" s="12" t="s">
        <v>4568</v>
      </c>
      <c r="B176" s="12" t="s">
        <v>4542</v>
      </c>
      <c r="C176" s="12" t="s">
        <v>4569</v>
      </c>
      <c r="D176" s="12" t="s">
        <v>4542</v>
      </c>
      <c r="E176" s="12" t="s">
        <v>4569</v>
      </c>
      <c r="K176" s="12">
        <v>175</v>
      </c>
      <c r="L176" s="12">
        <v>14</v>
      </c>
    </row>
    <row r="177" spans="1:12">
      <c r="A177" s="12" t="s">
        <v>4570</v>
      </c>
      <c r="B177" s="12" t="s">
        <v>4542</v>
      </c>
      <c r="C177" s="12" t="s">
        <v>4571</v>
      </c>
      <c r="D177" s="12" t="s">
        <v>4542</v>
      </c>
      <c r="E177" s="12" t="s">
        <v>4571</v>
      </c>
      <c r="K177" s="12">
        <v>176</v>
      </c>
      <c r="L177" s="12">
        <v>15</v>
      </c>
    </row>
    <row r="178" spans="1:12">
      <c r="A178" s="12" t="s">
        <v>4572</v>
      </c>
      <c r="B178" s="12" t="s">
        <v>4542</v>
      </c>
      <c r="C178" s="12" t="s">
        <v>4573</v>
      </c>
      <c r="D178" s="12" t="s">
        <v>4542</v>
      </c>
      <c r="E178" s="12" t="s">
        <v>4573</v>
      </c>
      <c r="K178" s="12">
        <v>177</v>
      </c>
      <c r="L178" s="12">
        <v>16</v>
      </c>
    </row>
    <row r="179" spans="1:12">
      <c r="A179" s="12" t="s">
        <v>4574</v>
      </c>
      <c r="B179" s="12" t="s">
        <v>4542</v>
      </c>
      <c r="C179" s="12" t="s">
        <v>4575</v>
      </c>
      <c r="D179" s="12" t="s">
        <v>4542</v>
      </c>
      <c r="E179" s="12" t="s">
        <v>4575</v>
      </c>
      <c r="K179" s="12">
        <v>178</v>
      </c>
      <c r="L179" s="12">
        <v>17</v>
      </c>
    </row>
    <row r="180" spans="1:12">
      <c r="A180" s="12" t="s">
        <v>4576</v>
      </c>
      <c r="B180" s="12" t="s">
        <v>4542</v>
      </c>
      <c r="C180" s="12" t="s">
        <v>4577</v>
      </c>
      <c r="D180" s="12" t="s">
        <v>4542</v>
      </c>
      <c r="E180" s="12" t="s">
        <v>4577</v>
      </c>
      <c r="K180" s="12">
        <v>179</v>
      </c>
      <c r="L180" s="12">
        <v>18</v>
      </c>
    </row>
    <row r="181" spans="1:12">
      <c r="A181" s="12" t="s">
        <v>4578</v>
      </c>
      <c r="B181" s="12" t="s">
        <v>4542</v>
      </c>
      <c r="C181" s="12" t="s">
        <v>4579</v>
      </c>
      <c r="D181" s="12" t="s">
        <v>4542</v>
      </c>
      <c r="E181" s="12" t="s">
        <v>4579</v>
      </c>
      <c r="K181" s="12">
        <v>180</v>
      </c>
      <c r="L181" s="12">
        <v>19</v>
      </c>
    </row>
    <row r="182" spans="1:12">
      <c r="A182" s="12" t="s">
        <v>4580</v>
      </c>
      <c r="B182" s="12" t="s">
        <v>4542</v>
      </c>
      <c r="C182" s="12" t="s">
        <v>4581</v>
      </c>
      <c r="D182" s="12" t="s">
        <v>4542</v>
      </c>
      <c r="E182" s="12" t="s">
        <v>4581</v>
      </c>
      <c r="K182" s="12">
        <v>181</v>
      </c>
      <c r="L182" s="12">
        <v>20</v>
      </c>
    </row>
    <row r="183" spans="1:12">
      <c r="A183" s="12" t="s">
        <v>4582</v>
      </c>
      <c r="B183" s="12" t="s">
        <v>4542</v>
      </c>
      <c r="C183" s="12" t="s">
        <v>4583</v>
      </c>
      <c r="D183" s="12" t="s">
        <v>4542</v>
      </c>
      <c r="E183" s="12" t="s">
        <v>4583</v>
      </c>
      <c r="K183" s="12">
        <v>182</v>
      </c>
      <c r="L183" s="12">
        <v>21</v>
      </c>
    </row>
    <row r="184" spans="1:12">
      <c r="A184" s="12" t="s">
        <v>4584</v>
      </c>
      <c r="B184" s="12" t="s">
        <v>4542</v>
      </c>
      <c r="C184" s="12" t="s">
        <v>4585</v>
      </c>
      <c r="D184" s="12" t="s">
        <v>4542</v>
      </c>
      <c r="E184" s="12" t="s">
        <v>4585</v>
      </c>
      <c r="K184" s="12">
        <v>183</v>
      </c>
      <c r="L184" s="12">
        <v>22</v>
      </c>
    </row>
    <row r="185" spans="1:12">
      <c r="A185" s="12" t="s">
        <v>4586</v>
      </c>
      <c r="B185" s="12" t="s">
        <v>4542</v>
      </c>
      <c r="C185" s="12" t="s">
        <v>4587</v>
      </c>
      <c r="D185" s="12" t="s">
        <v>4542</v>
      </c>
      <c r="E185" s="12" t="s">
        <v>4587</v>
      </c>
      <c r="K185" s="12">
        <v>184</v>
      </c>
      <c r="L185" s="12">
        <v>23</v>
      </c>
    </row>
    <row r="186" spans="1:12">
      <c r="A186" s="12" t="s">
        <v>4588</v>
      </c>
      <c r="B186" s="12" t="s">
        <v>4542</v>
      </c>
      <c r="C186" s="12" t="s">
        <v>4589</v>
      </c>
      <c r="D186" s="12" t="s">
        <v>4542</v>
      </c>
      <c r="E186" s="12" t="s">
        <v>4589</v>
      </c>
      <c r="K186" s="12">
        <v>185</v>
      </c>
      <c r="L186" s="12">
        <v>24</v>
      </c>
    </row>
    <row r="187" spans="1:12">
      <c r="A187" s="12" t="s">
        <v>4590</v>
      </c>
      <c r="B187" s="12" t="s">
        <v>4542</v>
      </c>
      <c r="C187" s="12" t="s">
        <v>4591</v>
      </c>
      <c r="D187" s="12" t="s">
        <v>4542</v>
      </c>
      <c r="E187" s="12" t="s">
        <v>4591</v>
      </c>
      <c r="K187" s="12">
        <v>186</v>
      </c>
      <c r="L187" s="12">
        <v>25</v>
      </c>
    </row>
    <row r="188" spans="1:12">
      <c r="A188" s="12" t="s">
        <v>4592</v>
      </c>
      <c r="B188" s="12" t="s">
        <v>4542</v>
      </c>
      <c r="C188" s="12" t="s">
        <v>4593</v>
      </c>
      <c r="D188" s="12" t="s">
        <v>4542</v>
      </c>
      <c r="E188" s="12" t="s">
        <v>4593</v>
      </c>
      <c r="K188" s="12">
        <v>187</v>
      </c>
      <c r="L188" s="12">
        <v>26</v>
      </c>
    </row>
    <row r="189" spans="1:12">
      <c r="A189" s="12" t="s">
        <v>4594</v>
      </c>
      <c r="B189" s="12" t="s">
        <v>4542</v>
      </c>
      <c r="C189" s="12" t="s">
        <v>4595</v>
      </c>
      <c r="D189" s="12" t="s">
        <v>4542</v>
      </c>
      <c r="E189" s="12" t="s">
        <v>4595</v>
      </c>
      <c r="K189" s="12">
        <v>188</v>
      </c>
      <c r="L189" s="12">
        <v>27</v>
      </c>
    </row>
    <row r="190" spans="1:12">
      <c r="A190" s="12" t="s">
        <v>4596</v>
      </c>
      <c r="B190" s="12" t="s">
        <v>4542</v>
      </c>
      <c r="C190" s="12" t="s">
        <v>4597</v>
      </c>
      <c r="D190" s="12" t="s">
        <v>4542</v>
      </c>
      <c r="E190" s="12" t="s">
        <v>4597</v>
      </c>
      <c r="K190" s="12">
        <v>189</v>
      </c>
      <c r="L190" s="12">
        <v>28</v>
      </c>
    </row>
    <row r="191" spans="1:12">
      <c r="A191" s="12" t="s">
        <v>4598</v>
      </c>
      <c r="B191" s="12" t="s">
        <v>4542</v>
      </c>
      <c r="C191" s="12" t="s">
        <v>4599</v>
      </c>
      <c r="D191" s="12" t="s">
        <v>4542</v>
      </c>
      <c r="E191" s="12" t="s">
        <v>4599</v>
      </c>
      <c r="K191" s="12">
        <v>190</v>
      </c>
      <c r="L191" s="12">
        <v>29</v>
      </c>
    </row>
    <row r="192" spans="1:12">
      <c r="A192" s="12" t="s">
        <v>4600</v>
      </c>
      <c r="B192" s="12" t="s">
        <v>4542</v>
      </c>
      <c r="C192" s="12" t="s">
        <v>4601</v>
      </c>
      <c r="D192" s="12" t="s">
        <v>4542</v>
      </c>
      <c r="E192" s="12" t="s">
        <v>4601</v>
      </c>
      <c r="K192" s="12">
        <v>191</v>
      </c>
      <c r="L192" s="12">
        <v>30</v>
      </c>
    </row>
    <row r="193" spans="1:12">
      <c r="A193" s="12" t="s">
        <v>4602</v>
      </c>
      <c r="B193" s="12" t="s">
        <v>4542</v>
      </c>
      <c r="C193" s="12" t="s">
        <v>4603</v>
      </c>
      <c r="D193" s="12" t="s">
        <v>4542</v>
      </c>
      <c r="E193" s="12" t="s">
        <v>4603</v>
      </c>
      <c r="K193" s="12">
        <v>192</v>
      </c>
      <c r="L193" s="12">
        <v>31</v>
      </c>
    </row>
    <row r="194" spans="1:12">
      <c r="A194" s="12" t="s">
        <v>4604</v>
      </c>
      <c r="B194" s="12" t="s">
        <v>4542</v>
      </c>
      <c r="C194" s="12" t="s">
        <v>4605</v>
      </c>
      <c r="D194" s="12" t="s">
        <v>4542</v>
      </c>
      <c r="E194" s="12" t="s">
        <v>4605</v>
      </c>
      <c r="K194" s="12">
        <v>193</v>
      </c>
      <c r="L194" s="12">
        <v>32</v>
      </c>
    </row>
    <row r="195" spans="1:12">
      <c r="A195" s="12" t="s">
        <v>4606</v>
      </c>
      <c r="B195" s="12" t="s">
        <v>4542</v>
      </c>
      <c r="C195" s="12" t="s">
        <v>4607</v>
      </c>
      <c r="D195" s="12" t="s">
        <v>4542</v>
      </c>
      <c r="E195" s="12" t="s">
        <v>4607</v>
      </c>
      <c r="K195" s="12">
        <v>194</v>
      </c>
      <c r="L195" s="12">
        <v>33</v>
      </c>
    </row>
    <row r="196" spans="1:12">
      <c r="A196" s="12" t="s">
        <v>4608</v>
      </c>
      <c r="B196" s="12" t="s">
        <v>4542</v>
      </c>
      <c r="C196" s="12" t="s">
        <v>4609</v>
      </c>
      <c r="D196" s="12" t="s">
        <v>4542</v>
      </c>
      <c r="E196" s="12" t="s">
        <v>4609</v>
      </c>
      <c r="K196" s="12">
        <v>195</v>
      </c>
      <c r="L196" s="12">
        <v>34</v>
      </c>
    </row>
    <row r="197" spans="1:12">
      <c r="A197" s="12" t="s">
        <v>4610</v>
      </c>
      <c r="B197" s="12" t="s">
        <v>4542</v>
      </c>
      <c r="C197" s="12" t="s">
        <v>4611</v>
      </c>
      <c r="D197" s="12" t="s">
        <v>4542</v>
      </c>
      <c r="E197" s="12" t="s">
        <v>4611</v>
      </c>
      <c r="K197" s="12">
        <v>196</v>
      </c>
      <c r="L197" s="12">
        <v>35</v>
      </c>
    </row>
    <row r="198" spans="1:12">
      <c r="A198" s="12" t="s">
        <v>4612</v>
      </c>
      <c r="B198" s="12" t="s">
        <v>4542</v>
      </c>
      <c r="C198" s="12" t="s">
        <v>4613</v>
      </c>
      <c r="D198" s="12" t="s">
        <v>4542</v>
      </c>
      <c r="E198" s="12" t="s">
        <v>4613</v>
      </c>
      <c r="K198" s="12">
        <v>197</v>
      </c>
      <c r="L198" s="12">
        <v>36</v>
      </c>
    </row>
    <row r="199" spans="1:12">
      <c r="A199" s="12" t="s">
        <v>4614</v>
      </c>
      <c r="B199" s="12" t="s">
        <v>4542</v>
      </c>
      <c r="C199" s="12" t="s">
        <v>4615</v>
      </c>
      <c r="D199" s="12" t="s">
        <v>4542</v>
      </c>
      <c r="E199" s="12" t="s">
        <v>4615</v>
      </c>
      <c r="K199" s="12">
        <v>198</v>
      </c>
      <c r="L199" s="12">
        <v>37</v>
      </c>
    </row>
    <row r="200" spans="1:12">
      <c r="A200" s="12" t="s">
        <v>4616</v>
      </c>
      <c r="B200" s="12" t="s">
        <v>4542</v>
      </c>
      <c r="C200" s="12" t="s">
        <v>4617</v>
      </c>
      <c r="D200" s="12" t="s">
        <v>4542</v>
      </c>
      <c r="E200" s="12" t="s">
        <v>4617</v>
      </c>
      <c r="K200" s="12">
        <v>199</v>
      </c>
      <c r="L200" s="12">
        <v>38</v>
      </c>
    </row>
    <row r="201" spans="1:12">
      <c r="A201" s="12" t="s">
        <v>4618</v>
      </c>
      <c r="B201" s="12" t="s">
        <v>4542</v>
      </c>
      <c r="C201" s="12" t="s">
        <v>4619</v>
      </c>
      <c r="D201" s="12" t="s">
        <v>4542</v>
      </c>
      <c r="E201" s="12" t="s">
        <v>4619</v>
      </c>
      <c r="K201" s="12">
        <v>200</v>
      </c>
      <c r="L201" s="12">
        <v>39</v>
      </c>
    </row>
    <row r="202" spans="1:12">
      <c r="A202" s="12" t="s">
        <v>4620</v>
      </c>
      <c r="B202" s="12" t="s">
        <v>4542</v>
      </c>
      <c r="C202" s="12" t="s">
        <v>4621</v>
      </c>
      <c r="D202" s="12" t="s">
        <v>4542</v>
      </c>
      <c r="E202" s="12" t="s">
        <v>4621</v>
      </c>
      <c r="K202" s="12">
        <v>201</v>
      </c>
      <c r="L202" s="12">
        <v>40</v>
      </c>
    </row>
    <row r="203" spans="1:12">
      <c r="A203" s="12" t="s">
        <v>4622</v>
      </c>
      <c r="B203" s="12" t="s">
        <v>4542</v>
      </c>
      <c r="C203" s="12" t="s">
        <v>4623</v>
      </c>
      <c r="D203" s="12" t="s">
        <v>4542</v>
      </c>
      <c r="E203" s="12" t="s">
        <v>4623</v>
      </c>
      <c r="K203" s="12">
        <v>202</v>
      </c>
      <c r="L203" s="12">
        <v>41</v>
      </c>
    </row>
    <row r="204" spans="1:12">
      <c r="A204" s="12" t="s">
        <v>4624</v>
      </c>
      <c r="B204" s="12" t="s">
        <v>4542</v>
      </c>
      <c r="C204" s="12" t="s">
        <v>4625</v>
      </c>
      <c r="D204" s="12" t="s">
        <v>4542</v>
      </c>
      <c r="E204" s="12" t="s">
        <v>4625</v>
      </c>
      <c r="K204" s="12">
        <v>203</v>
      </c>
      <c r="L204" s="12">
        <v>42</v>
      </c>
    </row>
    <row r="205" spans="1:12">
      <c r="A205" s="12" t="s">
        <v>4626</v>
      </c>
      <c r="B205" s="12" t="s">
        <v>4542</v>
      </c>
      <c r="C205" s="12" t="s">
        <v>4627</v>
      </c>
      <c r="D205" s="12" t="s">
        <v>4542</v>
      </c>
      <c r="E205" s="12" t="s">
        <v>4627</v>
      </c>
      <c r="K205" s="12">
        <v>204</v>
      </c>
      <c r="L205" s="12">
        <v>43</v>
      </c>
    </row>
    <row r="206" spans="1:12">
      <c r="A206" s="12" t="s">
        <v>4628</v>
      </c>
      <c r="B206" s="12" t="s">
        <v>4542</v>
      </c>
      <c r="C206" s="12" t="s">
        <v>4629</v>
      </c>
      <c r="D206" s="12" t="s">
        <v>4542</v>
      </c>
      <c r="E206" s="12" t="s">
        <v>4629</v>
      </c>
      <c r="K206" s="12">
        <v>205</v>
      </c>
      <c r="L206" s="12">
        <v>44</v>
      </c>
    </row>
    <row r="207" spans="1:12">
      <c r="A207" s="12" t="s">
        <v>4630</v>
      </c>
      <c r="B207" s="12" t="s">
        <v>4542</v>
      </c>
      <c r="C207" s="12" t="s">
        <v>4631</v>
      </c>
      <c r="D207" s="12" t="s">
        <v>4542</v>
      </c>
      <c r="E207" s="12" t="s">
        <v>4631</v>
      </c>
      <c r="K207" s="12">
        <v>206</v>
      </c>
      <c r="L207" s="12">
        <v>45</v>
      </c>
    </row>
    <row r="208" spans="1:12">
      <c r="A208" s="12" t="s">
        <v>4632</v>
      </c>
      <c r="B208" s="12" t="s">
        <v>4542</v>
      </c>
      <c r="C208" s="12" t="s">
        <v>4633</v>
      </c>
      <c r="D208" s="12" t="s">
        <v>4542</v>
      </c>
      <c r="E208" s="12" t="s">
        <v>4633</v>
      </c>
      <c r="K208" s="12">
        <v>207</v>
      </c>
      <c r="L208" s="12">
        <v>46</v>
      </c>
    </row>
    <row r="209" spans="1:12">
      <c r="A209" s="12" t="s">
        <v>4634</v>
      </c>
      <c r="B209" s="12" t="s">
        <v>4542</v>
      </c>
      <c r="C209" s="12" t="s">
        <v>4635</v>
      </c>
      <c r="D209" s="12" t="s">
        <v>4542</v>
      </c>
      <c r="E209" s="12" t="s">
        <v>4635</v>
      </c>
      <c r="K209" s="12">
        <v>208</v>
      </c>
      <c r="L209" s="12">
        <v>47</v>
      </c>
    </row>
    <row r="210" spans="1:12">
      <c r="A210" s="12" t="s">
        <v>4636</v>
      </c>
      <c r="B210" s="12" t="s">
        <v>4542</v>
      </c>
      <c r="C210" s="12" t="s">
        <v>4637</v>
      </c>
      <c r="D210" s="12" t="s">
        <v>4542</v>
      </c>
      <c r="E210" s="12" t="s">
        <v>4637</v>
      </c>
      <c r="K210" s="12">
        <v>209</v>
      </c>
      <c r="L210" s="12">
        <v>48</v>
      </c>
    </row>
    <row r="211" spans="1:12">
      <c r="A211" s="12" t="s">
        <v>4638</v>
      </c>
      <c r="B211" s="12" t="s">
        <v>4542</v>
      </c>
      <c r="C211" s="12" t="s">
        <v>4639</v>
      </c>
      <c r="D211" s="12" t="s">
        <v>4542</v>
      </c>
      <c r="E211" s="12" t="s">
        <v>4639</v>
      </c>
      <c r="K211" s="12">
        <v>210</v>
      </c>
      <c r="L211" s="12">
        <v>49</v>
      </c>
    </row>
    <row r="212" spans="1:12">
      <c r="A212" s="12" t="s">
        <v>4640</v>
      </c>
      <c r="B212" s="12" t="s">
        <v>4542</v>
      </c>
      <c r="C212" s="12" t="s">
        <v>4641</v>
      </c>
      <c r="D212" s="12" t="s">
        <v>4542</v>
      </c>
      <c r="E212" s="12" t="s">
        <v>4641</v>
      </c>
      <c r="K212" s="12">
        <v>211</v>
      </c>
      <c r="L212" s="12">
        <v>50</v>
      </c>
    </row>
    <row r="213" spans="1:12">
      <c r="A213" s="12" t="s">
        <v>4642</v>
      </c>
      <c r="B213" s="12" t="s">
        <v>4542</v>
      </c>
      <c r="C213" s="12" t="s">
        <v>4643</v>
      </c>
      <c r="D213" s="12" t="s">
        <v>4542</v>
      </c>
      <c r="E213" s="12" t="s">
        <v>4643</v>
      </c>
      <c r="K213" s="12">
        <v>212</v>
      </c>
      <c r="L213" s="12">
        <v>51</v>
      </c>
    </row>
    <row r="214" spans="1:12">
      <c r="A214" s="12" t="s">
        <v>4644</v>
      </c>
      <c r="B214" s="12" t="s">
        <v>4542</v>
      </c>
      <c r="C214" s="12" t="s">
        <v>4645</v>
      </c>
      <c r="D214" s="12" t="s">
        <v>4542</v>
      </c>
      <c r="E214" s="12" t="s">
        <v>4645</v>
      </c>
      <c r="K214" s="12">
        <v>213</v>
      </c>
      <c r="L214" s="12">
        <v>52</v>
      </c>
    </row>
    <row r="215" spans="1:12">
      <c r="A215" s="12" t="s">
        <v>4646</v>
      </c>
      <c r="B215" s="12" t="s">
        <v>4542</v>
      </c>
      <c r="C215" s="12" t="s">
        <v>4647</v>
      </c>
      <c r="D215" s="12" t="s">
        <v>4542</v>
      </c>
      <c r="E215" s="12" t="s">
        <v>4647</v>
      </c>
      <c r="K215" s="12">
        <v>214</v>
      </c>
      <c r="L215" s="12">
        <v>53</v>
      </c>
    </row>
    <row r="216" spans="1:12">
      <c r="A216" s="12" t="s">
        <v>4648</v>
      </c>
      <c r="B216" s="12" t="s">
        <v>4542</v>
      </c>
      <c r="C216" s="12" t="s">
        <v>4649</v>
      </c>
      <c r="D216" s="12" t="s">
        <v>4542</v>
      </c>
      <c r="E216" s="12" t="s">
        <v>4649</v>
      </c>
      <c r="K216" s="12">
        <v>215</v>
      </c>
      <c r="L216" s="12">
        <v>54</v>
      </c>
    </row>
    <row r="217" spans="1:12">
      <c r="A217" s="12" t="s">
        <v>4650</v>
      </c>
      <c r="B217" s="12" t="s">
        <v>4542</v>
      </c>
      <c r="C217" s="12" t="s">
        <v>4651</v>
      </c>
      <c r="D217" s="12" t="s">
        <v>4542</v>
      </c>
      <c r="E217" s="12" t="s">
        <v>4651</v>
      </c>
      <c r="K217" s="12">
        <v>216</v>
      </c>
      <c r="L217" s="12">
        <v>55</v>
      </c>
    </row>
    <row r="218" spans="1:12">
      <c r="A218" s="12" t="s">
        <v>4652</v>
      </c>
      <c r="B218" s="12" t="s">
        <v>4542</v>
      </c>
      <c r="C218" s="12" t="s">
        <v>4653</v>
      </c>
      <c r="D218" s="12" t="s">
        <v>4542</v>
      </c>
      <c r="E218" s="12" t="s">
        <v>4653</v>
      </c>
      <c r="K218" s="12">
        <v>217</v>
      </c>
      <c r="L218" s="12">
        <v>56</v>
      </c>
    </row>
    <row r="219" spans="1:12">
      <c r="A219" s="12" t="s">
        <v>4654</v>
      </c>
      <c r="B219" s="12" t="s">
        <v>4542</v>
      </c>
      <c r="C219" s="12" t="s">
        <v>4655</v>
      </c>
      <c r="D219" s="12" t="s">
        <v>4542</v>
      </c>
      <c r="E219" s="12" t="s">
        <v>4655</v>
      </c>
      <c r="K219" s="12">
        <v>218</v>
      </c>
      <c r="L219" s="12">
        <v>57</v>
      </c>
    </row>
    <row r="220" spans="1:12">
      <c r="A220" s="12" t="s">
        <v>4656</v>
      </c>
      <c r="B220" s="12" t="s">
        <v>4542</v>
      </c>
      <c r="C220" s="12" t="s">
        <v>4657</v>
      </c>
      <c r="D220" s="12" t="s">
        <v>4542</v>
      </c>
      <c r="E220" s="12" t="s">
        <v>4657</v>
      </c>
      <c r="K220" s="12">
        <v>219</v>
      </c>
      <c r="L220" s="12">
        <v>58</v>
      </c>
    </row>
    <row r="221" spans="1:12">
      <c r="A221" s="12" t="s">
        <v>4658</v>
      </c>
      <c r="B221" s="12" t="s">
        <v>4542</v>
      </c>
      <c r="C221" s="12" t="s">
        <v>4659</v>
      </c>
      <c r="D221" s="12" t="s">
        <v>4542</v>
      </c>
      <c r="E221" s="12" t="s">
        <v>4659</v>
      </c>
      <c r="K221" s="12">
        <v>220</v>
      </c>
      <c r="L221" s="12">
        <v>59</v>
      </c>
    </row>
    <row r="222" spans="1:12">
      <c r="A222" s="12" t="s">
        <v>4660</v>
      </c>
      <c r="B222" s="12" t="s">
        <v>4542</v>
      </c>
      <c r="C222" s="12" t="s">
        <v>4661</v>
      </c>
      <c r="D222" s="12" t="s">
        <v>4542</v>
      </c>
      <c r="E222" s="12" t="s">
        <v>4661</v>
      </c>
      <c r="K222" s="12">
        <v>221</v>
      </c>
      <c r="L222" s="12">
        <v>60</v>
      </c>
    </row>
    <row r="223" spans="1:12">
      <c r="A223" s="12" t="s">
        <v>4677</v>
      </c>
      <c r="B223" s="12" t="s">
        <v>4255</v>
      </c>
      <c r="C223" s="12" t="s">
        <v>4676</v>
      </c>
      <c r="D223" s="12" t="s">
        <v>4255</v>
      </c>
      <c r="E223" s="12" t="s">
        <v>4749</v>
      </c>
      <c r="K223" s="12">
        <v>222</v>
      </c>
      <c r="L223" s="12">
        <v>1</v>
      </c>
    </row>
    <row r="224" spans="1:12">
      <c r="A224" s="12" t="s">
        <v>4678</v>
      </c>
      <c r="B224" s="12" t="s">
        <v>4255</v>
      </c>
      <c r="C224" s="12" t="s">
        <v>4274</v>
      </c>
      <c r="D224" s="12" t="s">
        <v>4255</v>
      </c>
      <c r="E224" s="12" t="s">
        <v>4750</v>
      </c>
      <c r="K224" s="12">
        <v>223</v>
      </c>
      <c r="L224" s="12">
        <v>2</v>
      </c>
    </row>
    <row r="225" spans="1:12">
      <c r="A225" s="12" t="s">
        <v>4679</v>
      </c>
      <c r="B225" s="12" t="s">
        <v>4255</v>
      </c>
      <c r="C225" s="12" t="s">
        <v>4275</v>
      </c>
      <c r="D225" s="12" t="s">
        <v>4255</v>
      </c>
      <c r="E225" s="12" t="s">
        <v>4751</v>
      </c>
      <c r="K225" s="12">
        <v>224</v>
      </c>
      <c r="L225" s="12">
        <v>3</v>
      </c>
    </row>
    <row r="226" spans="1:12">
      <c r="A226" s="12" t="s">
        <v>4680</v>
      </c>
      <c r="B226" s="12" t="s">
        <v>4255</v>
      </c>
      <c r="C226" s="12" t="s">
        <v>4276</v>
      </c>
      <c r="D226" s="12" t="s">
        <v>4255</v>
      </c>
      <c r="E226" s="12" t="s">
        <v>4752</v>
      </c>
      <c r="K226" s="12">
        <v>225</v>
      </c>
      <c r="L226" s="12">
        <v>4</v>
      </c>
    </row>
    <row r="227" spans="1:12">
      <c r="A227" s="12" t="s">
        <v>4681</v>
      </c>
      <c r="B227" s="12" t="s">
        <v>4255</v>
      </c>
      <c r="C227" s="12" t="s">
        <v>4277</v>
      </c>
      <c r="D227" s="12" t="s">
        <v>4255</v>
      </c>
      <c r="E227" s="12" t="s">
        <v>5174</v>
      </c>
      <c r="K227" s="12">
        <v>226</v>
      </c>
      <c r="L227" s="12">
        <v>5</v>
      </c>
    </row>
    <row r="228" spans="1:12">
      <c r="A228" s="12" t="s">
        <v>4682</v>
      </c>
      <c r="B228" s="12" t="s">
        <v>4255</v>
      </c>
      <c r="C228" s="12" t="s">
        <v>4278</v>
      </c>
      <c r="D228" s="12" t="s">
        <v>4255</v>
      </c>
      <c r="E228" s="12" t="s">
        <v>5175</v>
      </c>
      <c r="K228" s="12">
        <v>227</v>
      </c>
      <c r="L228" s="12">
        <v>6</v>
      </c>
    </row>
    <row r="229" spans="1:12">
      <c r="A229" s="12" t="s">
        <v>4683</v>
      </c>
      <c r="B229" s="12" t="s">
        <v>4255</v>
      </c>
      <c r="C229" s="12" t="s">
        <v>4279</v>
      </c>
      <c r="D229" s="12" t="s">
        <v>4255</v>
      </c>
      <c r="E229" s="12" t="s">
        <v>4799</v>
      </c>
      <c r="K229" s="12">
        <v>228</v>
      </c>
      <c r="L229" s="12">
        <v>7</v>
      </c>
    </row>
    <row r="230" spans="1:12">
      <c r="A230" s="12" t="s">
        <v>4689</v>
      </c>
      <c r="B230" s="12" t="s">
        <v>4255</v>
      </c>
      <c r="C230" s="12" t="s">
        <v>4699</v>
      </c>
      <c r="D230" s="12" t="s">
        <v>4255</v>
      </c>
      <c r="E230" s="12" t="s">
        <v>5491</v>
      </c>
      <c r="K230" s="12">
        <v>229</v>
      </c>
      <c r="L230" s="12">
        <v>8</v>
      </c>
    </row>
    <row r="231" spans="1:12">
      <c r="A231" s="12" t="s">
        <v>4690</v>
      </c>
      <c r="B231" s="12" t="s">
        <v>4255</v>
      </c>
      <c r="C231" s="12" t="s">
        <v>4601</v>
      </c>
      <c r="D231" s="12" t="s">
        <v>4255</v>
      </c>
      <c r="E231" s="12" t="s">
        <v>4244</v>
      </c>
      <c r="K231" s="12">
        <v>230</v>
      </c>
      <c r="L231" s="12">
        <v>9</v>
      </c>
    </row>
    <row r="232" spans="1:12">
      <c r="A232" s="12" t="s">
        <v>4691</v>
      </c>
      <c r="B232" s="12" t="s">
        <v>4255</v>
      </c>
      <c r="C232" s="12" t="s">
        <v>4700</v>
      </c>
      <c r="D232" s="12" t="s">
        <v>4255</v>
      </c>
      <c r="E232" s="12" t="s">
        <v>4266</v>
      </c>
      <c r="K232" s="12">
        <v>231</v>
      </c>
      <c r="L232" s="12">
        <v>10</v>
      </c>
    </row>
    <row r="233" spans="1:12">
      <c r="A233" s="12" t="s">
        <v>4692</v>
      </c>
      <c r="B233" s="12" t="s">
        <v>4255</v>
      </c>
      <c r="C233" s="12" t="s">
        <v>4701</v>
      </c>
      <c r="D233" s="12" t="s">
        <v>4255</v>
      </c>
      <c r="E233" s="12" t="s">
        <v>4245</v>
      </c>
      <c r="K233" s="12">
        <v>232</v>
      </c>
      <c r="L233" s="12">
        <v>11</v>
      </c>
    </row>
    <row r="234" spans="1:12">
      <c r="A234" s="12" t="s">
        <v>4693</v>
      </c>
      <c r="B234" s="12" t="s">
        <v>4255</v>
      </c>
      <c r="C234" s="12" t="s">
        <v>4702</v>
      </c>
      <c r="D234" s="12" t="s">
        <v>4255</v>
      </c>
      <c r="E234" s="12" t="s">
        <v>4248</v>
      </c>
      <c r="K234" s="12">
        <v>233</v>
      </c>
      <c r="L234" s="12">
        <v>12</v>
      </c>
    </row>
    <row r="235" spans="1:12">
      <c r="A235" s="12" t="s">
        <v>4694</v>
      </c>
      <c r="B235" s="12" t="s">
        <v>4255</v>
      </c>
      <c r="C235" s="12" t="s">
        <v>4264</v>
      </c>
      <c r="D235" s="12" t="s">
        <v>4255</v>
      </c>
      <c r="E235" s="12" t="s">
        <v>5176</v>
      </c>
      <c r="K235" s="12">
        <v>234</v>
      </c>
      <c r="L235" s="12">
        <v>13</v>
      </c>
    </row>
    <row r="236" spans="1:12">
      <c r="A236" s="12" t="s">
        <v>4695</v>
      </c>
      <c r="B236" s="12" t="s">
        <v>4255</v>
      </c>
      <c r="C236" s="12" t="s">
        <v>4265</v>
      </c>
      <c r="D236" s="12" t="s">
        <v>4255</v>
      </c>
      <c r="E236" s="12" t="s">
        <v>5177</v>
      </c>
      <c r="K236" s="12">
        <v>235</v>
      </c>
      <c r="L236" s="12">
        <v>14</v>
      </c>
    </row>
    <row r="237" spans="1:12">
      <c r="A237" s="12" t="s">
        <v>4696</v>
      </c>
      <c r="B237" s="12" t="s">
        <v>4255</v>
      </c>
      <c r="C237" s="12" t="s">
        <v>4244</v>
      </c>
      <c r="D237" s="12" t="s">
        <v>4255</v>
      </c>
      <c r="E237" s="12" t="s">
        <v>4796</v>
      </c>
      <c r="K237" s="12">
        <v>236</v>
      </c>
      <c r="L237" s="12">
        <v>15</v>
      </c>
    </row>
    <row r="238" spans="1:12">
      <c r="A238" s="12" t="s">
        <v>4697</v>
      </c>
      <c r="B238" s="12" t="s">
        <v>4255</v>
      </c>
      <c r="C238" s="12" t="s">
        <v>4266</v>
      </c>
      <c r="D238" s="12" t="s">
        <v>4255</v>
      </c>
      <c r="E238" s="12" t="s">
        <v>4797</v>
      </c>
      <c r="K238" s="12">
        <v>237</v>
      </c>
      <c r="L238" s="12">
        <v>16</v>
      </c>
    </row>
    <row r="239" spans="1:12">
      <c r="A239" s="12" t="s">
        <v>4698</v>
      </c>
      <c r="B239" s="12" t="s">
        <v>4255</v>
      </c>
      <c r="C239" s="12" t="s">
        <v>4245</v>
      </c>
      <c r="D239" s="12" t="s">
        <v>4255</v>
      </c>
      <c r="E239" s="12" t="s">
        <v>4798</v>
      </c>
      <c r="K239" s="12">
        <v>238</v>
      </c>
      <c r="L239" s="12">
        <v>17</v>
      </c>
    </row>
    <row r="240" spans="1:12">
      <c r="A240" s="12" t="s">
        <v>4688</v>
      </c>
      <c r="B240" s="12" t="s">
        <v>4255</v>
      </c>
      <c r="C240" s="12" t="s">
        <v>4280</v>
      </c>
      <c r="D240" s="12" t="s">
        <v>4255</v>
      </c>
      <c r="E240" s="12" t="s">
        <v>4800</v>
      </c>
      <c r="K240" s="12">
        <v>239</v>
      </c>
      <c r="L240" s="12">
        <v>18</v>
      </c>
    </row>
    <row r="241" spans="1:12">
      <c r="A241" s="12" t="s">
        <v>4684</v>
      </c>
      <c r="B241" s="12" t="s">
        <v>4255</v>
      </c>
      <c r="C241" s="12" t="s">
        <v>4281</v>
      </c>
      <c r="D241" s="12" t="s">
        <v>4255</v>
      </c>
      <c r="E241" s="12" t="s">
        <v>4801</v>
      </c>
      <c r="K241" s="12">
        <v>240</v>
      </c>
      <c r="L241" s="12">
        <v>19</v>
      </c>
    </row>
    <row r="242" spans="1:12">
      <c r="A242" s="12" t="s">
        <v>4685</v>
      </c>
      <c r="B242" s="12" t="s">
        <v>4255</v>
      </c>
      <c r="C242" s="12" t="s">
        <v>4282</v>
      </c>
      <c r="D242" s="12" t="s">
        <v>4255</v>
      </c>
      <c r="E242" s="12" t="s">
        <v>4802</v>
      </c>
      <c r="K242" s="12">
        <v>241</v>
      </c>
      <c r="L242" s="12">
        <v>20</v>
      </c>
    </row>
    <row r="243" spans="1:12">
      <c r="A243" s="12" t="s">
        <v>4686</v>
      </c>
      <c r="B243" s="12" t="s">
        <v>4255</v>
      </c>
      <c r="C243" s="12" t="s">
        <v>4283</v>
      </c>
      <c r="D243" s="12" t="s">
        <v>4255</v>
      </c>
      <c r="E243" s="12" t="s">
        <v>4803</v>
      </c>
      <c r="K243" s="12">
        <v>242</v>
      </c>
      <c r="L243" s="12">
        <v>21</v>
      </c>
    </row>
    <row r="244" spans="1:12">
      <c r="A244" s="12" t="s">
        <v>4687</v>
      </c>
      <c r="B244" s="12" t="s">
        <v>4255</v>
      </c>
      <c r="C244" s="12" t="s">
        <v>4284</v>
      </c>
      <c r="D244" s="12" t="s">
        <v>4255</v>
      </c>
      <c r="E244" s="12" t="s">
        <v>4804</v>
      </c>
      <c r="K244" s="12">
        <v>243</v>
      </c>
      <c r="L244" s="12">
        <v>22</v>
      </c>
    </row>
    <row r="245" spans="1:12">
      <c r="A245" s="12" t="s">
        <v>4703</v>
      </c>
      <c r="B245" s="12" t="s">
        <v>4255</v>
      </c>
      <c r="C245" s="12" t="s">
        <v>4710</v>
      </c>
      <c r="D245" s="12" t="s">
        <v>4255</v>
      </c>
      <c r="E245" s="12" t="s">
        <v>5178</v>
      </c>
      <c r="K245" s="12">
        <v>244</v>
      </c>
      <c r="L245" s="12">
        <v>23</v>
      </c>
    </row>
    <row r="246" spans="1:12">
      <c r="A246" s="12" t="s">
        <v>4704</v>
      </c>
      <c r="B246" s="12" t="s">
        <v>4255</v>
      </c>
      <c r="C246" s="12" t="s">
        <v>4331</v>
      </c>
      <c r="D246" s="12" t="s">
        <v>4255</v>
      </c>
      <c r="E246" s="12" t="s">
        <v>5179</v>
      </c>
      <c r="K246" s="12">
        <v>245</v>
      </c>
      <c r="L246" s="12">
        <v>24</v>
      </c>
    </row>
    <row r="247" spans="1:12">
      <c r="A247" s="12" t="s">
        <v>4705</v>
      </c>
      <c r="B247" s="12" t="s">
        <v>4255</v>
      </c>
      <c r="C247" s="12" t="s">
        <v>4332</v>
      </c>
      <c r="D247" s="12" t="s">
        <v>4255</v>
      </c>
      <c r="E247" s="12" t="s">
        <v>5180</v>
      </c>
      <c r="K247" s="12">
        <v>246</v>
      </c>
      <c r="L247" s="12">
        <v>25</v>
      </c>
    </row>
    <row r="248" spans="1:12">
      <c r="A248" s="12" t="s">
        <v>4706</v>
      </c>
      <c r="B248" s="12" t="s">
        <v>4255</v>
      </c>
      <c r="C248" s="12" t="s">
        <v>4333</v>
      </c>
      <c r="D248" s="12" t="s">
        <v>4255</v>
      </c>
      <c r="E248" s="12" t="s">
        <v>5181</v>
      </c>
      <c r="K248" s="12">
        <v>247</v>
      </c>
      <c r="L248" s="12">
        <v>26</v>
      </c>
    </row>
    <row r="249" spans="1:12">
      <c r="A249" s="12" t="s">
        <v>4707</v>
      </c>
      <c r="B249" s="12" t="s">
        <v>4255</v>
      </c>
      <c r="C249" s="12" t="s">
        <v>4334</v>
      </c>
      <c r="D249" s="12" t="s">
        <v>4255</v>
      </c>
      <c r="E249" s="12" t="s">
        <v>5182</v>
      </c>
      <c r="K249" s="12">
        <v>248</v>
      </c>
      <c r="L249" s="12">
        <v>27</v>
      </c>
    </row>
    <row r="250" spans="1:12">
      <c r="A250" s="12" t="s">
        <v>4708</v>
      </c>
      <c r="B250" s="12" t="s">
        <v>4255</v>
      </c>
      <c r="C250" s="12" t="s">
        <v>4335</v>
      </c>
      <c r="D250" s="12" t="s">
        <v>4255</v>
      </c>
      <c r="E250" s="12" t="s">
        <v>5183</v>
      </c>
      <c r="K250" s="12">
        <v>249</v>
      </c>
      <c r="L250" s="12">
        <v>28</v>
      </c>
    </row>
    <row r="251" spans="1:12">
      <c r="A251" s="12" t="s">
        <v>4709</v>
      </c>
      <c r="B251" s="12" t="s">
        <v>4255</v>
      </c>
      <c r="C251" s="12" t="s">
        <v>4711</v>
      </c>
      <c r="D251" s="12" t="s">
        <v>4255</v>
      </c>
      <c r="E251" s="12" t="s">
        <v>5184</v>
      </c>
      <c r="K251" s="12">
        <v>250</v>
      </c>
      <c r="L251" s="12">
        <v>29</v>
      </c>
    </row>
    <row r="252" spans="1:12">
      <c r="A252" s="12" t="s">
        <v>4662</v>
      </c>
      <c r="B252" s="12" t="s">
        <v>4255</v>
      </c>
      <c r="C252" s="12" t="s">
        <v>4712</v>
      </c>
      <c r="D252" s="12" t="s">
        <v>4255</v>
      </c>
      <c r="E252" s="12" t="s">
        <v>5185</v>
      </c>
      <c r="K252" s="12">
        <v>251</v>
      </c>
      <c r="L252" s="12">
        <v>30</v>
      </c>
    </row>
    <row r="253" spans="1:12">
      <c r="A253" s="12" t="s">
        <v>4663</v>
      </c>
      <c r="B253" s="12" t="s">
        <v>4255</v>
      </c>
      <c r="C253" s="12" t="s">
        <v>4354</v>
      </c>
      <c r="D253" s="12" t="s">
        <v>4255</v>
      </c>
      <c r="E253" s="12" t="s">
        <v>5186</v>
      </c>
      <c r="K253" s="12">
        <v>252</v>
      </c>
      <c r="L253" s="12">
        <v>31</v>
      </c>
    </row>
    <row r="254" spans="1:12">
      <c r="A254" s="12" t="s">
        <v>4664</v>
      </c>
      <c r="B254" s="12" t="s">
        <v>4255</v>
      </c>
      <c r="C254" s="12" t="s">
        <v>4356</v>
      </c>
      <c r="D254" s="12" t="s">
        <v>4255</v>
      </c>
      <c r="E254" s="12" t="s">
        <v>5187</v>
      </c>
      <c r="K254" s="12">
        <v>253</v>
      </c>
      <c r="L254" s="12">
        <v>32</v>
      </c>
    </row>
    <row r="255" spans="1:12">
      <c r="A255" s="12" t="s">
        <v>4665</v>
      </c>
      <c r="B255" s="12" t="s">
        <v>4255</v>
      </c>
      <c r="C255" s="12" t="s">
        <v>4358</v>
      </c>
      <c r="D255" s="12" t="s">
        <v>4255</v>
      </c>
      <c r="E255" s="12" t="s">
        <v>5188</v>
      </c>
      <c r="K255" s="12">
        <v>254</v>
      </c>
      <c r="L255" s="12">
        <v>33</v>
      </c>
    </row>
    <row r="256" spans="1:12">
      <c r="A256" s="12" t="s">
        <v>4666</v>
      </c>
      <c r="B256" s="12" t="s">
        <v>4255</v>
      </c>
      <c r="C256" s="12" t="s">
        <v>4360</v>
      </c>
      <c r="D256" s="12" t="s">
        <v>4255</v>
      </c>
      <c r="E256" s="12" t="s">
        <v>4462</v>
      </c>
      <c r="K256" s="12">
        <v>255</v>
      </c>
      <c r="L256" s="12">
        <v>34</v>
      </c>
    </row>
    <row r="257" spans="1:12">
      <c r="A257" s="12" t="s">
        <v>4667</v>
      </c>
      <c r="B257" s="12" t="s">
        <v>4255</v>
      </c>
      <c r="C257" s="12" t="s">
        <v>4362</v>
      </c>
      <c r="D257" s="12" t="s">
        <v>4255</v>
      </c>
      <c r="E257" s="12" t="s">
        <v>4464</v>
      </c>
      <c r="K257" s="12">
        <v>256</v>
      </c>
      <c r="L257" s="12">
        <v>35</v>
      </c>
    </row>
    <row r="258" spans="1:12">
      <c r="A258" s="12" t="s">
        <v>4668</v>
      </c>
      <c r="B258" s="12" t="s">
        <v>4255</v>
      </c>
      <c r="C258" s="12" t="s">
        <v>4364</v>
      </c>
      <c r="D258" s="12" t="s">
        <v>4255</v>
      </c>
      <c r="E258" s="12" t="s">
        <v>4466</v>
      </c>
      <c r="K258" s="12">
        <v>257</v>
      </c>
      <c r="L258" s="12">
        <v>36</v>
      </c>
    </row>
    <row r="259" spans="1:12">
      <c r="A259" s="12" t="s">
        <v>4913</v>
      </c>
      <c r="B259" s="12" t="s">
        <v>4255</v>
      </c>
      <c r="C259" s="12" t="s">
        <v>4713</v>
      </c>
      <c r="D259" s="12" t="s">
        <v>4255</v>
      </c>
      <c r="E259" s="12" t="s">
        <v>5189</v>
      </c>
      <c r="K259" s="12">
        <v>258</v>
      </c>
      <c r="L259" s="12">
        <v>37</v>
      </c>
    </row>
    <row r="260" spans="1:12">
      <c r="A260" s="12" t="s">
        <v>4914</v>
      </c>
      <c r="B260" s="12" t="s">
        <v>4255</v>
      </c>
      <c r="C260" s="12" t="s">
        <v>4394</v>
      </c>
      <c r="D260" s="12" t="s">
        <v>4255</v>
      </c>
      <c r="E260" s="12" t="s">
        <v>5190</v>
      </c>
      <c r="K260" s="12">
        <v>259</v>
      </c>
      <c r="L260" s="12">
        <v>38</v>
      </c>
    </row>
    <row r="261" spans="1:12">
      <c r="A261" s="12" t="s">
        <v>4915</v>
      </c>
      <c r="B261" s="12" t="s">
        <v>4255</v>
      </c>
      <c r="C261" s="12" t="s">
        <v>4290</v>
      </c>
      <c r="D261" s="12" t="s">
        <v>4255</v>
      </c>
      <c r="E261" s="12" t="s">
        <v>5191</v>
      </c>
      <c r="K261" s="12">
        <v>260</v>
      </c>
      <c r="L261" s="12">
        <v>39</v>
      </c>
    </row>
    <row r="262" spans="1:12">
      <c r="A262" s="12" t="s">
        <v>4916</v>
      </c>
      <c r="B262" s="12" t="s">
        <v>4255</v>
      </c>
      <c r="C262" s="12" t="s">
        <v>4292</v>
      </c>
      <c r="D262" s="12" t="s">
        <v>4255</v>
      </c>
      <c r="E262" s="12" t="s">
        <v>5192</v>
      </c>
      <c r="K262" s="12">
        <v>261</v>
      </c>
      <c r="L262" s="12">
        <v>40</v>
      </c>
    </row>
    <row r="263" spans="1:12">
      <c r="A263" s="12" t="s">
        <v>4917</v>
      </c>
      <c r="B263" s="12" t="s">
        <v>4255</v>
      </c>
      <c r="C263" s="12" t="s">
        <v>4294</v>
      </c>
      <c r="D263" s="12" t="s">
        <v>4255</v>
      </c>
      <c r="E263" s="12" t="s">
        <v>5193</v>
      </c>
      <c r="K263" s="12">
        <v>262</v>
      </c>
      <c r="L263" s="12">
        <v>41</v>
      </c>
    </row>
    <row r="264" spans="1:12">
      <c r="A264" s="12" t="s">
        <v>4918</v>
      </c>
      <c r="B264" s="12" t="s">
        <v>4255</v>
      </c>
      <c r="C264" s="12" t="s">
        <v>4295</v>
      </c>
      <c r="D264" s="12" t="s">
        <v>4255</v>
      </c>
      <c r="E264" s="12" t="s">
        <v>5194</v>
      </c>
      <c r="K264" s="12">
        <v>263</v>
      </c>
      <c r="L264" s="12">
        <v>42</v>
      </c>
    </row>
    <row r="265" spans="1:12">
      <c r="A265" s="12" t="s">
        <v>4919</v>
      </c>
      <c r="B265" s="12" t="s">
        <v>4255</v>
      </c>
      <c r="C265" s="12" t="s">
        <v>4400</v>
      </c>
      <c r="D265" s="12" t="s">
        <v>4255</v>
      </c>
      <c r="E265" s="12" t="s">
        <v>5195</v>
      </c>
      <c r="K265" s="12">
        <v>264</v>
      </c>
      <c r="L265" s="12">
        <v>43</v>
      </c>
    </row>
    <row r="266" spans="1:12">
      <c r="A266" s="12" t="s">
        <v>4669</v>
      </c>
      <c r="B266" s="12" t="s">
        <v>4255</v>
      </c>
      <c r="C266" s="12" t="s">
        <v>4714</v>
      </c>
      <c r="D266" s="12" t="s">
        <v>4255</v>
      </c>
      <c r="E266" s="12" t="s">
        <v>5196</v>
      </c>
      <c r="K266" s="12">
        <v>265</v>
      </c>
      <c r="L266" s="12">
        <v>44</v>
      </c>
    </row>
    <row r="267" spans="1:12">
      <c r="A267" s="12" t="s">
        <v>4670</v>
      </c>
      <c r="B267" s="12" t="s">
        <v>4255</v>
      </c>
      <c r="C267" s="12" t="s">
        <v>4715</v>
      </c>
      <c r="D267" s="12" t="s">
        <v>4255</v>
      </c>
      <c r="E267" s="12" t="s">
        <v>5197</v>
      </c>
      <c r="K267" s="12">
        <v>266</v>
      </c>
      <c r="L267" s="12">
        <v>45</v>
      </c>
    </row>
    <row r="268" spans="1:12">
      <c r="A268" s="12" t="s">
        <v>4671</v>
      </c>
      <c r="B268" s="12" t="s">
        <v>4255</v>
      </c>
      <c r="C268" s="12" t="s">
        <v>4716</v>
      </c>
      <c r="D268" s="12" t="s">
        <v>4255</v>
      </c>
      <c r="E268" s="12" t="s">
        <v>5198</v>
      </c>
      <c r="K268" s="12">
        <v>267</v>
      </c>
      <c r="L268" s="12">
        <v>46</v>
      </c>
    </row>
    <row r="269" spans="1:12">
      <c r="A269" s="12" t="s">
        <v>5199</v>
      </c>
      <c r="B269" s="12" t="s">
        <v>4255</v>
      </c>
      <c r="C269" s="12" t="s">
        <v>4717</v>
      </c>
      <c r="D269" s="12" t="s">
        <v>4255</v>
      </c>
      <c r="E269" s="12" t="s">
        <v>5202</v>
      </c>
      <c r="K269" s="12">
        <v>268</v>
      </c>
      <c r="L269" s="12">
        <v>1</v>
      </c>
    </row>
    <row r="270" spans="1:12">
      <c r="A270" s="12" t="s">
        <v>5200</v>
      </c>
      <c r="B270" s="12" t="s">
        <v>4255</v>
      </c>
      <c r="C270" s="12" t="s">
        <v>4718</v>
      </c>
      <c r="D270" s="12" t="s">
        <v>4255</v>
      </c>
      <c r="E270" s="12" t="s">
        <v>5203</v>
      </c>
      <c r="K270" s="12">
        <v>269</v>
      </c>
      <c r="L270" s="12">
        <v>2</v>
      </c>
    </row>
    <row r="271" spans="1:12">
      <c r="A271" s="12" t="s">
        <v>5201</v>
      </c>
      <c r="B271" s="12" t="s">
        <v>4255</v>
      </c>
      <c r="C271" s="12" t="s">
        <v>4719</v>
      </c>
      <c r="D271" s="12" t="s">
        <v>4255</v>
      </c>
      <c r="E271" s="12" t="s">
        <v>5204</v>
      </c>
      <c r="K271" s="12">
        <v>270</v>
      </c>
      <c r="L271" s="12">
        <v>3</v>
      </c>
    </row>
    <row r="272" spans="1:12">
      <c r="A272" s="12" t="s">
        <v>5213</v>
      </c>
      <c r="B272" s="12" t="s">
        <v>4255</v>
      </c>
      <c r="C272" s="12" t="s">
        <v>5205</v>
      </c>
      <c r="D272" s="12" t="s">
        <v>4255</v>
      </c>
      <c r="E272" s="12" t="s">
        <v>5492</v>
      </c>
      <c r="K272" s="12">
        <v>271</v>
      </c>
      <c r="L272" s="12">
        <v>4</v>
      </c>
    </row>
    <row r="273" spans="1:12">
      <c r="A273" s="12" t="s">
        <v>5214</v>
      </c>
      <c r="B273" s="12" t="s">
        <v>4255</v>
      </c>
      <c r="C273" s="12" t="s">
        <v>5206</v>
      </c>
      <c r="D273" s="12" t="s">
        <v>4255</v>
      </c>
      <c r="E273" s="12" t="s">
        <v>5493</v>
      </c>
      <c r="K273" s="12">
        <v>272</v>
      </c>
      <c r="L273" s="12">
        <v>5</v>
      </c>
    </row>
    <row r="274" spans="1:12">
      <c r="A274" s="12" t="s">
        <v>5215</v>
      </c>
      <c r="B274" s="12" t="s">
        <v>4255</v>
      </c>
      <c r="C274" s="12" t="s">
        <v>4882</v>
      </c>
      <c r="D274" s="12" t="s">
        <v>4255</v>
      </c>
      <c r="E274" s="12" t="s">
        <v>5494</v>
      </c>
      <c r="K274" s="12">
        <v>273</v>
      </c>
      <c r="L274" s="12">
        <v>6</v>
      </c>
    </row>
    <row r="275" spans="1:12">
      <c r="A275" s="12" t="s">
        <v>5216</v>
      </c>
      <c r="B275" s="12" t="s">
        <v>4255</v>
      </c>
      <c r="C275" s="12" t="s">
        <v>4883</v>
      </c>
      <c r="D275" s="12" t="s">
        <v>4255</v>
      </c>
      <c r="E275" s="12" t="s">
        <v>5495</v>
      </c>
      <c r="K275" s="12">
        <v>274</v>
      </c>
      <c r="L275" s="12">
        <v>7</v>
      </c>
    </row>
    <row r="276" spans="1:12">
      <c r="A276" s="12" t="s">
        <v>5217</v>
      </c>
      <c r="B276" s="12" t="s">
        <v>4255</v>
      </c>
      <c r="C276" s="12" t="s">
        <v>5207</v>
      </c>
      <c r="D276" s="12" t="s">
        <v>4255</v>
      </c>
      <c r="E276" s="12" t="s">
        <v>5496</v>
      </c>
      <c r="K276" s="12">
        <v>275</v>
      </c>
      <c r="L276" s="12">
        <v>8</v>
      </c>
    </row>
    <row r="277" spans="1:12">
      <c r="A277" s="12" t="s">
        <v>5218</v>
      </c>
      <c r="B277" s="12" t="s">
        <v>4255</v>
      </c>
      <c r="C277" s="12" t="s">
        <v>5208</v>
      </c>
      <c r="D277" s="12" t="s">
        <v>4255</v>
      </c>
      <c r="E277" s="12" t="s">
        <v>5497</v>
      </c>
      <c r="K277" s="12">
        <v>276</v>
      </c>
      <c r="L277" s="12">
        <v>9</v>
      </c>
    </row>
    <row r="278" spans="1:12">
      <c r="A278" s="12" t="s">
        <v>5219</v>
      </c>
      <c r="B278" s="12" t="s">
        <v>4255</v>
      </c>
      <c r="C278" s="12" t="s">
        <v>5209</v>
      </c>
      <c r="D278" s="12" t="s">
        <v>4255</v>
      </c>
      <c r="E278" s="12" t="s">
        <v>5498</v>
      </c>
      <c r="K278" s="12">
        <v>277</v>
      </c>
      <c r="L278" s="12">
        <v>10</v>
      </c>
    </row>
    <row r="279" spans="1:12">
      <c r="A279" s="12" t="s">
        <v>5220</v>
      </c>
      <c r="B279" s="12" t="s">
        <v>4255</v>
      </c>
      <c r="C279" s="12" t="s">
        <v>5210</v>
      </c>
      <c r="D279" s="12" t="s">
        <v>4255</v>
      </c>
      <c r="E279" s="12" t="s">
        <v>5499</v>
      </c>
      <c r="K279" s="12">
        <v>278</v>
      </c>
      <c r="L279" s="12">
        <v>11</v>
      </c>
    </row>
    <row r="280" spans="1:12">
      <c r="A280" s="12" t="s">
        <v>5221</v>
      </c>
      <c r="B280" s="12" t="s">
        <v>4255</v>
      </c>
      <c r="C280" s="12" t="s">
        <v>5211</v>
      </c>
      <c r="D280" s="12" t="s">
        <v>4255</v>
      </c>
      <c r="E280" s="12" t="s">
        <v>5500</v>
      </c>
      <c r="K280" s="12">
        <v>279</v>
      </c>
      <c r="L280" s="12">
        <v>12</v>
      </c>
    </row>
    <row r="281" spans="1:12">
      <c r="A281" s="12" t="s">
        <v>5222</v>
      </c>
      <c r="B281" s="12" t="s">
        <v>4255</v>
      </c>
      <c r="C281" s="12" t="s">
        <v>5212</v>
      </c>
      <c r="D281" s="12" t="s">
        <v>4255</v>
      </c>
      <c r="E281" s="12" t="s">
        <v>5501</v>
      </c>
      <c r="K281" s="12">
        <v>280</v>
      </c>
      <c r="L281" s="12">
        <v>13</v>
      </c>
    </row>
    <row r="282" spans="1:12">
      <c r="A282" s="12" t="s">
        <v>5223</v>
      </c>
      <c r="B282" s="12" t="s">
        <v>4255</v>
      </c>
      <c r="C282" s="12" t="s">
        <v>4720</v>
      </c>
      <c r="D282" s="12" t="s">
        <v>4255</v>
      </c>
      <c r="E282" s="12" t="s">
        <v>5232</v>
      </c>
      <c r="K282" s="12">
        <v>281</v>
      </c>
      <c r="L282" s="12">
        <v>14</v>
      </c>
    </row>
    <row r="283" spans="1:12">
      <c r="A283" s="12" t="s">
        <v>5224</v>
      </c>
      <c r="B283" s="12" t="s">
        <v>4255</v>
      </c>
      <c r="C283" s="12" t="s">
        <v>5229</v>
      </c>
      <c r="D283" s="12" t="s">
        <v>4255</v>
      </c>
      <c r="E283" s="12" t="s">
        <v>5233</v>
      </c>
      <c r="K283" s="12">
        <v>282</v>
      </c>
      <c r="L283" s="12">
        <v>15</v>
      </c>
    </row>
    <row r="284" spans="1:12">
      <c r="A284" s="12" t="s">
        <v>5225</v>
      </c>
      <c r="B284" s="12" t="s">
        <v>4255</v>
      </c>
      <c r="C284" s="12" t="s">
        <v>5230</v>
      </c>
      <c r="D284" s="12" t="s">
        <v>4255</v>
      </c>
      <c r="E284" s="12" t="s">
        <v>5234</v>
      </c>
      <c r="K284" s="12">
        <v>283</v>
      </c>
      <c r="L284" s="12">
        <v>16</v>
      </c>
    </row>
    <row r="285" spans="1:12">
      <c r="A285" s="12" t="s">
        <v>5226</v>
      </c>
      <c r="B285" s="12" t="s">
        <v>4255</v>
      </c>
      <c r="C285" s="12" t="s">
        <v>4721</v>
      </c>
      <c r="D285" s="12" t="s">
        <v>4255</v>
      </c>
      <c r="E285" s="12" t="s">
        <v>5235</v>
      </c>
      <c r="K285" s="12">
        <v>284</v>
      </c>
      <c r="L285" s="12">
        <v>17</v>
      </c>
    </row>
    <row r="286" spans="1:12">
      <c r="A286" s="12" t="s">
        <v>5227</v>
      </c>
      <c r="B286" s="12" t="s">
        <v>4255</v>
      </c>
      <c r="C286" s="12" t="s">
        <v>5231</v>
      </c>
      <c r="D286" s="12" t="s">
        <v>4255</v>
      </c>
      <c r="E286" s="12" t="s">
        <v>5236</v>
      </c>
      <c r="K286" s="12">
        <v>285</v>
      </c>
      <c r="L286" s="12">
        <v>18</v>
      </c>
    </row>
    <row r="287" spans="1:12">
      <c r="A287" s="12" t="s">
        <v>5228</v>
      </c>
      <c r="B287" s="12" t="s">
        <v>4255</v>
      </c>
      <c r="C287" s="12" t="s">
        <v>4722</v>
      </c>
      <c r="D287" s="12" t="s">
        <v>4255</v>
      </c>
      <c r="E287" s="12" t="s">
        <v>5237</v>
      </c>
      <c r="K287" s="12">
        <v>286</v>
      </c>
      <c r="L287" s="12">
        <v>19</v>
      </c>
    </row>
    <row r="288" spans="1:12">
      <c r="A288" s="12" t="s">
        <v>5238</v>
      </c>
      <c r="B288" s="12" t="s">
        <v>4723</v>
      </c>
      <c r="C288" s="12" t="s">
        <v>4724</v>
      </c>
      <c r="D288" s="12" t="s">
        <v>4723</v>
      </c>
      <c r="E288" s="12" t="s">
        <v>4724</v>
      </c>
      <c r="K288" s="12">
        <v>287</v>
      </c>
      <c r="L288" s="12">
        <v>1</v>
      </c>
    </row>
    <row r="289" spans="1:12">
      <c r="A289" s="12" t="s">
        <v>5239</v>
      </c>
      <c r="B289" s="12" t="s">
        <v>4723</v>
      </c>
      <c r="C289" s="12" t="s">
        <v>4563</v>
      </c>
      <c r="D289" s="12" t="s">
        <v>4723</v>
      </c>
      <c r="E289" s="12" t="s">
        <v>4563</v>
      </c>
      <c r="K289" s="12">
        <v>288</v>
      </c>
      <c r="L289" s="12">
        <v>2</v>
      </c>
    </row>
    <row r="290" spans="1:12">
      <c r="A290" s="12" t="s">
        <v>5240</v>
      </c>
      <c r="B290" s="12" t="s">
        <v>4723</v>
      </c>
      <c r="C290" s="12" t="s">
        <v>4565</v>
      </c>
      <c r="D290" s="12" t="s">
        <v>4723</v>
      </c>
      <c r="E290" s="12" t="s">
        <v>4565</v>
      </c>
      <c r="K290" s="12">
        <v>289</v>
      </c>
      <c r="L290" s="12">
        <v>3</v>
      </c>
    </row>
    <row r="291" spans="1:12">
      <c r="A291" s="12" t="s">
        <v>5241</v>
      </c>
      <c r="B291" s="12" t="s">
        <v>4723</v>
      </c>
      <c r="C291" s="12" t="s">
        <v>4567</v>
      </c>
      <c r="D291" s="12" t="s">
        <v>4723</v>
      </c>
      <c r="E291" s="12" t="s">
        <v>4567</v>
      </c>
      <c r="K291" s="12">
        <v>290</v>
      </c>
      <c r="L291" s="12">
        <v>4</v>
      </c>
    </row>
    <row r="292" spans="1:12">
      <c r="A292" s="12" t="s">
        <v>5242</v>
      </c>
      <c r="B292" s="12" t="s">
        <v>4723</v>
      </c>
      <c r="C292" s="12" t="s">
        <v>4569</v>
      </c>
      <c r="D292" s="12" t="s">
        <v>4723</v>
      </c>
      <c r="E292" s="12" t="s">
        <v>4569</v>
      </c>
      <c r="K292" s="12">
        <v>291</v>
      </c>
      <c r="L292" s="12">
        <v>5</v>
      </c>
    </row>
    <row r="293" spans="1:12">
      <c r="A293" s="12" t="s">
        <v>5243</v>
      </c>
      <c r="B293" s="12" t="s">
        <v>4723</v>
      </c>
      <c r="C293" s="12" t="s">
        <v>4571</v>
      </c>
      <c r="D293" s="12" t="s">
        <v>4723</v>
      </c>
      <c r="E293" s="12" t="s">
        <v>4571</v>
      </c>
      <c r="K293" s="12">
        <v>292</v>
      </c>
      <c r="L293" s="12">
        <v>6</v>
      </c>
    </row>
    <row r="294" spans="1:12">
      <c r="A294" s="12" t="s">
        <v>5244</v>
      </c>
      <c r="B294" s="12" t="s">
        <v>4723</v>
      </c>
      <c r="C294" s="12" t="s">
        <v>4573</v>
      </c>
      <c r="D294" s="12" t="s">
        <v>4723</v>
      </c>
      <c r="E294" s="12" t="s">
        <v>4573</v>
      </c>
      <c r="K294" s="12">
        <v>293</v>
      </c>
      <c r="L294" s="12">
        <v>7</v>
      </c>
    </row>
    <row r="295" spans="1:12">
      <c r="A295" s="12" t="s">
        <v>5245</v>
      </c>
      <c r="B295" s="12" t="s">
        <v>4723</v>
      </c>
      <c r="C295" s="12" t="s">
        <v>4579</v>
      </c>
      <c r="D295" s="12" t="s">
        <v>4723</v>
      </c>
      <c r="E295" s="12" t="s">
        <v>4579</v>
      </c>
      <c r="K295" s="12">
        <v>294</v>
      </c>
      <c r="L295" s="12">
        <v>8</v>
      </c>
    </row>
    <row r="296" spans="1:12">
      <c r="A296" s="12" t="s">
        <v>5246</v>
      </c>
      <c r="B296" s="12" t="s">
        <v>4723</v>
      </c>
      <c r="C296" s="12" t="s">
        <v>4581</v>
      </c>
      <c r="D296" s="12" t="s">
        <v>4723</v>
      </c>
      <c r="E296" s="12" t="s">
        <v>4581</v>
      </c>
      <c r="K296" s="12">
        <v>295</v>
      </c>
      <c r="L296" s="12">
        <v>9</v>
      </c>
    </row>
    <row r="297" spans="1:12">
      <c r="A297" s="12" t="s">
        <v>5247</v>
      </c>
      <c r="B297" s="12" t="s">
        <v>4723</v>
      </c>
      <c r="C297" s="12" t="s">
        <v>4781</v>
      </c>
      <c r="D297" s="12" t="s">
        <v>4723</v>
      </c>
      <c r="E297" s="12" t="s">
        <v>4781</v>
      </c>
      <c r="K297" s="12">
        <v>296</v>
      </c>
      <c r="L297" s="12">
        <v>10</v>
      </c>
    </row>
    <row r="298" spans="1:12">
      <c r="A298" s="12" t="s">
        <v>5248</v>
      </c>
      <c r="B298" s="12" t="s">
        <v>4723</v>
      </c>
      <c r="C298" s="12" t="s">
        <v>4782</v>
      </c>
      <c r="D298" s="12" t="s">
        <v>4723</v>
      </c>
      <c r="E298" s="12" t="s">
        <v>4782</v>
      </c>
      <c r="K298" s="12">
        <v>297</v>
      </c>
      <c r="L298" s="12">
        <v>11</v>
      </c>
    </row>
    <row r="299" spans="1:12">
      <c r="A299" s="12" t="s">
        <v>5249</v>
      </c>
      <c r="B299" s="12" t="s">
        <v>4723</v>
      </c>
      <c r="C299" s="12" t="s">
        <v>4783</v>
      </c>
      <c r="D299" s="12" t="s">
        <v>4723</v>
      </c>
      <c r="E299" s="12" t="s">
        <v>4783</v>
      </c>
      <c r="K299" s="12">
        <v>298</v>
      </c>
      <c r="L299" s="12">
        <v>12</v>
      </c>
    </row>
    <row r="300" spans="1:12">
      <c r="A300" s="12" t="s">
        <v>5250</v>
      </c>
      <c r="B300" s="12" t="s">
        <v>4723</v>
      </c>
      <c r="C300" s="12" t="s">
        <v>4623</v>
      </c>
      <c r="D300" s="12" t="s">
        <v>4723</v>
      </c>
      <c r="E300" s="12" t="s">
        <v>4623</v>
      </c>
      <c r="K300" s="12">
        <v>299</v>
      </c>
      <c r="L300" s="12">
        <v>13</v>
      </c>
    </row>
    <row r="301" spans="1:12">
      <c r="A301" s="12" t="s">
        <v>5251</v>
      </c>
      <c r="B301" s="12" t="s">
        <v>4723</v>
      </c>
      <c r="C301" s="12" t="s">
        <v>4625</v>
      </c>
      <c r="D301" s="12" t="s">
        <v>4723</v>
      </c>
      <c r="E301" s="12" t="s">
        <v>4625</v>
      </c>
      <c r="K301" s="12">
        <v>300</v>
      </c>
      <c r="L301" s="12">
        <v>14</v>
      </c>
    </row>
    <row r="302" spans="1:12">
      <c r="A302" s="12" t="s">
        <v>5252</v>
      </c>
      <c r="B302" s="12" t="s">
        <v>4723</v>
      </c>
      <c r="C302" s="12" t="s">
        <v>4627</v>
      </c>
      <c r="D302" s="12" t="s">
        <v>4723</v>
      </c>
      <c r="E302" s="12" t="s">
        <v>4627</v>
      </c>
      <c r="K302" s="12">
        <v>301</v>
      </c>
      <c r="L302" s="12">
        <v>15</v>
      </c>
    </row>
    <row r="303" spans="1:12">
      <c r="A303" s="12" t="s">
        <v>5253</v>
      </c>
      <c r="B303" s="12" t="s">
        <v>4723</v>
      </c>
      <c r="C303" s="12" t="s">
        <v>4629</v>
      </c>
      <c r="D303" s="12" t="s">
        <v>4723</v>
      </c>
      <c r="E303" s="12" t="s">
        <v>4629</v>
      </c>
      <c r="K303" s="12">
        <v>302</v>
      </c>
      <c r="L303" s="12">
        <v>16</v>
      </c>
    </row>
    <row r="304" spans="1:12">
      <c r="A304" s="12" t="s">
        <v>5254</v>
      </c>
      <c r="B304" s="12" t="s">
        <v>4723</v>
      </c>
      <c r="C304" s="12" t="s">
        <v>4631</v>
      </c>
      <c r="D304" s="12" t="s">
        <v>4723</v>
      </c>
      <c r="E304" s="12" t="s">
        <v>4631</v>
      </c>
      <c r="K304" s="12">
        <v>303</v>
      </c>
      <c r="L304" s="12">
        <v>17</v>
      </c>
    </row>
    <row r="305" spans="1:12">
      <c r="A305" s="12" t="s">
        <v>5255</v>
      </c>
      <c r="B305" s="12" t="s">
        <v>4723</v>
      </c>
      <c r="C305" s="12" t="s">
        <v>4725</v>
      </c>
      <c r="D305" s="12" t="s">
        <v>4723</v>
      </c>
      <c r="E305" s="12" t="s">
        <v>4725</v>
      </c>
      <c r="K305" s="12">
        <v>304</v>
      </c>
      <c r="L305" s="12">
        <v>18</v>
      </c>
    </row>
    <row r="306" spans="1:12">
      <c r="A306" s="12" t="s">
        <v>5256</v>
      </c>
      <c r="B306" s="12" t="s">
        <v>4723</v>
      </c>
      <c r="C306" s="12" t="s">
        <v>4583</v>
      </c>
      <c r="D306" s="12" t="s">
        <v>4723</v>
      </c>
      <c r="E306" s="12" t="s">
        <v>4583</v>
      </c>
      <c r="K306" s="12">
        <v>305</v>
      </c>
      <c r="L306" s="12">
        <v>19</v>
      </c>
    </row>
    <row r="307" spans="1:12">
      <c r="A307" s="12" t="s">
        <v>5257</v>
      </c>
      <c r="B307" s="12" t="s">
        <v>4723</v>
      </c>
      <c r="C307" s="12" t="s">
        <v>4585</v>
      </c>
      <c r="D307" s="12" t="s">
        <v>4723</v>
      </c>
      <c r="E307" s="12" t="s">
        <v>4585</v>
      </c>
      <c r="K307" s="12">
        <v>306</v>
      </c>
      <c r="L307" s="12">
        <v>20</v>
      </c>
    </row>
    <row r="308" spans="1:12">
      <c r="A308" s="12" t="s">
        <v>5258</v>
      </c>
      <c r="B308" s="12" t="s">
        <v>4723</v>
      </c>
      <c r="C308" s="12" t="s">
        <v>4587</v>
      </c>
      <c r="D308" s="12" t="s">
        <v>4723</v>
      </c>
      <c r="E308" s="12" t="s">
        <v>4587</v>
      </c>
      <c r="K308" s="12">
        <v>307</v>
      </c>
      <c r="L308" s="12">
        <v>21</v>
      </c>
    </row>
    <row r="309" spans="1:12">
      <c r="A309" s="12" t="s">
        <v>5259</v>
      </c>
      <c r="B309" s="12" t="s">
        <v>4723</v>
      </c>
      <c r="C309" s="12" t="s">
        <v>4589</v>
      </c>
      <c r="D309" s="12" t="s">
        <v>4723</v>
      </c>
      <c r="E309" s="12" t="s">
        <v>4589</v>
      </c>
      <c r="K309" s="12">
        <v>308</v>
      </c>
      <c r="L309" s="12">
        <v>22</v>
      </c>
    </row>
    <row r="310" spans="1:12">
      <c r="A310" s="12" t="s">
        <v>5260</v>
      </c>
      <c r="B310" s="12" t="s">
        <v>4723</v>
      </c>
      <c r="C310" s="12" t="s">
        <v>4591</v>
      </c>
      <c r="D310" s="12" t="s">
        <v>4723</v>
      </c>
      <c r="E310" s="12" t="s">
        <v>4591</v>
      </c>
      <c r="K310" s="12">
        <v>309</v>
      </c>
      <c r="L310" s="12">
        <v>23</v>
      </c>
    </row>
    <row r="311" spans="1:12">
      <c r="A311" s="12" t="s">
        <v>5261</v>
      </c>
      <c r="B311" s="12" t="s">
        <v>4723</v>
      </c>
      <c r="C311" s="12" t="s">
        <v>4593</v>
      </c>
      <c r="D311" s="12" t="s">
        <v>4723</v>
      </c>
      <c r="E311" s="12" t="s">
        <v>4593</v>
      </c>
      <c r="K311" s="12">
        <v>310</v>
      </c>
      <c r="L311" s="12">
        <v>24</v>
      </c>
    </row>
    <row r="312" spans="1:12">
      <c r="A312" s="12" t="s">
        <v>5262</v>
      </c>
      <c r="B312" s="12" t="s">
        <v>4723</v>
      </c>
      <c r="C312" s="12" t="s">
        <v>4599</v>
      </c>
      <c r="D312" s="12" t="s">
        <v>4723</v>
      </c>
      <c r="E312" s="12" t="s">
        <v>4599</v>
      </c>
      <c r="K312" s="12">
        <v>311</v>
      </c>
      <c r="L312" s="12">
        <v>25</v>
      </c>
    </row>
    <row r="313" spans="1:12">
      <c r="A313" s="12" t="s">
        <v>5263</v>
      </c>
      <c r="B313" s="12" t="s">
        <v>4723</v>
      </c>
      <c r="C313" s="12" t="s">
        <v>4601</v>
      </c>
      <c r="D313" s="12" t="s">
        <v>4723</v>
      </c>
      <c r="E313" s="12" t="s">
        <v>4601</v>
      </c>
      <c r="K313" s="12">
        <v>312</v>
      </c>
      <c r="L313" s="12">
        <v>26</v>
      </c>
    </row>
    <row r="314" spans="1:12">
      <c r="A314" s="12" t="s">
        <v>5264</v>
      </c>
      <c r="B314" s="12" t="s">
        <v>4723</v>
      </c>
      <c r="C314" s="12" t="s">
        <v>4700</v>
      </c>
      <c r="D314" s="12" t="s">
        <v>4723</v>
      </c>
      <c r="E314" s="12" t="s">
        <v>4700</v>
      </c>
      <c r="K314" s="12">
        <v>313</v>
      </c>
      <c r="L314" s="12">
        <v>27</v>
      </c>
    </row>
    <row r="315" spans="1:12">
      <c r="A315" s="12" t="s">
        <v>5265</v>
      </c>
      <c r="B315" s="12" t="s">
        <v>4723</v>
      </c>
      <c r="C315" s="12" t="s">
        <v>4701</v>
      </c>
      <c r="D315" s="12" t="s">
        <v>4723</v>
      </c>
      <c r="E315" s="12" t="s">
        <v>4701</v>
      </c>
      <c r="K315" s="12">
        <v>314</v>
      </c>
      <c r="L315" s="12">
        <v>28</v>
      </c>
    </row>
    <row r="316" spans="1:12">
      <c r="A316" s="12" t="s">
        <v>5266</v>
      </c>
      <c r="B316" s="12" t="s">
        <v>4723</v>
      </c>
      <c r="C316" s="12" t="s">
        <v>4702</v>
      </c>
      <c r="D316" s="12" t="s">
        <v>4723</v>
      </c>
      <c r="E316" s="12" t="s">
        <v>4702</v>
      </c>
      <c r="K316" s="12">
        <v>315</v>
      </c>
      <c r="L316" s="12">
        <v>29</v>
      </c>
    </row>
    <row r="317" spans="1:12">
      <c r="A317" s="12" t="s">
        <v>5267</v>
      </c>
      <c r="B317" s="12" t="s">
        <v>4723</v>
      </c>
      <c r="C317" s="12" t="s">
        <v>4643</v>
      </c>
      <c r="D317" s="12" t="s">
        <v>4723</v>
      </c>
      <c r="E317" s="12" t="s">
        <v>4643</v>
      </c>
      <c r="K317" s="12">
        <v>316</v>
      </c>
      <c r="L317" s="12">
        <v>30</v>
      </c>
    </row>
    <row r="318" spans="1:12">
      <c r="A318" s="12" t="s">
        <v>5268</v>
      </c>
      <c r="B318" s="12" t="s">
        <v>4723</v>
      </c>
      <c r="C318" s="12" t="s">
        <v>4645</v>
      </c>
      <c r="D318" s="12" t="s">
        <v>4723</v>
      </c>
      <c r="E318" s="12" t="s">
        <v>4645</v>
      </c>
      <c r="K318" s="12">
        <v>317</v>
      </c>
      <c r="L318" s="12">
        <v>31</v>
      </c>
    </row>
    <row r="319" spans="1:12">
      <c r="A319" s="12" t="s">
        <v>5269</v>
      </c>
      <c r="B319" s="12" t="s">
        <v>4723</v>
      </c>
      <c r="C319" s="12" t="s">
        <v>4647</v>
      </c>
      <c r="D319" s="12" t="s">
        <v>4723</v>
      </c>
      <c r="E319" s="12" t="s">
        <v>4647</v>
      </c>
      <c r="K319" s="12">
        <v>318</v>
      </c>
      <c r="L319" s="12">
        <v>32</v>
      </c>
    </row>
    <row r="320" spans="1:12">
      <c r="A320" s="12" t="s">
        <v>5270</v>
      </c>
      <c r="B320" s="12" t="s">
        <v>4723</v>
      </c>
      <c r="C320" s="12" t="s">
        <v>4649</v>
      </c>
      <c r="D320" s="12" t="s">
        <v>4723</v>
      </c>
      <c r="E320" s="12" t="s">
        <v>4649</v>
      </c>
      <c r="K320" s="12">
        <v>319</v>
      </c>
      <c r="L320" s="12">
        <v>33</v>
      </c>
    </row>
    <row r="321" spans="1:12">
      <c r="A321" s="12" t="s">
        <v>5271</v>
      </c>
      <c r="B321" s="12" t="s">
        <v>4723</v>
      </c>
      <c r="C321" s="12" t="s">
        <v>4651</v>
      </c>
      <c r="D321" s="12" t="s">
        <v>4723</v>
      </c>
      <c r="E321" s="12" t="s">
        <v>4651</v>
      </c>
      <c r="K321" s="12">
        <v>320</v>
      </c>
      <c r="L321" s="12">
        <v>34</v>
      </c>
    </row>
    <row r="322" spans="1:12">
      <c r="A322" s="12" t="s">
        <v>5272</v>
      </c>
      <c r="B322" s="12" t="s">
        <v>4723</v>
      </c>
      <c r="C322" s="12" t="s">
        <v>4302</v>
      </c>
      <c r="D322" s="12" t="s">
        <v>4723</v>
      </c>
      <c r="E322" s="12" t="s">
        <v>4302</v>
      </c>
      <c r="K322" s="12">
        <v>321</v>
      </c>
      <c r="L322" s="12">
        <v>35</v>
      </c>
    </row>
    <row r="323" spans="1:12">
      <c r="A323" s="12" t="s">
        <v>5273</v>
      </c>
      <c r="B323" s="12" t="s">
        <v>4723</v>
      </c>
      <c r="C323" s="12" t="s">
        <v>4304</v>
      </c>
      <c r="D323" s="12" t="s">
        <v>4723</v>
      </c>
      <c r="E323" s="12" t="s">
        <v>4304</v>
      </c>
      <c r="K323" s="12">
        <v>322</v>
      </c>
      <c r="L323" s="12">
        <v>36</v>
      </c>
    </row>
    <row r="324" spans="1:12">
      <c r="A324" s="12" t="s">
        <v>5274</v>
      </c>
      <c r="B324" s="12" t="s">
        <v>4723</v>
      </c>
      <c r="C324" s="12" t="s">
        <v>4256</v>
      </c>
      <c r="D324" s="12" t="s">
        <v>4723</v>
      </c>
      <c r="E324" s="12" t="s">
        <v>4256</v>
      </c>
      <c r="K324" s="12">
        <v>323</v>
      </c>
      <c r="L324" s="12">
        <v>37</v>
      </c>
    </row>
    <row r="325" spans="1:12">
      <c r="A325" s="12" t="s">
        <v>5275</v>
      </c>
      <c r="B325" s="12" t="s">
        <v>4723</v>
      </c>
      <c r="C325" s="12" t="s">
        <v>4257</v>
      </c>
      <c r="D325" s="12" t="s">
        <v>4723</v>
      </c>
      <c r="E325" s="12" t="s">
        <v>4257</v>
      </c>
      <c r="K325" s="12">
        <v>324</v>
      </c>
      <c r="L325" s="12">
        <v>38</v>
      </c>
    </row>
    <row r="326" spans="1:12">
      <c r="A326" s="12" t="s">
        <v>5276</v>
      </c>
      <c r="B326" s="12" t="s">
        <v>4723</v>
      </c>
      <c r="C326" s="12" t="s">
        <v>4259</v>
      </c>
      <c r="D326" s="12" t="s">
        <v>4723</v>
      </c>
      <c r="E326" s="12" t="s">
        <v>4259</v>
      </c>
      <c r="K326" s="12">
        <v>325</v>
      </c>
      <c r="L326" s="12">
        <v>39</v>
      </c>
    </row>
    <row r="327" spans="1:12">
      <c r="A327" s="12" t="s">
        <v>5277</v>
      </c>
      <c r="B327" s="12" t="s">
        <v>4723</v>
      </c>
      <c r="C327" s="12" t="s">
        <v>4260</v>
      </c>
      <c r="D327" s="12" t="s">
        <v>4723</v>
      </c>
      <c r="E327" s="12" t="s">
        <v>4260</v>
      </c>
      <c r="K327" s="12">
        <v>326</v>
      </c>
      <c r="L327" s="12">
        <v>40</v>
      </c>
    </row>
    <row r="328" spans="1:12">
      <c r="A328" s="12" t="s">
        <v>5278</v>
      </c>
      <c r="B328" s="12" t="s">
        <v>4723</v>
      </c>
      <c r="C328" s="12" t="s">
        <v>4261</v>
      </c>
      <c r="D328" s="12" t="s">
        <v>4723</v>
      </c>
      <c r="E328" s="12" t="s">
        <v>4261</v>
      </c>
      <c r="K328" s="12">
        <v>327</v>
      </c>
      <c r="L328" s="12">
        <v>41</v>
      </c>
    </row>
    <row r="329" spans="1:12">
      <c r="A329" s="12" t="s">
        <v>5279</v>
      </c>
      <c r="B329" s="12" t="s">
        <v>4723</v>
      </c>
      <c r="C329" s="12" t="s">
        <v>4264</v>
      </c>
      <c r="D329" s="12" t="s">
        <v>4723</v>
      </c>
      <c r="E329" s="12" t="s">
        <v>4264</v>
      </c>
      <c r="K329" s="12">
        <v>328</v>
      </c>
      <c r="L329" s="12">
        <v>42</v>
      </c>
    </row>
    <row r="330" spans="1:12">
      <c r="A330" s="12" t="s">
        <v>5280</v>
      </c>
      <c r="B330" s="12" t="s">
        <v>4723</v>
      </c>
      <c r="C330" s="12" t="s">
        <v>4265</v>
      </c>
      <c r="D330" s="12" t="s">
        <v>4723</v>
      </c>
      <c r="E330" s="12" t="s">
        <v>4265</v>
      </c>
      <c r="K330" s="12">
        <v>329</v>
      </c>
      <c r="L330" s="12">
        <v>43</v>
      </c>
    </row>
    <row r="331" spans="1:12">
      <c r="A331" s="12" t="s">
        <v>5281</v>
      </c>
      <c r="B331" s="12" t="s">
        <v>4723</v>
      </c>
      <c r="C331" s="12" t="s">
        <v>4244</v>
      </c>
      <c r="D331" s="12" t="s">
        <v>4723</v>
      </c>
      <c r="E331" s="12" t="s">
        <v>4244</v>
      </c>
      <c r="K331" s="12">
        <v>330</v>
      </c>
      <c r="L331" s="12">
        <v>44</v>
      </c>
    </row>
    <row r="332" spans="1:12">
      <c r="A332" s="12" t="s">
        <v>5282</v>
      </c>
      <c r="B332" s="12" t="s">
        <v>4723</v>
      </c>
      <c r="C332" s="12" t="s">
        <v>4266</v>
      </c>
      <c r="D332" s="12" t="s">
        <v>4723</v>
      </c>
      <c r="E332" s="12" t="s">
        <v>4266</v>
      </c>
      <c r="K332" s="12">
        <v>331</v>
      </c>
      <c r="L332" s="12">
        <v>45</v>
      </c>
    </row>
    <row r="333" spans="1:12">
      <c r="A333" s="12" t="s">
        <v>5283</v>
      </c>
      <c r="B333" s="12" t="s">
        <v>4723</v>
      </c>
      <c r="C333" s="12" t="s">
        <v>4245</v>
      </c>
      <c r="D333" s="12" t="s">
        <v>4723</v>
      </c>
      <c r="E333" s="12" t="s">
        <v>4245</v>
      </c>
      <c r="K333" s="12">
        <v>332</v>
      </c>
      <c r="L333" s="12">
        <v>46</v>
      </c>
    </row>
    <row r="334" spans="1:12">
      <c r="A334" s="12" t="s">
        <v>5284</v>
      </c>
      <c r="B334" s="12" t="s">
        <v>4723</v>
      </c>
      <c r="C334" s="12" t="s">
        <v>4248</v>
      </c>
      <c r="D334" s="12" t="s">
        <v>4723</v>
      </c>
      <c r="E334" s="12" t="s">
        <v>4248</v>
      </c>
      <c r="K334" s="12">
        <v>333</v>
      </c>
      <c r="L334" s="12">
        <v>47</v>
      </c>
    </row>
    <row r="335" spans="1:12">
      <c r="A335" s="12" t="s">
        <v>5285</v>
      </c>
      <c r="B335" s="12" t="s">
        <v>4723</v>
      </c>
      <c r="C335" s="12" t="s">
        <v>4268</v>
      </c>
      <c r="D335" s="12" t="s">
        <v>4723</v>
      </c>
      <c r="E335" s="12" t="s">
        <v>4268</v>
      </c>
      <c r="K335" s="12">
        <v>334</v>
      </c>
      <c r="L335" s="12">
        <v>48</v>
      </c>
    </row>
    <row r="336" spans="1:12">
      <c r="A336" s="12" t="s">
        <v>5286</v>
      </c>
      <c r="B336" s="12" t="s">
        <v>4723</v>
      </c>
      <c r="C336" s="12" t="s">
        <v>4269</v>
      </c>
      <c r="D336" s="12" t="s">
        <v>4723</v>
      </c>
      <c r="E336" s="12" t="s">
        <v>4269</v>
      </c>
      <c r="K336" s="12">
        <v>335</v>
      </c>
      <c r="L336" s="12">
        <v>49</v>
      </c>
    </row>
    <row r="337" spans="1:12">
      <c r="A337" s="12" t="s">
        <v>5287</v>
      </c>
      <c r="B337" s="12" t="s">
        <v>4723</v>
      </c>
      <c r="C337" s="12" t="s">
        <v>4270</v>
      </c>
      <c r="D337" s="12" t="s">
        <v>4723</v>
      </c>
      <c r="E337" s="12" t="s">
        <v>4270</v>
      </c>
      <c r="K337" s="12">
        <v>336</v>
      </c>
      <c r="L337" s="12">
        <v>50</v>
      </c>
    </row>
    <row r="338" spans="1:12">
      <c r="A338" s="12" t="s">
        <v>5288</v>
      </c>
      <c r="B338" s="12" t="s">
        <v>4723</v>
      </c>
      <c r="C338" s="12" t="s">
        <v>4271</v>
      </c>
      <c r="D338" s="12" t="s">
        <v>4723</v>
      </c>
      <c r="E338" s="12" t="s">
        <v>4271</v>
      </c>
      <c r="K338" s="12">
        <v>337</v>
      </c>
      <c r="L338" s="12">
        <v>51</v>
      </c>
    </row>
    <row r="339" spans="1:12">
      <c r="A339" s="12" t="s">
        <v>5289</v>
      </c>
      <c r="B339" s="12" t="s">
        <v>4723</v>
      </c>
      <c r="C339" s="12" t="s">
        <v>4726</v>
      </c>
      <c r="D339" s="12" t="s">
        <v>4723</v>
      </c>
      <c r="E339" s="12" t="s">
        <v>4726</v>
      </c>
      <c r="K339" s="12">
        <v>338</v>
      </c>
      <c r="L339" s="12">
        <v>52</v>
      </c>
    </row>
    <row r="340" spans="1:12">
      <c r="A340" s="12" t="s">
        <v>5290</v>
      </c>
      <c r="B340" s="12" t="s">
        <v>4723</v>
      </c>
      <c r="C340" s="12" t="s">
        <v>4727</v>
      </c>
      <c r="D340" s="12" t="s">
        <v>4723</v>
      </c>
      <c r="E340" s="12" t="s">
        <v>4727</v>
      </c>
      <c r="K340" s="12">
        <v>339</v>
      </c>
      <c r="L340" s="12">
        <v>53</v>
      </c>
    </row>
    <row r="341" spans="1:12">
      <c r="A341" s="12" t="s">
        <v>5291</v>
      </c>
      <c r="B341" s="12" t="s">
        <v>4723</v>
      </c>
      <c r="C341" s="12" t="s">
        <v>4273</v>
      </c>
      <c r="D341" s="12" t="s">
        <v>4723</v>
      </c>
      <c r="E341" s="12" t="s">
        <v>4273</v>
      </c>
      <c r="K341" s="12">
        <v>340</v>
      </c>
      <c r="L341" s="12">
        <v>54</v>
      </c>
    </row>
    <row r="342" spans="1:12">
      <c r="A342" s="12" t="s">
        <v>5292</v>
      </c>
      <c r="B342" s="12" t="s">
        <v>4723</v>
      </c>
      <c r="C342" s="12" t="s">
        <v>4274</v>
      </c>
      <c r="D342" s="12" t="s">
        <v>4723</v>
      </c>
      <c r="E342" s="12" t="s">
        <v>4274</v>
      </c>
      <c r="K342" s="12">
        <v>341</v>
      </c>
      <c r="L342" s="12">
        <v>55</v>
      </c>
    </row>
    <row r="343" spans="1:12">
      <c r="A343" s="12" t="s">
        <v>5293</v>
      </c>
      <c r="B343" s="12" t="s">
        <v>4723</v>
      </c>
      <c r="C343" s="12" t="s">
        <v>4275</v>
      </c>
      <c r="D343" s="12" t="s">
        <v>4723</v>
      </c>
      <c r="E343" s="12" t="s">
        <v>4275</v>
      </c>
      <c r="K343" s="12">
        <v>342</v>
      </c>
      <c r="L343" s="12">
        <v>56</v>
      </c>
    </row>
    <row r="344" spans="1:12">
      <c r="A344" s="12" t="s">
        <v>5294</v>
      </c>
      <c r="B344" s="12" t="s">
        <v>4723</v>
      </c>
      <c r="C344" s="12" t="s">
        <v>4276</v>
      </c>
      <c r="D344" s="12" t="s">
        <v>4723</v>
      </c>
      <c r="E344" s="12" t="s">
        <v>4276</v>
      </c>
      <c r="K344" s="12">
        <v>343</v>
      </c>
      <c r="L344" s="12">
        <v>57</v>
      </c>
    </row>
    <row r="345" spans="1:12">
      <c r="A345" s="12" t="s">
        <v>5295</v>
      </c>
      <c r="B345" s="12" t="s">
        <v>4723</v>
      </c>
      <c r="C345" s="12" t="s">
        <v>4277</v>
      </c>
      <c r="D345" s="12" t="s">
        <v>4723</v>
      </c>
      <c r="E345" s="12" t="s">
        <v>4277</v>
      </c>
      <c r="K345" s="12">
        <v>344</v>
      </c>
      <c r="L345" s="12">
        <v>58</v>
      </c>
    </row>
    <row r="346" spans="1:12">
      <c r="A346" s="12" t="s">
        <v>5296</v>
      </c>
      <c r="B346" s="12" t="s">
        <v>4723</v>
      </c>
      <c r="C346" s="12" t="s">
        <v>4280</v>
      </c>
      <c r="D346" s="12" t="s">
        <v>4723</v>
      </c>
      <c r="E346" s="12" t="s">
        <v>4280</v>
      </c>
      <c r="K346" s="12">
        <v>345</v>
      </c>
      <c r="L346" s="12">
        <v>59</v>
      </c>
    </row>
    <row r="347" spans="1:12">
      <c r="A347" s="12" t="s">
        <v>5297</v>
      </c>
      <c r="B347" s="12" t="s">
        <v>4723</v>
      </c>
      <c r="C347" s="12" t="s">
        <v>4281</v>
      </c>
      <c r="D347" s="12" t="s">
        <v>4723</v>
      </c>
      <c r="E347" s="12" t="s">
        <v>4281</v>
      </c>
      <c r="K347" s="12">
        <v>346</v>
      </c>
      <c r="L347" s="12">
        <v>60</v>
      </c>
    </row>
    <row r="348" spans="1:12">
      <c r="A348" s="12" t="s">
        <v>5298</v>
      </c>
      <c r="B348" s="12" t="s">
        <v>4723</v>
      </c>
      <c r="C348" s="12" t="s">
        <v>4282</v>
      </c>
      <c r="D348" s="12" t="s">
        <v>4723</v>
      </c>
      <c r="E348" s="12" t="s">
        <v>4282</v>
      </c>
      <c r="K348" s="12">
        <v>347</v>
      </c>
      <c r="L348" s="12">
        <v>61</v>
      </c>
    </row>
    <row r="349" spans="1:12">
      <c r="A349" s="12" t="s">
        <v>5299</v>
      </c>
      <c r="B349" s="12" t="s">
        <v>4723</v>
      </c>
      <c r="C349" s="12" t="s">
        <v>4283</v>
      </c>
      <c r="D349" s="12" t="s">
        <v>4723</v>
      </c>
      <c r="E349" s="12" t="s">
        <v>4283</v>
      </c>
      <c r="K349" s="12">
        <v>348</v>
      </c>
      <c r="L349" s="12">
        <v>62</v>
      </c>
    </row>
    <row r="350" spans="1:12">
      <c r="A350" s="12" t="s">
        <v>5300</v>
      </c>
      <c r="B350" s="12" t="s">
        <v>4723</v>
      </c>
      <c r="C350" s="12" t="s">
        <v>4284</v>
      </c>
      <c r="D350" s="12" t="s">
        <v>4723</v>
      </c>
      <c r="E350" s="12" t="s">
        <v>4284</v>
      </c>
      <c r="K350" s="12">
        <v>349</v>
      </c>
      <c r="L350" s="12">
        <v>63</v>
      </c>
    </row>
    <row r="351" spans="1:12">
      <c r="A351" s="12" t="s">
        <v>5301</v>
      </c>
      <c r="B351" s="12" t="s">
        <v>4723</v>
      </c>
      <c r="C351" s="12" t="s">
        <v>4250</v>
      </c>
      <c r="D351" s="12" t="s">
        <v>4723</v>
      </c>
      <c r="E351" s="12" t="s">
        <v>4250</v>
      </c>
      <c r="K351" s="12">
        <v>350</v>
      </c>
      <c r="L351" s="12">
        <v>64</v>
      </c>
    </row>
    <row r="352" spans="1:12">
      <c r="A352" s="12" t="s">
        <v>5302</v>
      </c>
      <c r="B352" s="12" t="s">
        <v>4723</v>
      </c>
      <c r="C352" s="12" t="s">
        <v>4285</v>
      </c>
      <c r="D352" s="12" t="s">
        <v>4723</v>
      </c>
      <c r="E352" s="12" t="s">
        <v>4285</v>
      </c>
      <c r="K352" s="12">
        <v>351</v>
      </c>
      <c r="L352" s="12">
        <v>65</v>
      </c>
    </row>
    <row r="353" spans="1:12">
      <c r="A353" s="12" t="s">
        <v>5303</v>
      </c>
      <c r="B353" s="12" t="s">
        <v>4723</v>
      </c>
      <c r="C353" s="12" t="s">
        <v>4286</v>
      </c>
      <c r="D353" s="12" t="s">
        <v>4723</v>
      </c>
      <c r="E353" s="12" t="s">
        <v>4286</v>
      </c>
      <c r="K353" s="12">
        <v>352</v>
      </c>
      <c r="L353" s="12">
        <v>66</v>
      </c>
    </row>
    <row r="354" spans="1:12">
      <c r="A354" s="12" t="s">
        <v>5304</v>
      </c>
      <c r="B354" s="12" t="s">
        <v>4723</v>
      </c>
      <c r="C354" s="12" t="s">
        <v>4287</v>
      </c>
      <c r="D354" s="12" t="s">
        <v>4723</v>
      </c>
      <c r="E354" s="12" t="s">
        <v>4287</v>
      </c>
      <c r="K354" s="12">
        <v>353</v>
      </c>
      <c r="L354" s="12">
        <v>67</v>
      </c>
    </row>
    <row r="355" spans="1:12">
      <c r="A355" s="12" t="s">
        <v>5305</v>
      </c>
      <c r="B355" s="12" t="s">
        <v>4723</v>
      </c>
      <c r="C355" s="12" t="s">
        <v>4288</v>
      </c>
      <c r="D355" s="12" t="s">
        <v>4723</v>
      </c>
      <c r="E355" s="12" t="s">
        <v>4288</v>
      </c>
      <c r="K355" s="12">
        <v>354</v>
      </c>
      <c r="L355" s="12">
        <v>68</v>
      </c>
    </row>
    <row r="356" spans="1:12">
      <c r="A356" s="12" t="s">
        <v>5306</v>
      </c>
      <c r="B356" s="12" t="s">
        <v>4723</v>
      </c>
      <c r="C356" s="12" t="s">
        <v>4728</v>
      </c>
      <c r="D356" s="12" t="s">
        <v>4723</v>
      </c>
      <c r="E356" s="12" t="s">
        <v>4728</v>
      </c>
      <c r="K356" s="12">
        <v>355</v>
      </c>
      <c r="L356" s="12">
        <v>69</v>
      </c>
    </row>
    <row r="357" spans="1:12">
      <c r="A357" s="12" t="s">
        <v>5307</v>
      </c>
      <c r="B357" s="12" t="s">
        <v>4723</v>
      </c>
      <c r="C357" s="12" t="s">
        <v>4729</v>
      </c>
      <c r="D357" s="12" t="s">
        <v>4723</v>
      </c>
      <c r="E357" s="12" t="s">
        <v>4729</v>
      </c>
      <c r="K357" s="12">
        <v>356</v>
      </c>
      <c r="L357" s="12">
        <v>70</v>
      </c>
    </row>
    <row r="358" spans="1:12">
      <c r="A358" s="12" t="s">
        <v>5308</v>
      </c>
      <c r="B358" s="12" t="s">
        <v>4723</v>
      </c>
      <c r="C358" s="12" t="s">
        <v>4305</v>
      </c>
      <c r="D358" s="12" t="s">
        <v>4723</v>
      </c>
      <c r="E358" s="12" t="s">
        <v>4305</v>
      </c>
      <c r="K358" s="12">
        <v>357</v>
      </c>
      <c r="L358" s="12">
        <v>71</v>
      </c>
    </row>
    <row r="359" spans="1:12">
      <c r="A359" s="12" t="s">
        <v>5309</v>
      </c>
      <c r="B359" s="12" t="s">
        <v>4723</v>
      </c>
      <c r="C359" s="12" t="s">
        <v>4730</v>
      </c>
      <c r="D359" s="12" t="s">
        <v>4723</v>
      </c>
      <c r="E359" s="12" t="s">
        <v>4730</v>
      </c>
      <c r="K359" s="12">
        <v>358</v>
      </c>
      <c r="L359" s="12">
        <v>72</v>
      </c>
    </row>
    <row r="360" spans="1:12">
      <c r="A360" s="12" t="s">
        <v>5310</v>
      </c>
      <c r="B360" s="12" t="s">
        <v>4723</v>
      </c>
      <c r="C360" s="12" t="s">
        <v>4731</v>
      </c>
      <c r="D360" s="12" t="s">
        <v>4723</v>
      </c>
      <c r="E360" s="12" t="s">
        <v>4731</v>
      </c>
      <c r="K360" s="12">
        <v>359</v>
      </c>
      <c r="L360" s="12">
        <v>73</v>
      </c>
    </row>
    <row r="361" spans="1:12">
      <c r="A361" s="12" t="s">
        <v>5311</v>
      </c>
      <c r="B361" s="12" t="s">
        <v>4723</v>
      </c>
      <c r="C361" s="12" t="s">
        <v>4732</v>
      </c>
      <c r="D361" s="12" t="s">
        <v>4723</v>
      </c>
      <c r="E361" s="12" t="s">
        <v>4732</v>
      </c>
      <c r="K361" s="12">
        <v>360</v>
      </c>
      <c r="L361" s="12">
        <v>74</v>
      </c>
    </row>
    <row r="362" spans="1:12">
      <c r="A362" s="12" t="s">
        <v>5312</v>
      </c>
      <c r="B362" s="12" t="s">
        <v>4723</v>
      </c>
      <c r="C362" s="12" t="s">
        <v>4733</v>
      </c>
      <c r="D362" s="12" t="s">
        <v>4723</v>
      </c>
      <c r="E362" s="12" t="s">
        <v>4733</v>
      </c>
      <c r="K362" s="12">
        <v>361</v>
      </c>
      <c r="L362" s="12">
        <v>75</v>
      </c>
    </row>
    <row r="363" spans="1:12">
      <c r="A363" s="12" t="s">
        <v>5313</v>
      </c>
      <c r="B363" s="12" t="s">
        <v>4723</v>
      </c>
      <c r="C363" s="12" t="s">
        <v>4784</v>
      </c>
      <c r="D363" s="12" t="s">
        <v>4723</v>
      </c>
      <c r="E363" s="12" t="s">
        <v>4784</v>
      </c>
      <c r="K363" s="12">
        <v>362</v>
      </c>
      <c r="L363" s="12">
        <v>76</v>
      </c>
    </row>
    <row r="364" spans="1:12">
      <c r="A364" s="12" t="s">
        <v>5314</v>
      </c>
      <c r="B364" s="12" t="s">
        <v>4723</v>
      </c>
      <c r="C364" s="12" t="s">
        <v>4785</v>
      </c>
      <c r="D364" s="12" t="s">
        <v>4723</v>
      </c>
      <c r="E364" s="12" t="s">
        <v>4785</v>
      </c>
      <c r="K364" s="12">
        <v>363</v>
      </c>
      <c r="L364" s="12">
        <v>77</v>
      </c>
    </row>
    <row r="365" spans="1:12">
      <c r="A365" s="12" t="s">
        <v>5315</v>
      </c>
      <c r="B365" s="12" t="s">
        <v>4723</v>
      </c>
      <c r="C365" s="12" t="s">
        <v>4786</v>
      </c>
      <c r="D365" s="12" t="s">
        <v>4723</v>
      </c>
      <c r="E365" s="12" t="s">
        <v>4786</v>
      </c>
      <c r="K365" s="12">
        <v>364</v>
      </c>
      <c r="L365" s="12">
        <v>78</v>
      </c>
    </row>
    <row r="366" spans="1:12">
      <c r="A366" s="12" t="s">
        <v>5316</v>
      </c>
      <c r="B366" s="12" t="s">
        <v>4723</v>
      </c>
      <c r="C366" s="12" t="s">
        <v>4787</v>
      </c>
      <c r="D366" s="12" t="s">
        <v>4723</v>
      </c>
      <c r="E366" s="12" t="s">
        <v>4787</v>
      </c>
      <c r="K366" s="12">
        <v>365</v>
      </c>
      <c r="L366" s="12">
        <v>79</v>
      </c>
    </row>
    <row r="367" spans="1:12">
      <c r="A367" s="12" t="s">
        <v>5317</v>
      </c>
      <c r="B367" s="12" t="s">
        <v>4723</v>
      </c>
      <c r="C367" s="12" t="s">
        <v>4788</v>
      </c>
      <c r="D367" s="12" t="s">
        <v>4723</v>
      </c>
      <c r="E367" s="12" t="s">
        <v>4788</v>
      </c>
      <c r="K367" s="12">
        <v>366</v>
      </c>
      <c r="L367" s="12">
        <v>80</v>
      </c>
    </row>
    <row r="368" spans="1:12">
      <c r="A368" s="12" t="s">
        <v>5318</v>
      </c>
      <c r="B368" s="12" t="s">
        <v>4723</v>
      </c>
      <c r="C368" s="12" t="s">
        <v>4252</v>
      </c>
      <c r="D368" s="12" t="s">
        <v>4723</v>
      </c>
      <c r="E368" s="12" t="s">
        <v>4252</v>
      </c>
      <c r="K368" s="12">
        <v>367</v>
      </c>
      <c r="L368" s="12">
        <v>81</v>
      </c>
    </row>
    <row r="369" spans="1:12">
      <c r="A369" s="12" t="s">
        <v>5319</v>
      </c>
      <c r="B369" s="12" t="s">
        <v>4723</v>
      </c>
      <c r="C369" s="12" t="s">
        <v>4860</v>
      </c>
      <c r="D369" s="12" t="s">
        <v>4723</v>
      </c>
      <c r="E369" s="12" t="s">
        <v>4860</v>
      </c>
      <c r="K369" s="12">
        <v>368</v>
      </c>
      <c r="L369" s="12">
        <v>82</v>
      </c>
    </row>
    <row r="370" spans="1:12">
      <c r="A370" s="12" t="s">
        <v>5320</v>
      </c>
      <c r="B370" s="12" t="s">
        <v>4723</v>
      </c>
      <c r="C370" s="12" t="s">
        <v>4861</v>
      </c>
      <c r="D370" s="12" t="s">
        <v>4723</v>
      </c>
      <c r="E370" s="12" t="s">
        <v>4861</v>
      </c>
      <c r="K370" s="12">
        <v>369</v>
      </c>
      <c r="L370" s="12">
        <v>83</v>
      </c>
    </row>
    <row r="371" spans="1:12">
      <c r="A371" s="12" t="s">
        <v>5321</v>
      </c>
      <c r="B371" s="12" t="s">
        <v>4723</v>
      </c>
      <c r="C371" s="12" t="s">
        <v>4862</v>
      </c>
      <c r="D371" s="12" t="s">
        <v>4723</v>
      </c>
      <c r="E371" s="12" t="s">
        <v>4862</v>
      </c>
      <c r="K371" s="12">
        <v>370</v>
      </c>
      <c r="L371" s="12">
        <v>84</v>
      </c>
    </row>
    <row r="372" spans="1:12">
      <c r="A372" s="12" t="s">
        <v>5322</v>
      </c>
      <c r="B372" s="12" t="s">
        <v>4723</v>
      </c>
      <c r="C372" s="12" t="s">
        <v>4863</v>
      </c>
      <c r="D372" s="12" t="s">
        <v>4723</v>
      </c>
      <c r="E372" s="12" t="s">
        <v>4863</v>
      </c>
      <c r="K372" s="12">
        <v>371</v>
      </c>
      <c r="L372" s="12">
        <v>85</v>
      </c>
    </row>
    <row r="373" spans="1:12">
      <c r="A373" s="12" t="s">
        <v>5323</v>
      </c>
      <c r="B373" s="12" t="s">
        <v>4723</v>
      </c>
      <c r="C373" s="12" t="s">
        <v>4303</v>
      </c>
      <c r="D373" s="12" t="s">
        <v>4723</v>
      </c>
      <c r="E373" s="12" t="s">
        <v>4303</v>
      </c>
      <c r="K373" s="12">
        <v>372</v>
      </c>
      <c r="L373" s="12">
        <v>86</v>
      </c>
    </row>
    <row r="374" spans="1:12">
      <c r="A374" s="12" t="s">
        <v>5324</v>
      </c>
      <c r="B374" s="12" t="s">
        <v>4723</v>
      </c>
      <c r="C374" s="12" t="s">
        <v>4734</v>
      </c>
      <c r="D374" s="12" t="s">
        <v>4723</v>
      </c>
      <c r="E374" s="12" t="s">
        <v>4734</v>
      </c>
      <c r="K374" s="12">
        <v>373</v>
      </c>
      <c r="L374" s="12">
        <v>87</v>
      </c>
    </row>
    <row r="375" spans="1:12">
      <c r="A375" s="12" t="s">
        <v>5325</v>
      </c>
      <c r="B375" s="12" t="s">
        <v>4723</v>
      </c>
      <c r="C375" s="12" t="s">
        <v>4735</v>
      </c>
      <c r="D375" s="12" t="s">
        <v>4723</v>
      </c>
      <c r="E375" s="12" t="s">
        <v>4735</v>
      </c>
      <c r="K375" s="12">
        <v>374</v>
      </c>
      <c r="L375" s="12">
        <v>88</v>
      </c>
    </row>
    <row r="376" spans="1:12">
      <c r="A376" s="12" t="s">
        <v>5326</v>
      </c>
      <c r="B376" s="12" t="s">
        <v>4723</v>
      </c>
      <c r="C376" s="12" t="s">
        <v>4736</v>
      </c>
      <c r="D376" s="12" t="s">
        <v>4723</v>
      </c>
      <c r="E376" s="12" t="s">
        <v>4736</v>
      </c>
      <c r="K376" s="12">
        <v>375</v>
      </c>
      <c r="L376" s="12">
        <v>89</v>
      </c>
    </row>
    <row r="377" spans="1:12">
      <c r="A377" s="12" t="s">
        <v>5327</v>
      </c>
      <c r="B377" s="12" t="s">
        <v>4723</v>
      </c>
      <c r="C377" s="12" t="s">
        <v>4737</v>
      </c>
      <c r="D377" s="12" t="s">
        <v>4723</v>
      </c>
      <c r="E377" s="12" t="s">
        <v>4737</v>
      </c>
      <c r="K377" s="12">
        <v>376</v>
      </c>
      <c r="L377" s="12">
        <v>90</v>
      </c>
    </row>
    <row r="378" spans="1:12">
      <c r="A378" s="12" t="s">
        <v>5328</v>
      </c>
      <c r="B378" s="12" t="s">
        <v>4723</v>
      </c>
      <c r="C378" s="12" t="s">
        <v>4738</v>
      </c>
      <c r="D378" s="12" t="s">
        <v>4723</v>
      </c>
      <c r="E378" s="12" t="s">
        <v>4738</v>
      </c>
      <c r="K378" s="12">
        <v>377</v>
      </c>
      <c r="L378" s="12">
        <v>91</v>
      </c>
    </row>
    <row r="379" spans="1:12">
      <c r="A379" s="12" t="s">
        <v>5329</v>
      </c>
      <c r="B379" s="12" t="s">
        <v>4723</v>
      </c>
      <c r="C379" s="12" t="s">
        <v>4739</v>
      </c>
      <c r="D379" s="12" t="s">
        <v>4723</v>
      </c>
      <c r="E379" s="12" t="s">
        <v>4739</v>
      </c>
      <c r="K379" s="12">
        <v>378</v>
      </c>
      <c r="L379" s="12">
        <v>92</v>
      </c>
    </row>
    <row r="380" spans="1:12">
      <c r="A380" s="12" t="s">
        <v>5330</v>
      </c>
      <c r="B380" s="12" t="s">
        <v>4723</v>
      </c>
      <c r="C380" s="12" t="s">
        <v>4789</v>
      </c>
      <c r="D380" s="12" t="s">
        <v>4723</v>
      </c>
      <c r="E380" s="12" t="s">
        <v>4789</v>
      </c>
      <c r="K380" s="12">
        <v>379</v>
      </c>
      <c r="L380" s="12">
        <v>93</v>
      </c>
    </row>
    <row r="381" spans="1:12">
      <c r="A381" s="12" t="s">
        <v>5331</v>
      </c>
      <c r="B381" s="12" t="s">
        <v>4723</v>
      </c>
      <c r="C381" s="12" t="s">
        <v>4790</v>
      </c>
      <c r="D381" s="12" t="s">
        <v>4723</v>
      </c>
      <c r="E381" s="12" t="s">
        <v>4790</v>
      </c>
      <c r="K381" s="12">
        <v>380</v>
      </c>
      <c r="L381" s="12">
        <v>94</v>
      </c>
    </row>
    <row r="382" spans="1:12">
      <c r="A382" s="12" t="s">
        <v>5332</v>
      </c>
      <c r="B382" s="12" t="s">
        <v>4723</v>
      </c>
      <c r="C382" s="12" t="s">
        <v>4791</v>
      </c>
      <c r="D382" s="12" t="s">
        <v>4723</v>
      </c>
      <c r="E382" s="12" t="s">
        <v>4791</v>
      </c>
      <c r="K382" s="12">
        <v>381</v>
      </c>
      <c r="L382" s="12">
        <v>95</v>
      </c>
    </row>
    <row r="383" spans="1:12">
      <c r="A383" s="12" t="s">
        <v>5333</v>
      </c>
      <c r="B383" s="12" t="s">
        <v>4723</v>
      </c>
      <c r="C383" s="12" t="s">
        <v>4309</v>
      </c>
      <c r="D383" s="12" t="s">
        <v>4723</v>
      </c>
      <c r="E383" s="12" t="s">
        <v>4309</v>
      </c>
      <c r="K383" s="12">
        <v>382</v>
      </c>
      <c r="L383" s="12">
        <v>96</v>
      </c>
    </row>
    <row r="384" spans="1:12">
      <c r="A384" s="12" t="s">
        <v>5334</v>
      </c>
      <c r="B384" s="12" t="s">
        <v>4723</v>
      </c>
      <c r="C384" s="12" t="s">
        <v>4792</v>
      </c>
      <c r="D384" s="12" t="s">
        <v>4723</v>
      </c>
      <c r="E384" s="12" t="s">
        <v>4792</v>
      </c>
      <c r="K384" s="12">
        <v>383</v>
      </c>
      <c r="L384" s="12">
        <v>97</v>
      </c>
    </row>
    <row r="385" spans="1:12">
      <c r="A385" s="12" t="s">
        <v>5335</v>
      </c>
      <c r="B385" s="12" t="s">
        <v>4723</v>
      </c>
      <c r="C385" s="12" t="s">
        <v>4254</v>
      </c>
      <c r="D385" s="12" t="s">
        <v>4723</v>
      </c>
      <c r="E385" s="12" t="s">
        <v>4254</v>
      </c>
      <c r="K385" s="12">
        <v>384</v>
      </c>
      <c r="L385" s="12">
        <v>98</v>
      </c>
    </row>
    <row r="386" spans="1:12">
      <c r="A386" s="12" t="s">
        <v>5336</v>
      </c>
      <c r="B386" s="12" t="s">
        <v>4723</v>
      </c>
      <c r="C386" s="12" t="s">
        <v>4864</v>
      </c>
      <c r="D386" s="12" t="s">
        <v>4723</v>
      </c>
      <c r="E386" s="12" t="s">
        <v>4864</v>
      </c>
      <c r="K386" s="12">
        <v>385</v>
      </c>
      <c r="L386" s="12">
        <v>99</v>
      </c>
    </row>
    <row r="387" spans="1:12">
      <c r="A387" s="12" t="s">
        <v>5337</v>
      </c>
      <c r="B387" s="12" t="s">
        <v>4723</v>
      </c>
      <c r="C387" s="12" t="s">
        <v>4865</v>
      </c>
      <c r="D387" s="12" t="s">
        <v>4723</v>
      </c>
      <c r="E387" s="12" t="s">
        <v>4865</v>
      </c>
      <c r="K387" s="12">
        <v>386</v>
      </c>
      <c r="L387" s="12">
        <v>100</v>
      </c>
    </row>
    <row r="388" spans="1:12">
      <c r="A388" s="12" t="s">
        <v>5338</v>
      </c>
      <c r="B388" s="12" t="s">
        <v>4723</v>
      </c>
      <c r="C388" s="12" t="s">
        <v>4866</v>
      </c>
      <c r="D388" s="12" t="s">
        <v>4723</v>
      </c>
      <c r="E388" s="12" t="s">
        <v>4866</v>
      </c>
      <c r="K388" s="12">
        <v>387</v>
      </c>
      <c r="L388" s="12">
        <v>101</v>
      </c>
    </row>
    <row r="389" spans="1:12">
      <c r="A389" s="12" t="s">
        <v>5339</v>
      </c>
      <c r="B389" s="12" t="s">
        <v>4723</v>
      </c>
      <c r="C389" s="12" t="s">
        <v>4867</v>
      </c>
      <c r="D389" s="12" t="s">
        <v>4723</v>
      </c>
      <c r="E389" s="12" t="s">
        <v>4867</v>
      </c>
      <c r="K389" s="12">
        <v>388</v>
      </c>
      <c r="L389" s="12">
        <v>102</v>
      </c>
    </row>
    <row r="390" spans="1:12">
      <c r="A390" s="12" t="s">
        <v>5340</v>
      </c>
      <c r="B390" s="12" t="s">
        <v>4723</v>
      </c>
      <c r="C390" s="12" t="s">
        <v>4740</v>
      </c>
      <c r="D390" s="12" t="s">
        <v>4723</v>
      </c>
      <c r="E390" s="12" t="s">
        <v>4740</v>
      </c>
      <c r="K390" s="12">
        <v>389</v>
      </c>
      <c r="L390" s="12">
        <v>103</v>
      </c>
    </row>
    <row r="391" spans="1:12">
      <c r="A391" s="12" t="s">
        <v>5341</v>
      </c>
      <c r="B391" s="12" t="s">
        <v>4723</v>
      </c>
      <c r="C391" s="12" t="s">
        <v>4741</v>
      </c>
      <c r="D391" s="12" t="s">
        <v>4723</v>
      </c>
      <c r="E391" s="12" t="s">
        <v>4741</v>
      </c>
      <c r="K391" s="12">
        <v>390</v>
      </c>
      <c r="L391" s="12">
        <v>104</v>
      </c>
    </row>
    <row r="392" spans="1:12">
      <c r="A392" s="12" t="s">
        <v>5342</v>
      </c>
      <c r="B392" s="12" t="s">
        <v>4723</v>
      </c>
      <c r="C392" s="12" t="s">
        <v>4306</v>
      </c>
      <c r="D392" s="12" t="s">
        <v>4723</v>
      </c>
      <c r="E392" s="12" t="s">
        <v>4306</v>
      </c>
      <c r="K392" s="12">
        <v>391</v>
      </c>
      <c r="L392" s="12">
        <v>105</v>
      </c>
    </row>
    <row r="393" spans="1:12">
      <c r="A393" s="12" t="s">
        <v>5343</v>
      </c>
      <c r="B393" s="12" t="s">
        <v>4723</v>
      </c>
      <c r="C393" s="12" t="s">
        <v>4742</v>
      </c>
      <c r="D393" s="12" t="s">
        <v>4723</v>
      </c>
      <c r="E393" s="12" t="s">
        <v>4742</v>
      </c>
      <c r="K393" s="12">
        <v>392</v>
      </c>
      <c r="L393" s="12">
        <v>106</v>
      </c>
    </row>
    <row r="394" spans="1:12">
      <c r="A394" s="12" t="s">
        <v>5344</v>
      </c>
      <c r="B394" s="12" t="s">
        <v>4723</v>
      </c>
      <c r="C394" s="12" t="s">
        <v>4743</v>
      </c>
      <c r="D394" s="12" t="s">
        <v>4723</v>
      </c>
      <c r="E394" s="12" t="s">
        <v>4743</v>
      </c>
      <c r="K394" s="12">
        <v>393</v>
      </c>
      <c r="L394" s="12">
        <v>107</v>
      </c>
    </row>
    <row r="395" spans="1:12">
      <c r="A395" s="12" t="s">
        <v>5345</v>
      </c>
      <c r="B395" s="12" t="s">
        <v>4723</v>
      </c>
      <c r="C395" s="12" t="s">
        <v>4744</v>
      </c>
      <c r="D395" s="12" t="s">
        <v>4723</v>
      </c>
      <c r="E395" s="12" t="s">
        <v>4744</v>
      </c>
      <c r="K395" s="12">
        <v>394</v>
      </c>
      <c r="L395" s="12">
        <v>108</v>
      </c>
    </row>
    <row r="396" spans="1:12">
      <c r="A396" s="12" t="s">
        <v>5346</v>
      </c>
      <c r="B396" s="12" t="s">
        <v>4723</v>
      </c>
      <c r="C396" s="12" t="s">
        <v>4745</v>
      </c>
      <c r="D396" s="12" t="s">
        <v>4723</v>
      </c>
      <c r="E396" s="12" t="s">
        <v>4745</v>
      </c>
      <c r="K396" s="12">
        <v>395</v>
      </c>
      <c r="L396" s="12">
        <v>109</v>
      </c>
    </row>
    <row r="397" spans="1:12">
      <c r="A397" s="12" t="s">
        <v>5347</v>
      </c>
      <c r="B397" s="12" t="s">
        <v>4723</v>
      </c>
      <c r="C397" s="12" t="s">
        <v>4793</v>
      </c>
      <c r="D397" s="12" t="s">
        <v>4723</v>
      </c>
      <c r="E397" s="12" t="s">
        <v>4793</v>
      </c>
      <c r="K397" s="12">
        <v>396</v>
      </c>
      <c r="L397" s="12">
        <v>110</v>
      </c>
    </row>
    <row r="398" spans="1:12">
      <c r="A398" s="12" t="s">
        <v>5348</v>
      </c>
      <c r="B398" s="12" t="s">
        <v>4723</v>
      </c>
      <c r="C398" s="12" t="s">
        <v>4794</v>
      </c>
      <c r="D398" s="12" t="s">
        <v>4723</v>
      </c>
      <c r="E398" s="12" t="s">
        <v>4794</v>
      </c>
      <c r="K398" s="12">
        <v>397</v>
      </c>
      <c r="L398" s="12">
        <v>111</v>
      </c>
    </row>
    <row r="399" spans="1:12">
      <c r="A399" s="12" t="s">
        <v>5349</v>
      </c>
      <c r="B399" s="12" t="s">
        <v>4723</v>
      </c>
      <c r="C399" s="12" t="s">
        <v>4795</v>
      </c>
      <c r="D399" s="12" t="s">
        <v>4723</v>
      </c>
      <c r="E399" s="12" t="s">
        <v>4795</v>
      </c>
      <c r="K399" s="12">
        <v>398</v>
      </c>
      <c r="L399" s="12">
        <v>112</v>
      </c>
    </row>
    <row r="400" spans="1:12">
      <c r="A400" s="12" t="s">
        <v>5350</v>
      </c>
      <c r="B400" s="12" t="s">
        <v>4723</v>
      </c>
      <c r="C400" s="12" t="s">
        <v>4796</v>
      </c>
      <c r="D400" s="12" t="s">
        <v>4723</v>
      </c>
      <c r="E400" s="12" t="s">
        <v>4796</v>
      </c>
      <c r="K400" s="12">
        <v>399</v>
      </c>
      <c r="L400" s="12">
        <v>113</v>
      </c>
    </row>
    <row r="401" spans="1:12">
      <c r="A401" s="12" t="s">
        <v>5351</v>
      </c>
      <c r="B401" s="12" t="s">
        <v>4723</v>
      </c>
      <c r="C401" s="12" t="s">
        <v>4797</v>
      </c>
      <c r="D401" s="12" t="s">
        <v>4723</v>
      </c>
      <c r="E401" s="12" t="s">
        <v>4797</v>
      </c>
      <c r="K401" s="12">
        <v>400</v>
      </c>
      <c r="L401" s="12">
        <v>114</v>
      </c>
    </row>
    <row r="402" spans="1:12">
      <c r="A402" s="12" t="s">
        <v>5352</v>
      </c>
      <c r="B402" s="12" t="s">
        <v>4723</v>
      </c>
      <c r="C402" s="12" t="s">
        <v>4798</v>
      </c>
      <c r="D402" s="12" t="s">
        <v>4723</v>
      </c>
      <c r="E402" s="12" t="s">
        <v>4798</v>
      </c>
      <c r="K402" s="12">
        <v>401</v>
      </c>
      <c r="L402" s="12">
        <v>115</v>
      </c>
    </row>
    <row r="403" spans="1:12">
      <c r="A403" s="12" t="s">
        <v>5353</v>
      </c>
      <c r="B403" s="12" t="s">
        <v>4723</v>
      </c>
      <c r="C403" s="12" t="s">
        <v>4868</v>
      </c>
      <c r="D403" s="12" t="s">
        <v>4723</v>
      </c>
      <c r="E403" s="12" t="s">
        <v>4868</v>
      </c>
      <c r="K403" s="12">
        <v>402</v>
      </c>
      <c r="L403" s="12">
        <v>116</v>
      </c>
    </row>
    <row r="404" spans="1:12">
      <c r="A404" s="12" t="s">
        <v>5354</v>
      </c>
      <c r="B404" s="12" t="s">
        <v>4723</v>
      </c>
      <c r="C404" s="12" t="s">
        <v>4869</v>
      </c>
      <c r="D404" s="12" t="s">
        <v>4723</v>
      </c>
      <c r="E404" s="12" t="s">
        <v>4869</v>
      </c>
      <c r="K404" s="12">
        <v>403</v>
      </c>
      <c r="L404" s="12">
        <v>117</v>
      </c>
    </row>
    <row r="405" spans="1:12">
      <c r="A405" s="12" t="s">
        <v>5355</v>
      </c>
      <c r="B405" s="12" t="s">
        <v>4723</v>
      </c>
      <c r="C405" s="12" t="s">
        <v>4870</v>
      </c>
      <c r="D405" s="12" t="s">
        <v>4723</v>
      </c>
      <c r="E405" s="12" t="s">
        <v>4870</v>
      </c>
      <c r="K405" s="12">
        <v>404</v>
      </c>
      <c r="L405" s="12">
        <v>118</v>
      </c>
    </row>
    <row r="406" spans="1:12">
      <c r="A406" s="12" t="s">
        <v>5356</v>
      </c>
      <c r="B406" s="12" t="s">
        <v>4723</v>
      </c>
      <c r="C406" s="12" t="s">
        <v>4871</v>
      </c>
      <c r="D406" s="12" t="s">
        <v>4723</v>
      </c>
      <c r="E406" s="12" t="s">
        <v>4871</v>
      </c>
      <c r="K406" s="12">
        <v>405</v>
      </c>
      <c r="L406" s="12">
        <v>119</v>
      </c>
    </row>
    <row r="407" spans="1:12">
      <c r="A407" s="12" t="s">
        <v>5357</v>
      </c>
      <c r="B407" s="12" t="s">
        <v>4723</v>
      </c>
      <c r="C407" s="12" t="s">
        <v>4746</v>
      </c>
      <c r="D407" s="12" t="s">
        <v>4723</v>
      </c>
      <c r="E407" s="12" t="s">
        <v>4746</v>
      </c>
      <c r="K407" s="12">
        <v>406</v>
      </c>
      <c r="L407" s="12">
        <v>120</v>
      </c>
    </row>
    <row r="408" spans="1:12">
      <c r="A408" s="12" t="s">
        <v>5358</v>
      </c>
      <c r="B408" s="12" t="s">
        <v>4723</v>
      </c>
      <c r="C408" s="12" t="s">
        <v>4747</v>
      </c>
      <c r="D408" s="12" t="s">
        <v>4723</v>
      </c>
      <c r="E408" s="12" t="s">
        <v>4747</v>
      </c>
      <c r="K408" s="12">
        <v>407</v>
      </c>
      <c r="L408" s="12">
        <v>121</v>
      </c>
    </row>
    <row r="409" spans="1:12">
      <c r="A409" s="12" t="s">
        <v>5359</v>
      </c>
      <c r="B409" s="12" t="s">
        <v>4723</v>
      </c>
      <c r="C409" s="12" t="s">
        <v>4748</v>
      </c>
      <c r="D409" s="12" t="s">
        <v>4723</v>
      </c>
      <c r="E409" s="12" t="s">
        <v>4748</v>
      </c>
      <c r="K409" s="12">
        <v>408</v>
      </c>
      <c r="L409" s="12">
        <v>122</v>
      </c>
    </row>
    <row r="410" spans="1:12">
      <c r="A410" s="12" t="s">
        <v>5360</v>
      </c>
      <c r="B410" s="12" t="s">
        <v>4723</v>
      </c>
      <c r="C410" s="12" t="s">
        <v>4749</v>
      </c>
      <c r="D410" s="12" t="s">
        <v>4723</v>
      </c>
      <c r="E410" s="12" t="s">
        <v>4749</v>
      </c>
      <c r="K410" s="12">
        <v>409</v>
      </c>
      <c r="L410" s="12">
        <v>123</v>
      </c>
    </row>
    <row r="411" spans="1:12">
      <c r="A411" s="12" t="s">
        <v>5361</v>
      </c>
      <c r="B411" s="12" t="s">
        <v>4723</v>
      </c>
      <c r="C411" s="12" t="s">
        <v>4750</v>
      </c>
      <c r="D411" s="12" t="s">
        <v>4723</v>
      </c>
      <c r="E411" s="12" t="s">
        <v>4750</v>
      </c>
      <c r="K411" s="12">
        <v>410</v>
      </c>
      <c r="L411" s="12">
        <v>124</v>
      </c>
    </row>
    <row r="412" spans="1:12">
      <c r="A412" s="12" t="s">
        <v>5362</v>
      </c>
      <c r="B412" s="12" t="s">
        <v>4723</v>
      </c>
      <c r="C412" s="12" t="s">
        <v>4751</v>
      </c>
      <c r="D412" s="12" t="s">
        <v>4723</v>
      </c>
      <c r="E412" s="12" t="s">
        <v>4751</v>
      </c>
      <c r="K412" s="12">
        <v>411</v>
      </c>
      <c r="L412" s="12">
        <v>125</v>
      </c>
    </row>
    <row r="413" spans="1:12">
      <c r="A413" s="12" t="s">
        <v>5363</v>
      </c>
      <c r="B413" s="12" t="s">
        <v>4723</v>
      </c>
      <c r="C413" s="12" t="s">
        <v>4752</v>
      </c>
      <c r="D413" s="12" t="s">
        <v>4723</v>
      </c>
      <c r="E413" s="12" t="s">
        <v>4752</v>
      </c>
      <c r="K413" s="12">
        <v>412</v>
      </c>
      <c r="L413" s="12">
        <v>126</v>
      </c>
    </row>
    <row r="414" spans="1:12">
      <c r="A414" s="12" t="s">
        <v>5364</v>
      </c>
      <c r="B414" s="12" t="s">
        <v>4723</v>
      </c>
      <c r="C414" s="12" t="s">
        <v>4799</v>
      </c>
      <c r="D414" s="12" t="s">
        <v>4723</v>
      </c>
      <c r="E414" s="12" t="s">
        <v>4799</v>
      </c>
      <c r="K414" s="12">
        <v>413</v>
      </c>
      <c r="L414" s="12">
        <v>127</v>
      </c>
    </row>
    <row r="415" spans="1:12">
      <c r="A415" s="12" t="s">
        <v>5365</v>
      </c>
      <c r="B415" s="12" t="s">
        <v>4723</v>
      </c>
      <c r="C415" s="12" t="s">
        <v>4800</v>
      </c>
      <c r="D415" s="12" t="s">
        <v>4723</v>
      </c>
      <c r="E415" s="12" t="s">
        <v>4800</v>
      </c>
      <c r="K415" s="12">
        <v>414</v>
      </c>
      <c r="L415" s="12">
        <v>128</v>
      </c>
    </row>
    <row r="416" spans="1:12">
      <c r="A416" s="12" t="s">
        <v>5366</v>
      </c>
      <c r="B416" s="12" t="s">
        <v>4723</v>
      </c>
      <c r="C416" s="12" t="s">
        <v>4801</v>
      </c>
      <c r="D416" s="12" t="s">
        <v>4723</v>
      </c>
      <c r="E416" s="12" t="s">
        <v>4801</v>
      </c>
      <c r="K416" s="12">
        <v>415</v>
      </c>
      <c r="L416" s="12">
        <v>129</v>
      </c>
    </row>
    <row r="417" spans="1:12">
      <c r="A417" s="12" t="s">
        <v>5367</v>
      </c>
      <c r="B417" s="12" t="s">
        <v>4723</v>
      </c>
      <c r="C417" s="12" t="s">
        <v>4802</v>
      </c>
      <c r="D417" s="12" t="s">
        <v>4723</v>
      </c>
      <c r="E417" s="12" t="s">
        <v>4802</v>
      </c>
      <c r="K417" s="12">
        <v>416</v>
      </c>
      <c r="L417" s="12">
        <v>130</v>
      </c>
    </row>
    <row r="418" spans="1:12">
      <c r="A418" s="12" t="s">
        <v>5368</v>
      </c>
      <c r="B418" s="12" t="s">
        <v>4723</v>
      </c>
      <c r="C418" s="12" t="s">
        <v>4803</v>
      </c>
      <c r="D418" s="12" t="s">
        <v>4723</v>
      </c>
      <c r="E418" s="12" t="s">
        <v>4803</v>
      </c>
      <c r="K418" s="12">
        <v>417</v>
      </c>
      <c r="L418" s="12">
        <v>131</v>
      </c>
    </row>
    <row r="419" spans="1:12">
      <c r="A419" s="12" t="s">
        <v>5369</v>
      </c>
      <c r="B419" s="12" t="s">
        <v>4723</v>
      </c>
      <c r="C419" s="12" t="s">
        <v>4804</v>
      </c>
      <c r="D419" s="12" t="s">
        <v>4723</v>
      </c>
      <c r="E419" s="12" t="s">
        <v>4804</v>
      </c>
      <c r="K419" s="12">
        <v>418</v>
      </c>
      <c r="L419" s="12">
        <v>132</v>
      </c>
    </row>
    <row r="420" spans="1:12">
      <c r="A420" s="12" t="s">
        <v>5370</v>
      </c>
      <c r="B420" s="12" t="s">
        <v>4723</v>
      </c>
      <c r="C420" s="12" t="s">
        <v>4872</v>
      </c>
      <c r="D420" s="12" t="s">
        <v>4723</v>
      </c>
      <c r="E420" s="12" t="s">
        <v>4872</v>
      </c>
      <c r="K420" s="12">
        <v>419</v>
      </c>
      <c r="L420" s="12">
        <v>133</v>
      </c>
    </row>
    <row r="421" spans="1:12">
      <c r="A421" s="12" t="s">
        <v>5371</v>
      </c>
      <c r="B421" s="12" t="s">
        <v>4723</v>
      </c>
      <c r="C421" s="12" t="s">
        <v>4873</v>
      </c>
      <c r="D421" s="12" t="s">
        <v>4723</v>
      </c>
      <c r="E421" s="12" t="s">
        <v>4873</v>
      </c>
      <c r="K421" s="12">
        <v>420</v>
      </c>
      <c r="L421" s="12">
        <v>134</v>
      </c>
    </row>
    <row r="422" spans="1:12">
      <c r="A422" s="12" t="s">
        <v>5372</v>
      </c>
      <c r="B422" s="12" t="s">
        <v>4723</v>
      </c>
      <c r="C422" s="12" t="s">
        <v>4874</v>
      </c>
      <c r="D422" s="12" t="s">
        <v>4723</v>
      </c>
      <c r="E422" s="12" t="s">
        <v>4874</v>
      </c>
      <c r="K422" s="12">
        <v>421</v>
      </c>
      <c r="L422" s="12">
        <v>135</v>
      </c>
    </row>
    <row r="423" spans="1:12">
      <c r="A423" s="12" t="s">
        <v>5373</v>
      </c>
      <c r="B423" s="12" t="s">
        <v>4723</v>
      </c>
      <c r="C423" s="12" t="s">
        <v>4875</v>
      </c>
      <c r="D423" s="12" t="s">
        <v>4723</v>
      </c>
      <c r="E423" s="12" t="s">
        <v>4875</v>
      </c>
      <c r="K423" s="12">
        <v>422</v>
      </c>
      <c r="L423" s="12">
        <v>136</v>
      </c>
    </row>
    <row r="424" spans="1:12">
      <c r="A424" s="12" t="s">
        <v>5374</v>
      </c>
      <c r="B424" s="12" t="s">
        <v>4723</v>
      </c>
      <c r="C424" s="12" t="s">
        <v>4753</v>
      </c>
      <c r="D424" s="12" t="s">
        <v>4723</v>
      </c>
      <c r="E424" s="12" t="s">
        <v>4753</v>
      </c>
      <c r="K424" s="12">
        <v>423</v>
      </c>
      <c r="L424" s="12">
        <v>137</v>
      </c>
    </row>
    <row r="425" spans="1:12">
      <c r="A425" s="12" t="s">
        <v>5375</v>
      </c>
      <c r="B425" s="12" t="s">
        <v>4723</v>
      </c>
      <c r="C425" s="12" t="s">
        <v>4754</v>
      </c>
      <c r="D425" s="12" t="s">
        <v>4723</v>
      </c>
      <c r="E425" s="12" t="s">
        <v>4754</v>
      </c>
      <c r="K425" s="12">
        <v>424</v>
      </c>
      <c r="L425" s="12">
        <v>138</v>
      </c>
    </row>
    <row r="426" spans="1:12">
      <c r="A426" s="12" t="s">
        <v>5376</v>
      </c>
      <c r="B426" s="12" t="s">
        <v>4723</v>
      </c>
      <c r="C426" s="12" t="s">
        <v>4755</v>
      </c>
      <c r="D426" s="12" t="s">
        <v>4723</v>
      </c>
      <c r="E426" s="12" t="s">
        <v>4755</v>
      </c>
      <c r="K426" s="12">
        <v>425</v>
      </c>
      <c r="L426" s="12">
        <v>139</v>
      </c>
    </row>
    <row r="427" spans="1:12">
      <c r="A427" s="12" t="s">
        <v>5377</v>
      </c>
      <c r="B427" s="12" t="s">
        <v>4723</v>
      </c>
      <c r="C427" s="12" t="s">
        <v>4756</v>
      </c>
      <c r="D427" s="12" t="s">
        <v>4723</v>
      </c>
      <c r="E427" s="12" t="s">
        <v>4756</v>
      </c>
      <c r="K427" s="12">
        <v>426</v>
      </c>
      <c r="L427" s="12">
        <v>140</v>
      </c>
    </row>
    <row r="428" spans="1:12">
      <c r="A428" s="12" t="s">
        <v>5378</v>
      </c>
      <c r="B428" s="12" t="s">
        <v>4723</v>
      </c>
      <c r="C428" s="12" t="s">
        <v>4757</v>
      </c>
      <c r="D428" s="12" t="s">
        <v>4723</v>
      </c>
      <c r="E428" s="12" t="s">
        <v>4757</v>
      </c>
      <c r="K428" s="12">
        <v>427</v>
      </c>
      <c r="L428" s="12">
        <v>141</v>
      </c>
    </row>
    <row r="429" spans="1:12">
      <c r="A429" s="12" t="s">
        <v>5379</v>
      </c>
      <c r="B429" s="12" t="s">
        <v>4723</v>
      </c>
      <c r="C429" s="12" t="s">
        <v>4758</v>
      </c>
      <c r="D429" s="12" t="s">
        <v>4723</v>
      </c>
      <c r="E429" s="12" t="s">
        <v>4758</v>
      </c>
      <c r="K429" s="12">
        <v>428</v>
      </c>
      <c r="L429" s="12">
        <v>142</v>
      </c>
    </row>
    <row r="430" spans="1:12">
      <c r="A430" s="12" t="s">
        <v>5380</v>
      </c>
      <c r="B430" s="12" t="s">
        <v>4723</v>
      </c>
      <c r="C430" s="12" t="s">
        <v>4759</v>
      </c>
      <c r="D430" s="12" t="s">
        <v>4723</v>
      </c>
      <c r="E430" s="12" t="s">
        <v>4759</v>
      </c>
      <c r="K430" s="12">
        <v>429</v>
      </c>
      <c r="L430" s="12">
        <v>143</v>
      </c>
    </row>
    <row r="431" spans="1:12">
      <c r="A431" s="12" t="s">
        <v>5381</v>
      </c>
      <c r="B431" s="12" t="s">
        <v>4723</v>
      </c>
      <c r="C431" s="12" t="s">
        <v>4805</v>
      </c>
      <c r="D431" s="12" t="s">
        <v>4723</v>
      </c>
      <c r="E431" s="12" t="s">
        <v>4805</v>
      </c>
      <c r="K431" s="12">
        <v>430</v>
      </c>
      <c r="L431" s="12">
        <v>144</v>
      </c>
    </row>
    <row r="432" spans="1:12">
      <c r="A432" s="12" t="s">
        <v>5382</v>
      </c>
      <c r="B432" s="12" t="s">
        <v>4723</v>
      </c>
      <c r="C432" s="12" t="s">
        <v>4806</v>
      </c>
      <c r="D432" s="12" t="s">
        <v>4723</v>
      </c>
      <c r="E432" s="12" t="s">
        <v>4806</v>
      </c>
      <c r="K432" s="12">
        <v>431</v>
      </c>
      <c r="L432" s="12">
        <v>145</v>
      </c>
    </row>
    <row r="433" spans="1:12">
      <c r="A433" s="12" t="s">
        <v>5383</v>
      </c>
      <c r="B433" s="12" t="s">
        <v>4723</v>
      </c>
      <c r="C433" s="12" t="s">
        <v>4807</v>
      </c>
      <c r="D433" s="12" t="s">
        <v>4723</v>
      </c>
      <c r="E433" s="12" t="s">
        <v>4807</v>
      </c>
      <c r="K433" s="12">
        <v>432</v>
      </c>
      <c r="L433" s="12">
        <v>146</v>
      </c>
    </row>
    <row r="434" spans="1:12">
      <c r="A434" s="12" t="s">
        <v>5384</v>
      </c>
      <c r="B434" s="12" t="s">
        <v>4723</v>
      </c>
      <c r="C434" s="12" t="s">
        <v>4808</v>
      </c>
      <c r="D434" s="12" t="s">
        <v>4723</v>
      </c>
      <c r="E434" s="12" t="s">
        <v>4808</v>
      </c>
      <c r="K434" s="12">
        <v>433</v>
      </c>
      <c r="L434" s="12">
        <v>147</v>
      </c>
    </row>
    <row r="435" spans="1:12">
      <c r="A435" s="12" t="s">
        <v>5385</v>
      </c>
      <c r="B435" s="12" t="s">
        <v>4723</v>
      </c>
      <c r="C435" s="12" t="s">
        <v>4809</v>
      </c>
      <c r="D435" s="12" t="s">
        <v>4723</v>
      </c>
      <c r="E435" s="12" t="s">
        <v>4809</v>
      </c>
      <c r="K435" s="12">
        <v>434</v>
      </c>
      <c r="L435" s="12">
        <v>148</v>
      </c>
    </row>
    <row r="436" spans="1:12">
      <c r="A436" s="12" t="s">
        <v>5386</v>
      </c>
      <c r="B436" s="12" t="s">
        <v>4723</v>
      </c>
      <c r="C436" s="12" t="s">
        <v>4810</v>
      </c>
      <c r="D436" s="12" t="s">
        <v>4723</v>
      </c>
      <c r="E436" s="12" t="s">
        <v>4810</v>
      </c>
      <c r="K436" s="12">
        <v>435</v>
      </c>
      <c r="L436" s="12">
        <v>149</v>
      </c>
    </row>
    <row r="437" spans="1:12">
      <c r="A437" s="12" t="s">
        <v>5387</v>
      </c>
      <c r="B437" s="12" t="s">
        <v>4723</v>
      </c>
      <c r="C437" s="12" t="s">
        <v>4876</v>
      </c>
      <c r="D437" s="12" t="s">
        <v>4723</v>
      </c>
      <c r="E437" s="12" t="s">
        <v>4876</v>
      </c>
      <c r="K437" s="12">
        <v>436</v>
      </c>
      <c r="L437" s="12">
        <v>150</v>
      </c>
    </row>
    <row r="438" spans="1:12">
      <c r="A438" s="12" t="s">
        <v>5388</v>
      </c>
      <c r="B438" s="12" t="s">
        <v>4723</v>
      </c>
      <c r="C438" s="12" t="s">
        <v>4877</v>
      </c>
      <c r="D438" s="12" t="s">
        <v>4723</v>
      </c>
      <c r="E438" s="12" t="s">
        <v>4877</v>
      </c>
      <c r="K438" s="12">
        <v>437</v>
      </c>
      <c r="L438" s="12">
        <v>151</v>
      </c>
    </row>
    <row r="439" spans="1:12">
      <c r="A439" s="12" t="s">
        <v>5389</v>
      </c>
      <c r="B439" s="12" t="s">
        <v>4723</v>
      </c>
      <c r="C439" s="12" t="s">
        <v>4878</v>
      </c>
      <c r="D439" s="12" t="s">
        <v>4723</v>
      </c>
      <c r="E439" s="12" t="s">
        <v>4878</v>
      </c>
      <c r="K439" s="12">
        <v>438</v>
      </c>
      <c r="L439" s="12">
        <v>152</v>
      </c>
    </row>
    <row r="440" spans="1:12">
      <c r="A440" s="12" t="s">
        <v>5390</v>
      </c>
      <c r="B440" s="12" t="s">
        <v>4723</v>
      </c>
      <c r="C440" s="12" t="s">
        <v>4879</v>
      </c>
      <c r="D440" s="12" t="s">
        <v>4723</v>
      </c>
      <c r="E440" s="12" t="s">
        <v>4879</v>
      </c>
      <c r="K440" s="12">
        <v>439</v>
      </c>
      <c r="L440" s="12">
        <v>153</v>
      </c>
    </row>
    <row r="441" spans="1:12">
      <c r="A441" s="12" t="s">
        <v>5391</v>
      </c>
      <c r="B441" s="12" t="s">
        <v>4723</v>
      </c>
      <c r="C441" s="12" t="s">
        <v>4760</v>
      </c>
      <c r="D441" s="12" t="s">
        <v>4723</v>
      </c>
      <c r="E441" s="12" t="s">
        <v>4760</v>
      </c>
      <c r="K441" s="12">
        <v>440</v>
      </c>
      <c r="L441" s="12">
        <v>154</v>
      </c>
    </row>
    <row r="442" spans="1:12">
      <c r="A442" s="12" t="s">
        <v>5392</v>
      </c>
      <c r="B442" s="12" t="s">
        <v>4723</v>
      </c>
      <c r="C442" s="12" t="s">
        <v>4761</v>
      </c>
      <c r="D442" s="12" t="s">
        <v>4723</v>
      </c>
      <c r="E442" s="12" t="s">
        <v>4761</v>
      </c>
      <c r="K442" s="12">
        <v>441</v>
      </c>
      <c r="L442" s="12">
        <v>155</v>
      </c>
    </row>
    <row r="443" spans="1:12">
      <c r="A443" s="12" t="s">
        <v>5393</v>
      </c>
      <c r="B443" s="12" t="s">
        <v>4723</v>
      </c>
      <c r="C443" s="12" t="s">
        <v>4762</v>
      </c>
      <c r="D443" s="12" t="s">
        <v>4723</v>
      </c>
      <c r="E443" s="12" t="s">
        <v>4762</v>
      </c>
      <c r="K443" s="12">
        <v>442</v>
      </c>
      <c r="L443" s="12">
        <v>156</v>
      </c>
    </row>
    <row r="444" spans="1:12">
      <c r="A444" s="12" t="s">
        <v>5394</v>
      </c>
      <c r="B444" s="12" t="s">
        <v>4723</v>
      </c>
      <c r="C444" s="12" t="s">
        <v>4763</v>
      </c>
      <c r="D444" s="12" t="s">
        <v>4723</v>
      </c>
      <c r="E444" s="12" t="s">
        <v>4763</v>
      </c>
      <c r="K444" s="12">
        <v>443</v>
      </c>
      <c r="L444" s="12">
        <v>157</v>
      </c>
    </row>
    <row r="445" spans="1:12">
      <c r="A445" s="12" t="s">
        <v>5395</v>
      </c>
      <c r="B445" s="12" t="s">
        <v>4723</v>
      </c>
      <c r="C445" s="12" t="s">
        <v>4764</v>
      </c>
      <c r="D445" s="12" t="s">
        <v>4723</v>
      </c>
      <c r="E445" s="12" t="s">
        <v>4764</v>
      </c>
      <c r="K445" s="12">
        <v>444</v>
      </c>
      <c r="L445" s="12">
        <v>158</v>
      </c>
    </row>
    <row r="446" spans="1:12">
      <c r="A446" s="12" t="s">
        <v>5396</v>
      </c>
      <c r="B446" s="12" t="s">
        <v>4723</v>
      </c>
      <c r="C446" s="12" t="s">
        <v>4765</v>
      </c>
      <c r="D446" s="12" t="s">
        <v>4723</v>
      </c>
      <c r="E446" s="12" t="s">
        <v>4765</v>
      </c>
      <c r="K446" s="12">
        <v>445</v>
      </c>
      <c r="L446" s="12">
        <v>159</v>
      </c>
    </row>
    <row r="447" spans="1:12">
      <c r="A447" s="12" t="s">
        <v>5397</v>
      </c>
      <c r="B447" s="12" t="s">
        <v>4723</v>
      </c>
      <c r="C447" s="12" t="s">
        <v>4766</v>
      </c>
      <c r="D447" s="12" t="s">
        <v>4723</v>
      </c>
      <c r="E447" s="12" t="s">
        <v>4766</v>
      </c>
      <c r="K447" s="12">
        <v>446</v>
      </c>
      <c r="L447" s="12">
        <v>160</v>
      </c>
    </row>
    <row r="448" spans="1:12">
      <c r="A448" s="12" t="s">
        <v>5398</v>
      </c>
      <c r="B448" s="12" t="s">
        <v>4723</v>
      </c>
      <c r="C448" s="12" t="s">
        <v>4811</v>
      </c>
      <c r="D448" s="12" t="s">
        <v>4723</v>
      </c>
      <c r="E448" s="12" t="s">
        <v>4811</v>
      </c>
      <c r="K448" s="12">
        <v>447</v>
      </c>
      <c r="L448" s="12">
        <v>161</v>
      </c>
    </row>
    <row r="449" spans="1:12">
      <c r="A449" s="12" t="s">
        <v>5399</v>
      </c>
      <c r="B449" s="12" t="s">
        <v>4723</v>
      </c>
      <c r="C449" s="12" t="s">
        <v>4812</v>
      </c>
      <c r="D449" s="12" t="s">
        <v>4723</v>
      </c>
      <c r="E449" s="12" t="s">
        <v>4812</v>
      </c>
      <c r="K449" s="12">
        <v>448</v>
      </c>
      <c r="L449" s="12">
        <v>162</v>
      </c>
    </row>
    <row r="450" spans="1:12">
      <c r="A450" s="12" t="s">
        <v>5400</v>
      </c>
      <c r="B450" s="12" t="s">
        <v>4723</v>
      </c>
      <c r="C450" s="12" t="s">
        <v>4813</v>
      </c>
      <c r="D450" s="12" t="s">
        <v>4723</v>
      </c>
      <c r="E450" s="12" t="s">
        <v>4813</v>
      </c>
      <c r="K450" s="12">
        <v>449</v>
      </c>
      <c r="L450" s="12">
        <v>163</v>
      </c>
    </row>
    <row r="451" spans="1:12">
      <c r="A451" s="12" t="s">
        <v>5401</v>
      </c>
      <c r="B451" s="12" t="s">
        <v>4723</v>
      </c>
      <c r="C451" s="12" t="s">
        <v>4814</v>
      </c>
      <c r="D451" s="12" t="s">
        <v>4723</v>
      </c>
      <c r="E451" s="12" t="s">
        <v>4814</v>
      </c>
      <c r="K451" s="12">
        <v>450</v>
      </c>
      <c r="L451" s="12">
        <v>164</v>
      </c>
    </row>
    <row r="452" spans="1:12">
      <c r="A452" s="12" t="s">
        <v>5402</v>
      </c>
      <c r="B452" s="12" t="s">
        <v>4723</v>
      </c>
      <c r="C452" s="12" t="s">
        <v>4815</v>
      </c>
      <c r="D452" s="12" t="s">
        <v>4723</v>
      </c>
      <c r="E452" s="12" t="s">
        <v>4815</v>
      </c>
      <c r="K452" s="12">
        <v>451</v>
      </c>
      <c r="L452" s="12">
        <v>165</v>
      </c>
    </row>
    <row r="453" spans="1:12">
      <c r="A453" s="12" t="s">
        <v>5403</v>
      </c>
      <c r="B453" s="12" t="s">
        <v>4723</v>
      </c>
      <c r="C453" s="12" t="s">
        <v>4816</v>
      </c>
      <c r="D453" s="12" t="s">
        <v>4723</v>
      </c>
      <c r="E453" s="12" t="s">
        <v>4816</v>
      </c>
      <c r="K453" s="12">
        <v>452</v>
      </c>
      <c r="L453" s="12">
        <v>166</v>
      </c>
    </row>
    <row r="454" spans="1:12">
      <c r="A454" s="12" t="s">
        <v>5404</v>
      </c>
      <c r="B454" s="12" t="s">
        <v>4723</v>
      </c>
      <c r="C454" s="12" t="s">
        <v>4880</v>
      </c>
      <c r="D454" s="12" t="s">
        <v>4723</v>
      </c>
      <c r="E454" s="12" t="s">
        <v>4880</v>
      </c>
      <c r="K454" s="12">
        <v>453</v>
      </c>
      <c r="L454" s="12">
        <v>167</v>
      </c>
    </row>
    <row r="455" spans="1:12">
      <c r="A455" s="12" t="s">
        <v>5405</v>
      </c>
      <c r="B455" s="12" t="s">
        <v>4723</v>
      </c>
      <c r="C455" s="12" t="s">
        <v>4881</v>
      </c>
      <c r="D455" s="12" t="s">
        <v>4723</v>
      </c>
      <c r="E455" s="12" t="s">
        <v>4881</v>
      </c>
      <c r="K455" s="12">
        <v>454</v>
      </c>
      <c r="L455" s="12">
        <v>168</v>
      </c>
    </row>
    <row r="456" spans="1:12">
      <c r="A456" s="12" t="s">
        <v>5406</v>
      </c>
      <c r="B456" s="12" t="s">
        <v>4723</v>
      </c>
      <c r="C456" s="12" t="s">
        <v>4882</v>
      </c>
      <c r="D456" s="12" t="s">
        <v>4723</v>
      </c>
      <c r="E456" s="12" t="s">
        <v>4882</v>
      </c>
      <c r="K456" s="12">
        <v>455</v>
      </c>
      <c r="L456" s="12">
        <v>169</v>
      </c>
    </row>
    <row r="457" spans="1:12">
      <c r="A457" s="12" t="s">
        <v>5407</v>
      </c>
      <c r="B457" s="12" t="s">
        <v>4723</v>
      </c>
      <c r="C457" s="12" t="s">
        <v>4883</v>
      </c>
      <c r="D457" s="12" t="s">
        <v>4723</v>
      </c>
      <c r="E457" s="12" t="s">
        <v>4883</v>
      </c>
      <c r="K457" s="12">
        <v>456</v>
      </c>
      <c r="L457" s="12">
        <v>170</v>
      </c>
    </row>
    <row r="458" spans="1:12">
      <c r="A458" s="12" t="s">
        <v>5408</v>
      </c>
      <c r="B458" s="12" t="s">
        <v>4723</v>
      </c>
      <c r="C458" s="12" t="s">
        <v>4767</v>
      </c>
      <c r="D458" s="12" t="s">
        <v>4723</v>
      </c>
      <c r="E458" s="12" t="s">
        <v>4767</v>
      </c>
      <c r="K458" s="12">
        <v>457</v>
      </c>
      <c r="L458" s="12">
        <v>171</v>
      </c>
    </row>
    <row r="459" spans="1:12">
      <c r="A459" s="12" t="s">
        <v>5409</v>
      </c>
      <c r="B459" s="12" t="s">
        <v>4723</v>
      </c>
      <c r="C459" s="12" t="s">
        <v>4768</v>
      </c>
      <c r="D459" s="12" t="s">
        <v>4723</v>
      </c>
      <c r="E459" s="12" t="s">
        <v>4768</v>
      </c>
      <c r="K459" s="12">
        <v>458</v>
      </c>
      <c r="L459" s="12">
        <v>172</v>
      </c>
    </row>
    <row r="460" spans="1:12">
      <c r="A460" s="12" t="s">
        <v>5410</v>
      </c>
      <c r="B460" s="12" t="s">
        <v>4723</v>
      </c>
      <c r="C460" s="12" t="s">
        <v>4769</v>
      </c>
      <c r="D460" s="12" t="s">
        <v>4723</v>
      </c>
      <c r="E460" s="12" t="s">
        <v>4769</v>
      </c>
      <c r="K460" s="12">
        <v>459</v>
      </c>
      <c r="L460" s="12">
        <v>173</v>
      </c>
    </row>
    <row r="461" spans="1:12">
      <c r="A461" s="12" t="s">
        <v>5411</v>
      </c>
      <c r="B461" s="12" t="s">
        <v>4723</v>
      </c>
      <c r="C461" s="12" t="s">
        <v>4770</v>
      </c>
      <c r="D461" s="12" t="s">
        <v>4723</v>
      </c>
      <c r="E461" s="12" t="s">
        <v>4770</v>
      </c>
      <c r="K461" s="12">
        <v>460</v>
      </c>
      <c r="L461" s="12">
        <v>174</v>
      </c>
    </row>
    <row r="462" spans="1:12">
      <c r="A462" s="12" t="s">
        <v>5412</v>
      </c>
      <c r="B462" s="12" t="s">
        <v>4723</v>
      </c>
      <c r="C462" s="12" t="s">
        <v>4771</v>
      </c>
      <c r="D462" s="12" t="s">
        <v>4723</v>
      </c>
      <c r="E462" s="12" t="s">
        <v>4771</v>
      </c>
      <c r="K462" s="12">
        <v>461</v>
      </c>
      <c r="L462" s="12">
        <v>175</v>
      </c>
    </row>
    <row r="463" spans="1:12">
      <c r="A463" s="12" t="s">
        <v>5413</v>
      </c>
      <c r="B463" s="12" t="s">
        <v>4723</v>
      </c>
      <c r="C463" s="12" t="s">
        <v>4772</v>
      </c>
      <c r="D463" s="12" t="s">
        <v>4723</v>
      </c>
      <c r="E463" s="12" t="s">
        <v>4772</v>
      </c>
      <c r="K463" s="12">
        <v>462</v>
      </c>
      <c r="L463" s="12">
        <v>176</v>
      </c>
    </row>
    <row r="464" spans="1:12">
      <c r="A464" s="12" t="s">
        <v>5414</v>
      </c>
      <c r="B464" s="12" t="s">
        <v>4723</v>
      </c>
      <c r="C464" s="12" t="s">
        <v>4773</v>
      </c>
      <c r="D464" s="12" t="s">
        <v>4723</v>
      </c>
      <c r="E464" s="12" t="s">
        <v>4773</v>
      </c>
      <c r="K464" s="12">
        <v>463</v>
      </c>
      <c r="L464" s="12">
        <v>177</v>
      </c>
    </row>
    <row r="465" spans="1:12">
      <c r="A465" s="12" t="s">
        <v>5415</v>
      </c>
      <c r="B465" s="12" t="s">
        <v>4723</v>
      </c>
      <c r="C465" s="12" t="s">
        <v>4817</v>
      </c>
      <c r="D465" s="12" t="s">
        <v>4723</v>
      </c>
      <c r="E465" s="12" t="s">
        <v>4817</v>
      </c>
      <c r="K465" s="12">
        <v>464</v>
      </c>
      <c r="L465" s="12">
        <v>178</v>
      </c>
    </row>
    <row r="466" spans="1:12">
      <c r="A466" s="12" t="s">
        <v>5416</v>
      </c>
      <c r="B466" s="12" t="s">
        <v>4723</v>
      </c>
      <c r="C466" s="12" t="s">
        <v>4818</v>
      </c>
      <c r="D466" s="12" t="s">
        <v>4723</v>
      </c>
      <c r="E466" s="12" t="s">
        <v>4818</v>
      </c>
      <c r="K466" s="12">
        <v>465</v>
      </c>
      <c r="L466" s="12">
        <v>179</v>
      </c>
    </row>
    <row r="467" spans="1:12">
      <c r="A467" s="12" t="s">
        <v>5417</v>
      </c>
      <c r="B467" s="12" t="s">
        <v>4723</v>
      </c>
      <c r="C467" s="12" t="s">
        <v>4819</v>
      </c>
      <c r="D467" s="12" t="s">
        <v>4723</v>
      </c>
      <c r="E467" s="12" t="s">
        <v>4819</v>
      </c>
      <c r="K467" s="12">
        <v>466</v>
      </c>
      <c r="L467" s="12">
        <v>180</v>
      </c>
    </row>
    <row r="468" spans="1:12">
      <c r="A468" s="12" t="s">
        <v>5418</v>
      </c>
      <c r="B468" s="12" t="s">
        <v>4723</v>
      </c>
      <c r="C468" s="12" t="s">
        <v>4820</v>
      </c>
      <c r="D468" s="12" t="s">
        <v>4723</v>
      </c>
      <c r="E468" s="12" t="s">
        <v>4820</v>
      </c>
      <c r="K468" s="12">
        <v>467</v>
      </c>
      <c r="L468" s="12">
        <v>181</v>
      </c>
    </row>
    <row r="469" spans="1:12">
      <c r="A469" s="12" t="s">
        <v>5419</v>
      </c>
      <c r="B469" s="12" t="s">
        <v>4723</v>
      </c>
      <c r="C469" s="12" t="s">
        <v>4821</v>
      </c>
      <c r="D469" s="12" t="s">
        <v>4723</v>
      </c>
      <c r="E469" s="12" t="s">
        <v>4821</v>
      </c>
      <c r="K469" s="12">
        <v>468</v>
      </c>
      <c r="L469" s="12">
        <v>182</v>
      </c>
    </row>
    <row r="470" spans="1:12">
      <c r="A470" s="12" t="s">
        <v>5420</v>
      </c>
      <c r="B470" s="12" t="s">
        <v>4723</v>
      </c>
      <c r="C470" s="12" t="s">
        <v>4822</v>
      </c>
      <c r="D470" s="12" t="s">
        <v>4723</v>
      </c>
      <c r="E470" s="12" t="s">
        <v>4822</v>
      </c>
      <c r="K470" s="12">
        <v>469</v>
      </c>
      <c r="L470" s="12">
        <v>183</v>
      </c>
    </row>
    <row r="471" spans="1:12">
      <c r="A471" s="12" t="s">
        <v>5421</v>
      </c>
      <c r="B471" s="12" t="s">
        <v>4723</v>
      </c>
      <c r="C471" s="12" t="s">
        <v>4884</v>
      </c>
      <c r="D471" s="12" t="s">
        <v>4723</v>
      </c>
      <c r="E471" s="12" t="s">
        <v>4884</v>
      </c>
      <c r="K471" s="12">
        <v>470</v>
      </c>
      <c r="L471" s="12">
        <v>184</v>
      </c>
    </row>
    <row r="472" spans="1:12">
      <c r="A472" s="12" t="s">
        <v>5422</v>
      </c>
      <c r="B472" s="12" t="s">
        <v>4723</v>
      </c>
      <c r="C472" s="12" t="s">
        <v>4885</v>
      </c>
      <c r="D472" s="12" t="s">
        <v>4723</v>
      </c>
      <c r="E472" s="12" t="s">
        <v>4885</v>
      </c>
      <c r="K472" s="12">
        <v>471</v>
      </c>
      <c r="L472" s="12">
        <v>185</v>
      </c>
    </row>
    <row r="473" spans="1:12">
      <c r="A473" s="12" t="s">
        <v>5423</v>
      </c>
      <c r="B473" s="12" t="s">
        <v>4723</v>
      </c>
      <c r="C473" s="12" t="s">
        <v>4886</v>
      </c>
      <c r="D473" s="12" t="s">
        <v>4723</v>
      </c>
      <c r="E473" s="12" t="s">
        <v>4886</v>
      </c>
      <c r="K473" s="12">
        <v>472</v>
      </c>
      <c r="L473" s="12">
        <v>186</v>
      </c>
    </row>
    <row r="474" spans="1:12">
      <c r="A474" s="12" t="s">
        <v>5424</v>
      </c>
      <c r="B474" s="12" t="s">
        <v>4723</v>
      </c>
      <c r="C474" s="12" t="s">
        <v>4887</v>
      </c>
      <c r="D474" s="12" t="s">
        <v>4723</v>
      </c>
      <c r="E474" s="12" t="s">
        <v>4887</v>
      </c>
      <c r="K474" s="12">
        <v>473</v>
      </c>
      <c r="L474" s="12">
        <v>187</v>
      </c>
    </row>
    <row r="475" spans="1:12">
      <c r="A475" s="12" t="s">
        <v>5425</v>
      </c>
      <c r="B475" s="12" t="s">
        <v>4723</v>
      </c>
      <c r="C475" s="12" t="s">
        <v>4774</v>
      </c>
      <c r="D475" s="12" t="s">
        <v>4723</v>
      </c>
      <c r="E475" s="12" t="s">
        <v>4774</v>
      </c>
      <c r="K475" s="12">
        <v>474</v>
      </c>
      <c r="L475" s="12">
        <v>188</v>
      </c>
    </row>
    <row r="476" spans="1:12">
      <c r="A476" s="12" t="s">
        <v>5426</v>
      </c>
      <c r="B476" s="12" t="s">
        <v>4723</v>
      </c>
      <c r="C476" s="12" t="s">
        <v>4775</v>
      </c>
      <c r="D476" s="12" t="s">
        <v>4723</v>
      </c>
      <c r="E476" s="12" t="s">
        <v>4775</v>
      </c>
      <c r="K476" s="12">
        <v>475</v>
      </c>
      <c r="L476" s="12">
        <v>189</v>
      </c>
    </row>
    <row r="477" spans="1:12">
      <c r="A477" s="12" t="s">
        <v>5427</v>
      </c>
      <c r="B477" s="12" t="s">
        <v>4723</v>
      </c>
      <c r="C477" s="12" t="s">
        <v>4776</v>
      </c>
      <c r="D477" s="12" t="s">
        <v>4723</v>
      </c>
      <c r="E477" s="12" t="s">
        <v>4776</v>
      </c>
      <c r="K477" s="12">
        <v>476</v>
      </c>
      <c r="L477" s="12">
        <v>190</v>
      </c>
    </row>
    <row r="478" spans="1:12">
      <c r="A478" s="12" t="s">
        <v>5428</v>
      </c>
      <c r="B478" s="12" t="s">
        <v>4723</v>
      </c>
      <c r="C478" s="12" t="s">
        <v>4777</v>
      </c>
      <c r="D478" s="12" t="s">
        <v>4723</v>
      </c>
      <c r="E478" s="12" t="s">
        <v>4777</v>
      </c>
      <c r="K478" s="12">
        <v>477</v>
      </c>
      <c r="L478" s="12">
        <v>191</v>
      </c>
    </row>
    <row r="479" spans="1:12">
      <c r="A479" s="12" t="s">
        <v>5429</v>
      </c>
      <c r="B479" s="12" t="s">
        <v>4723</v>
      </c>
      <c r="C479" s="12" t="s">
        <v>4778</v>
      </c>
      <c r="D479" s="12" t="s">
        <v>4723</v>
      </c>
      <c r="E479" s="12" t="s">
        <v>4778</v>
      </c>
      <c r="K479" s="12">
        <v>478</v>
      </c>
      <c r="L479" s="12">
        <v>192</v>
      </c>
    </row>
    <row r="480" spans="1:12">
      <c r="A480" s="12" t="s">
        <v>5430</v>
      </c>
      <c r="B480" s="12" t="s">
        <v>4723</v>
      </c>
      <c r="C480" s="12" t="s">
        <v>4779</v>
      </c>
      <c r="D480" s="12" t="s">
        <v>4723</v>
      </c>
      <c r="E480" s="12" t="s">
        <v>4779</v>
      </c>
      <c r="K480" s="12">
        <v>479</v>
      </c>
      <c r="L480" s="12">
        <v>193</v>
      </c>
    </row>
    <row r="481" spans="1:12">
      <c r="A481" s="12" t="s">
        <v>5431</v>
      </c>
      <c r="B481" s="12" t="s">
        <v>4723</v>
      </c>
      <c r="C481" s="12" t="s">
        <v>4780</v>
      </c>
      <c r="D481" s="12" t="s">
        <v>4723</v>
      </c>
      <c r="E481" s="12" t="s">
        <v>4780</v>
      </c>
      <c r="K481" s="12">
        <v>480</v>
      </c>
      <c r="L481" s="12">
        <v>194</v>
      </c>
    </row>
    <row r="482" spans="1:12">
      <c r="A482" s="12" t="s">
        <v>5432</v>
      </c>
      <c r="B482" s="12" t="s">
        <v>4723</v>
      </c>
      <c r="C482" s="12" t="s">
        <v>4823</v>
      </c>
      <c r="D482" s="12" t="s">
        <v>4723</v>
      </c>
      <c r="E482" s="12" t="s">
        <v>4823</v>
      </c>
      <c r="K482" s="12">
        <v>481</v>
      </c>
      <c r="L482" s="12">
        <v>195</v>
      </c>
    </row>
    <row r="483" spans="1:12">
      <c r="A483" s="12" t="s">
        <v>5433</v>
      </c>
      <c r="B483" s="12" t="s">
        <v>4723</v>
      </c>
      <c r="C483" s="12" t="s">
        <v>4824</v>
      </c>
      <c r="D483" s="12" t="s">
        <v>4723</v>
      </c>
      <c r="E483" s="12" t="s">
        <v>4824</v>
      </c>
      <c r="K483" s="12">
        <v>482</v>
      </c>
      <c r="L483" s="12">
        <v>196</v>
      </c>
    </row>
    <row r="484" spans="1:12">
      <c r="A484" s="12" t="s">
        <v>5434</v>
      </c>
      <c r="B484" s="12" t="s">
        <v>4723</v>
      </c>
      <c r="C484" s="12" t="s">
        <v>4825</v>
      </c>
      <c r="D484" s="12" t="s">
        <v>4723</v>
      </c>
      <c r="E484" s="12" t="s">
        <v>4825</v>
      </c>
      <c r="K484" s="12">
        <v>483</v>
      </c>
      <c r="L484" s="12">
        <v>197</v>
      </c>
    </row>
    <row r="485" spans="1:12">
      <c r="A485" s="12" t="s">
        <v>5435</v>
      </c>
      <c r="B485" s="12" t="s">
        <v>4723</v>
      </c>
      <c r="C485" s="12" t="s">
        <v>4826</v>
      </c>
      <c r="D485" s="12" t="s">
        <v>4723</v>
      </c>
      <c r="E485" s="12" t="s">
        <v>4826</v>
      </c>
      <c r="K485" s="12">
        <v>484</v>
      </c>
      <c r="L485" s="12">
        <v>198</v>
      </c>
    </row>
    <row r="486" spans="1:12">
      <c r="A486" s="12" t="s">
        <v>5436</v>
      </c>
      <c r="B486" s="12" t="s">
        <v>4723</v>
      </c>
      <c r="C486" s="12" t="s">
        <v>4827</v>
      </c>
      <c r="D486" s="12" t="s">
        <v>4723</v>
      </c>
      <c r="E486" s="12" t="s">
        <v>4827</v>
      </c>
      <c r="K486" s="12">
        <v>485</v>
      </c>
      <c r="L486" s="12">
        <v>199</v>
      </c>
    </row>
    <row r="487" spans="1:12">
      <c r="A487" s="12" t="s">
        <v>5437</v>
      </c>
      <c r="B487" s="12" t="s">
        <v>4723</v>
      </c>
      <c r="C487" s="12" t="s">
        <v>4828</v>
      </c>
      <c r="D487" s="12" t="s">
        <v>4723</v>
      </c>
      <c r="E487" s="12" t="s">
        <v>4828</v>
      </c>
      <c r="K487" s="12">
        <v>486</v>
      </c>
      <c r="L487" s="12">
        <v>200</v>
      </c>
    </row>
    <row r="488" spans="1:12">
      <c r="A488" s="12" t="s">
        <v>5438</v>
      </c>
      <c r="B488" s="12" t="s">
        <v>4723</v>
      </c>
      <c r="C488" s="12" t="s">
        <v>4888</v>
      </c>
      <c r="D488" s="12" t="s">
        <v>4723</v>
      </c>
      <c r="E488" s="12" t="s">
        <v>4888</v>
      </c>
      <c r="K488" s="12">
        <v>487</v>
      </c>
      <c r="L488" s="12">
        <v>201</v>
      </c>
    </row>
    <row r="489" spans="1:12">
      <c r="A489" s="12" t="s">
        <v>5439</v>
      </c>
      <c r="B489" s="12" t="s">
        <v>4723</v>
      </c>
      <c r="C489" s="12" t="s">
        <v>4889</v>
      </c>
      <c r="D489" s="12" t="s">
        <v>4723</v>
      </c>
      <c r="E489" s="12" t="s">
        <v>4889</v>
      </c>
      <c r="K489" s="12">
        <v>488</v>
      </c>
      <c r="L489" s="12">
        <v>202</v>
      </c>
    </row>
    <row r="490" spans="1:12">
      <c r="A490" s="12" t="s">
        <v>5440</v>
      </c>
      <c r="B490" s="12" t="s">
        <v>4723</v>
      </c>
      <c r="C490" s="12" t="s">
        <v>4890</v>
      </c>
      <c r="D490" s="12" t="s">
        <v>4723</v>
      </c>
      <c r="E490" s="12" t="s">
        <v>4890</v>
      </c>
      <c r="K490" s="12">
        <v>489</v>
      </c>
      <c r="L490" s="12">
        <v>203</v>
      </c>
    </row>
    <row r="491" spans="1:12">
      <c r="A491" s="12" t="s">
        <v>5441</v>
      </c>
      <c r="B491" s="12" t="s">
        <v>4723</v>
      </c>
      <c r="C491" s="12" t="s">
        <v>4891</v>
      </c>
      <c r="D491" s="12" t="s">
        <v>4723</v>
      </c>
      <c r="E491" s="12" t="s">
        <v>4891</v>
      </c>
      <c r="K491" s="12">
        <v>490</v>
      </c>
      <c r="L491" s="12">
        <v>204</v>
      </c>
    </row>
  </sheetData>
  <sheetProtection algorithmName="SHA-512" hashValue="LPD3US7RzZZFwfwDSID/3D21PFMAOW/Cjt1fNP+TF7vsMfewAfuoNR0UbFkWVk49rv5PbWc7UzxXWNla0Dc1LA==" saltValue="Eih1RZNOfEOxs9IoBeAWfg==" spinCount="100000" sheet="1" objects="1" scenarios="1"/>
  <phoneticPr fontId="1"/>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2">
    <tabColor rgb="FF00B0F0"/>
  </sheetPr>
  <dimension ref="A1:Q72"/>
  <sheetViews>
    <sheetView showGridLines="0" view="pageBreakPreview" zoomScaleNormal="100" zoomScaleSheetLayoutView="100" workbookViewId="0">
      <pane ySplit="1" topLeftCell="A2" activePane="bottomLeft" state="frozen"/>
      <selection activeCell="E27" sqref="E27:N27"/>
      <selection pane="bottomLeft" activeCell="E8" sqref="E8"/>
    </sheetView>
  </sheetViews>
  <sheetFormatPr defaultColWidth="8.88671875" defaultRowHeight="16.2"/>
  <cols>
    <col min="1" max="1" width="3.88671875" style="12" customWidth="1"/>
    <col min="2" max="2" width="9.88671875" style="12" hidden="1" customWidth="1"/>
    <col min="3" max="3" width="16.6640625" style="12" customWidth="1"/>
    <col min="4" max="4" width="47.88671875" style="12" customWidth="1"/>
    <col min="5" max="5" width="13.6640625" style="12" customWidth="1"/>
    <col min="6" max="6" width="9" style="12" bestFit="1" customWidth="1"/>
    <col min="7" max="7" width="2.88671875" style="13" customWidth="1"/>
    <col min="8" max="8" width="9.33203125" style="49" hidden="1" customWidth="1"/>
    <col min="9" max="9" width="16.109375" style="12" hidden="1" customWidth="1"/>
    <col min="10" max="17" width="9.33203125" style="12" hidden="1" customWidth="1"/>
    <col min="18" max="21" width="9.33203125" style="12" customWidth="1"/>
    <col min="22" max="29" width="5.6640625" style="12" customWidth="1"/>
    <col min="30" max="16384" width="8.88671875" style="12"/>
  </cols>
  <sheetData>
    <row r="1" spans="1:15" ht="29.25" hidden="1" customHeight="1"/>
    <row r="2" spans="1:15" ht="24" customHeight="1"/>
    <row r="3" spans="1:15">
      <c r="A3" s="14" t="s">
        <v>4172</v>
      </c>
      <c r="B3" s="14"/>
      <c r="O3" s="21" t="s">
        <v>143</v>
      </c>
    </row>
    <row r="4" spans="1:15" ht="45" customHeight="1">
      <c r="A4" s="50" t="s">
        <v>88</v>
      </c>
      <c r="B4" s="51" t="s">
        <v>91</v>
      </c>
      <c r="C4" s="52" t="s">
        <v>89</v>
      </c>
      <c r="D4" s="52" t="s">
        <v>90</v>
      </c>
      <c r="E4" s="53" t="s">
        <v>4037</v>
      </c>
      <c r="F4" s="16" t="s">
        <v>103</v>
      </c>
      <c r="G4" s="37"/>
      <c r="I4" s="21" t="s">
        <v>131</v>
      </c>
      <c r="J4" s="21" t="s">
        <v>134</v>
      </c>
      <c r="K4" s="38" t="s">
        <v>140</v>
      </c>
      <c r="M4" s="21" t="s">
        <v>133</v>
      </c>
      <c r="N4" s="21" t="s">
        <v>134</v>
      </c>
      <c r="O4" s="22" t="s">
        <v>145</v>
      </c>
    </row>
    <row r="5" spans="1:15" ht="65.099999999999994" customHeight="1">
      <c r="A5" s="15">
        <v>1</v>
      </c>
      <c r="B5" s="23" t="s">
        <v>92</v>
      </c>
      <c r="C5" s="23" t="s">
        <v>4026</v>
      </c>
      <c r="D5" s="23" t="s">
        <v>4205</v>
      </c>
      <c r="E5" s="26"/>
      <c r="F5" s="26"/>
      <c r="G5" s="42"/>
      <c r="I5" s="27" t="s">
        <v>120</v>
      </c>
      <c r="J5" s="27">
        <f>COUNTIF($E$5:$E$34,$I5)</f>
        <v>0</v>
      </c>
      <c r="K5" s="38">
        <v>5</v>
      </c>
      <c r="M5" s="27" t="s">
        <v>135</v>
      </c>
      <c r="N5" s="27">
        <f>SUM(O5:O5)</f>
        <v>0</v>
      </c>
      <c r="O5" s="27">
        <f>COUNTIFS($E$5:$E$34,O$4,$F$5:$F$34,$M5)</f>
        <v>0</v>
      </c>
    </row>
    <row r="6" spans="1:15" ht="65.099999999999994" customHeight="1">
      <c r="A6" s="15">
        <v>2</v>
      </c>
      <c r="B6" s="23" t="s">
        <v>92</v>
      </c>
      <c r="C6" s="23" t="s">
        <v>4027</v>
      </c>
      <c r="D6" s="23" t="s">
        <v>4207</v>
      </c>
      <c r="E6" s="26"/>
      <c r="F6" s="26"/>
      <c r="G6" s="42"/>
      <c r="I6" s="27" t="s">
        <v>121</v>
      </c>
      <c r="J6" s="27">
        <f>COUNTIF($E$5:$E$34,$I6)</f>
        <v>0</v>
      </c>
      <c r="K6" s="38">
        <v>0</v>
      </c>
      <c r="M6" s="27" t="s">
        <v>136</v>
      </c>
      <c r="N6" s="27">
        <f>SUM(O6:O6)</f>
        <v>0</v>
      </c>
      <c r="O6" s="27">
        <f>COUNTIFS($E$5:$E$34,O$4,$F$5:$F$34,$M6)</f>
        <v>0</v>
      </c>
    </row>
    <row r="7" spans="1:15" ht="65.099999999999994" customHeight="1">
      <c r="A7" s="15">
        <v>3</v>
      </c>
      <c r="B7" s="23" t="s">
        <v>92</v>
      </c>
      <c r="C7" s="23" t="s">
        <v>4028</v>
      </c>
      <c r="D7" s="23" t="s">
        <v>4208</v>
      </c>
      <c r="E7" s="26"/>
      <c r="F7" s="26"/>
      <c r="G7" s="42"/>
      <c r="I7" s="27" t="s">
        <v>122</v>
      </c>
      <c r="J7" s="27">
        <f>COUNTIF($E$5:$E$34,$I7)</f>
        <v>0</v>
      </c>
      <c r="K7" s="38" t="s">
        <v>139</v>
      </c>
      <c r="M7" s="27" t="s">
        <v>137</v>
      </c>
      <c r="N7" s="27">
        <f>SUM(O7:O7)</f>
        <v>0</v>
      </c>
      <c r="O7" s="27">
        <f>COUNTIFS($E$5:$E$34,O$4,$F$5:$F$34,$M7)</f>
        <v>0</v>
      </c>
    </row>
    <row r="8" spans="1:15" ht="65.099999999999994" customHeight="1">
      <c r="A8" s="15">
        <v>4</v>
      </c>
      <c r="B8" s="23" t="s">
        <v>92</v>
      </c>
      <c r="C8" s="23" t="s">
        <v>4029</v>
      </c>
      <c r="D8" s="23" t="s">
        <v>5503</v>
      </c>
      <c r="E8" s="26"/>
      <c r="F8" s="26"/>
      <c r="G8" s="42"/>
      <c r="I8" s="27" t="s">
        <v>132</v>
      </c>
      <c r="J8" s="27">
        <f>MAX(A5:A17)</f>
        <v>13</v>
      </c>
      <c r="K8" s="38">
        <v>50</v>
      </c>
      <c r="M8" s="27" t="s">
        <v>138</v>
      </c>
      <c r="N8" s="27">
        <f>SUM(O8:O8)</f>
        <v>0</v>
      </c>
      <c r="O8" s="27">
        <f>COUNTIFS($E$5:$E$34,O$4,$F$5:$F$34,$M8)</f>
        <v>0</v>
      </c>
    </row>
    <row r="9" spans="1:15" ht="65.099999999999994" customHeight="1">
      <c r="A9" s="15">
        <v>5</v>
      </c>
      <c r="B9" s="23" t="s">
        <v>92</v>
      </c>
      <c r="C9" s="23" t="s">
        <v>5504</v>
      </c>
      <c r="D9" s="23" t="s">
        <v>5505</v>
      </c>
      <c r="E9" s="26"/>
      <c r="F9" s="26"/>
      <c r="G9" s="42"/>
      <c r="I9" s="31" t="s">
        <v>77</v>
      </c>
      <c r="J9" s="54" t="str">
        <f>IF(COUNTBLANK(E5:E17)=13,"",IFERROR(J5/(J8-J7),0))</f>
        <v/>
      </c>
      <c r="K9" s="33" t="str">
        <f>IF(J9="","",ROUNDUP($J$9*$K$8,0))</f>
        <v/>
      </c>
      <c r="M9" s="27" t="s">
        <v>132</v>
      </c>
      <c r="N9" s="27">
        <f>SUM(N5:N8)</f>
        <v>0</v>
      </c>
      <c r="O9" s="27">
        <f>SUM(O5:O8)</f>
        <v>0</v>
      </c>
    </row>
    <row r="10" spans="1:15" ht="65.099999999999994" customHeight="1">
      <c r="A10" s="15">
        <v>6</v>
      </c>
      <c r="B10" s="23" t="s">
        <v>93</v>
      </c>
      <c r="C10" s="23" t="s">
        <v>4030</v>
      </c>
      <c r="D10" s="23" t="s">
        <v>4209</v>
      </c>
      <c r="E10" s="26"/>
      <c r="F10" s="26"/>
      <c r="G10" s="42"/>
      <c r="I10" s="31" t="s">
        <v>4080</v>
      </c>
      <c r="J10" s="54" t="str">
        <f>IF(COUNTBLANK(E5:E17)=13,"",IFERROR(SUM(J5,O5,O6,O7)/(J8-J7),0))</f>
        <v/>
      </c>
      <c r="K10" s="55" t="str">
        <f>IF(J10="","",ROUNDUP($J$10*$K$8,0))</f>
        <v/>
      </c>
    </row>
    <row r="11" spans="1:15" ht="65.099999999999994" customHeight="1">
      <c r="A11" s="15">
        <v>7</v>
      </c>
      <c r="B11" s="23" t="s">
        <v>93</v>
      </c>
      <c r="C11" s="23" t="s">
        <v>4031</v>
      </c>
      <c r="D11" s="23" t="s">
        <v>5506</v>
      </c>
      <c r="E11" s="26"/>
      <c r="F11" s="26"/>
      <c r="G11" s="42"/>
      <c r="K11" s="56"/>
    </row>
    <row r="12" spans="1:15" ht="65.099999999999994" customHeight="1">
      <c r="A12" s="15">
        <v>8</v>
      </c>
      <c r="B12" s="23" t="s">
        <v>93</v>
      </c>
      <c r="C12" s="23" t="s">
        <v>5507</v>
      </c>
      <c r="D12" s="23" t="s">
        <v>5508</v>
      </c>
      <c r="E12" s="26"/>
      <c r="F12" s="26"/>
      <c r="G12" s="42"/>
    </row>
    <row r="13" spans="1:15" ht="65.099999999999994" customHeight="1">
      <c r="A13" s="15">
        <v>9</v>
      </c>
      <c r="B13" s="23" t="s">
        <v>93</v>
      </c>
      <c r="C13" s="23" t="s">
        <v>4032</v>
      </c>
      <c r="D13" s="23" t="s">
        <v>4210</v>
      </c>
      <c r="E13" s="26"/>
      <c r="F13" s="26"/>
      <c r="G13" s="42"/>
    </row>
    <row r="14" spans="1:15" ht="65.099999999999994" customHeight="1">
      <c r="A14" s="15">
        <v>10</v>
      </c>
      <c r="B14" s="23" t="s">
        <v>93</v>
      </c>
      <c r="C14" s="23" t="s">
        <v>4033</v>
      </c>
      <c r="D14" s="23" t="s">
        <v>4211</v>
      </c>
      <c r="E14" s="26"/>
      <c r="F14" s="26"/>
      <c r="G14" s="42"/>
    </row>
    <row r="15" spans="1:15" ht="65.099999999999994" customHeight="1">
      <c r="A15" s="15">
        <v>11</v>
      </c>
      <c r="B15" s="23" t="s">
        <v>93</v>
      </c>
      <c r="C15" s="23" t="s">
        <v>4034</v>
      </c>
      <c r="D15" s="23" t="s">
        <v>4212</v>
      </c>
      <c r="E15" s="26"/>
      <c r="F15" s="26"/>
      <c r="G15" s="42"/>
    </row>
    <row r="16" spans="1:15" ht="65.099999999999994" customHeight="1">
      <c r="A16" s="15">
        <v>12</v>
      </c>
      <c r="B16" s="23" t="s">
        <v>94</v>
      </c>
      <c r="C16" s="23" t="s">
        <v>4035</v>
      </c>
      <c r="D16" s="23" t="s">
        <v>4213</v>
      </c>
      <c r="E16" s="26"/>
      <c r="F16" s="26"/>
      <c r="G16" s="42"/>
    </row>
    <row r="17" spans="1:7" ht="65.099999999999994" customHeight="1">
      <c r="A17" s="15">
        <v>13</v>
      </c>
      <c r="B17" s="23" t="s">
        <v>94</v>
      </c>
      <c r="C17" s="23" t="s">
        <v>4036</v>
      </c>
      <c r="D17" s="23" t="s">
        <v>4214</v>
      </c>
      <c r="E17" s="26"/>
      <c r="F17" s="26"/>
      <c r="G17" s="42"/>
    </row>
    <row r="18" spans="1:7" ht="65.099999999999994" hidden="1" customHeight="1">
      <c r="A18" s="15">
        <v>14</v>
      </c>
      <c r="B18" s="23" t="s">
        <v>94</v>
      </c>
      <c r="C18" s="23"/>
      <c r="D18" s="23"/>
      <c r="E18" s="26"/>
      <c r="F18" s="26"/>
      <c r="G18" s="42"/>
    </row>
    <row r="19" spans="1:7" ht="65.099999999999994" hidden="1" customHeight="1">
      <c r="A19" s="15">
        <v>15</v>
      </c>
      <c r="B19" s="23" t="s">
        <v>94</v>
      </c>
      <c r="C19" s="23"/>
      <c r="D19" s="23"/>
      <c r="E19" s="26"/>
      <c r="F19" s="26"/>
      <c r="G19" s="42"/>
    </row>
    <row r="20" spans="1:7" ht="65.099999999999994" hidden="1" customHeight="1">
      <c r="A20" s="15">
        <v>16</v>
      </c>
      <c r="B20" s="23" t="s">
        <v>95</v>
      </c>
      <c r="C20" s="23"/>
      <c r="D20" s="23"/>
      <c r="E20" s="26"/>
      <c r="F20" s="26"/>
      <c r="G20" s="42"/>
    </row>
    <row r="21" spans="1:7" ht="65.099999999999994" hidden="1" customHeight="1">
      <c r="A21" s="15">
        <v>17</v>
      </c>
      <c r="B21" s="23" t="s">
        <v>95</v>
      </c>
      <c r="C21" s="23"/>
      <c r="D21" s="23"/>
      <c r="E21" s="26"/>
      <c r="F21" s="26"/>
      <c r="G21" s="42"/>
    </row>
    <row r="22" spans="1:7" ht="65.099999999999994" hidden="1" customHeight="1">
      <c r="A22" s="15">
        <v>18</v>
      </c>
      <c r="B22" s="23" t="s">
        <v>95</v>
      </c>
      <c r="C22" s="23"/>
      <c r="D22" s="23"/>
      <c r="E22" s="26"/>
      <c r="F22" s="26"/>
      <c r="G22" s="42"/>
    </row>
    <row r="23" spans="1:7" ht="65.099999999999994" hidden="1" customHeight="1">
      <c r="A23" s="15">
        <v>19</v>
      </c>
      <c r="B23" s="23" t="s">
        <v>96</v>
      </c>
      <c r="C23" s="23"/>
      <c r="D23" s="23"/>
      <c r="E23" s="26"/>
      <c r="F23" s="26"/>
      <c r="G23" s="42"/>
    </row>
    <row r="24" spans="1:7" ht="65.099999999999994" hidden="1" customHeight="1">
      <c r="A24" s="21">
        <v>20</v>
      </c>
      <c r="B24" s="35" t="s">
        <v>97</v>
      </c>
      <c r="C24" s="35"/>
      <c r="D24" s="35"/>
      <c r="E24" s="26"/>
      <c r="F24" s="26"/>
    </row>
    <row r="25" spans="1:7" ht="65.099999999999994" hidden="1" customHeight="1">
      <c r="A25" s="21">
        <v>21</v>
      </c>
      <c r="B25" s="35" t="s">
        <v>97</v>
      </c>
      <c r="C25" s="35"/>
      <c r="D25" s="35"/>
      <c r="E25" s="26"/>
      <c r="F25" s="26"/>
    </row>
    <row r="26" spans="1:7" ht="65.099999999999994" hidden="1" customHeight="1">
      <c r="A26" s="21">
        <v>22</v>
      </c>
      <c r="B26" s="35" t="s">
        <v>97</v>
      </c>
      <c r="C26" s="35"/>
      <c r="D26" s="35"/>
      <c r="E26" s="26"/>
      <c r="F26" s="26"/>
    </row>
    <row r="27" spans="1:7" ht="65.099999999999994" hidden="1" customHeight="1">
      <c r="A27" s="21">
        <v>23</v>
      </c>
      <c r="B27" s="35" t="s">
        <v>98</v>
      </c>
      <c r="C27" s="35"/>
      <c r="D27" s="35"/>
      <c r="E27" s="26"/>
      <c r="F27" s="26"/>
    </row>
    <row r="28" spans="1:7" ht="65.099999999999994" hidden="1" customHeight="1">
      <c r="A28" s="21">
        <v>24</v>
      </c>
      <c r="B28" s="35" t="s">
        <v>98</v>
      </c>
      <c r="C28" s="35"/>
      <c r="D28" s="35"/>
      <c r="E28" s="26"/>
      <c r="F28" s="26"/>
    </row>
    <row r="29" spans="1:7" ht="65.099999999999994" hidden="1" customHeight="1">
      <c r="A29" s="21">
        <v>25</v>
      </c>
      <c r="B29" s="35" t="s">
        <v>99</v>
      </c>
      <c r="C29" s="35"/>
      <c r="D29" s="35"/>
      <c r="E29" s="26"/>
      <c r="F29" s="26"/>
    </row>
    <row r="30" spans="1:7" ht="65.099999999999994" hidden="1" customHeight="1">
      <c r="A30" s="21">
        <v>26</v>
      </c>
      <c r="B30" s="35" t="s">
        <v>100</v>
      </c>
      <c r="C30" s="35"/>
      <c r="D30" s="35"/>
      <c r="E30" s="26"/>
      <c r="F30" s="26"/>
    </row>
    <row r="31" spans="1:7" ht="65.099999999999994" hidden="1" customHeight="1">
      <c r="A31" s="21">
        <v>27</v>
      </c>
      <c r="B31" s="35" t="s">
        <v>101</v>
      </c>
      <c r="C31" s="35"/>
      <c r="D31" s="35"/>
      <c r="E31" s="26"/>
      <c r="F31" s="26"/>
    </row>
    <row r="32" spans="1:7" ht="65.099999999999994" hidden="1" customHeight="1">
      <c r="A32" s="21">
        <v>28</v>
      </c>
      <c r="B32" s="35" t="s">
        <v>102</v>
      </c>
      <c r="C32" s="35"/>
      <c r="D32" s="35"/>
      <c r="E32" s="26"/>
      <c r="F32" s="26"/>
    </row>
    <row r="33" spans="1:16" ht="65.099999999999994" hidden="1" customHeight="1">
      <c r="A33" s="21">
        <v>29</v>
      </c>
      <c r="B33" s="35" t="s">
        <v>3098</v>
      </c>
      <c r="C33" s="35"/>
      <c r="D33" s="35"/>
      <c r="E33" s="26"/>
      <c r="F33" s="26"/>
    </row>
    <row r="34" spans="1:16" ht="65.099999999999994" hidden="1" customHeight="1">
      <c r="A34" s="21">
        <v>30</v>
      </c>
      <c r="B34" s="35" t="s">
        <v>3098</v>
      </c>
      <c r="C34" s="35"/>
      <c r="D34" s="35"/>
      <c r="E34" s="26"/>
      <c r="F34" s="26"/>
    </row>
    <row r="37" spans="1:16">
      <c r="A37" s="14" t="s">
        <v>4173</v>
      </c>
      <c r="B37" s="14"/>
      <c r="O37" s="641"/>
      <c r="P37" s="641"/>
    </row>
    <row r="38" spans="1:16" ht="45" customHeight="1">
      <c r="A38" s="50" t="s">
        <v>88</v>
      </c>
      <c r="B38" s="51" t="s">
        <v>91</v>
      </c>
      <c r="C38" s="52" t="s">
        <v>89</v>
      </c>
      <c r="D38" s="52" t="s">
        <v>90</v>
      </c>
      <c r="E38" s="53" t="s">
        <v>4037</v>
      </c>
      <c r="F38" s="16" t="s">
        <v>103</v>
      </c>
      <c r="G38" s="37"/>
      <c r="I38" s="21" t="s">
        <v>131</v>
      </c>
      <c r="J38" s="21" t="s">
        <v>134</v>
      </c>
      <c r="K38" s="38" t="s">
        <v>140</v>
      </c>
      <c r="M38" s="21" t="s">
        <v>103</v>
      </c>
      <c r="N38" s="21" t="s">
        <v>134</v>
      </c>
      <c r="O38" s="22" t="s">
        <v>144</v>
      </c>
      <c r="P38" s="22" t="s">
        <v>121</v>
      </c>
    </row>
    <row r="39" spans="1:16" ht="70.349999999999994" customHeight="1">
      <c r="A39" s="15">
        <v>1</v>
      </c>
      <c r="B39" s="40"/>
      <c r="C39" s="40"/>
      <c r="D39" s="23" t="str">
        <f t="shared" ref="D39:D58" si="0">IFERROR(VLOOKUP(C39,選択対策,2,0),"")</f>
        <v/>
      </c>
      <c r="E39" s="26"/>
      <c r="F39" s="26"/>
      <c r="G39" s="42"/>
      <c r="I39" s="27" t="s">
        <v>120</v>
      </c>
      <c r="J39" s="27">
        <f>COUNTIF($E$39:$E$58,$I39)</f>
        <v>0</v>
      </c>
      <c r="K39" s="38">
        <v>5</v>
      </c>
      <c r="M39" s="27" t="s">
        <v>135</v>
      </c>
      <c r="N39" s="27">
        <f>SUM(O39:P39)</f>
        <v>0</v>
      </c>
      <c r="O39" s="27">
        <f t="shared" ref="O39:P41" si="1">COUNTIFS($E$39:$E$58,O$38,$F$39:$F$58,$M39)</f>
        <v>0</v>
      </c>
      <c r="P39" s="27">
        <f t="shared" si="1"/>
        <v>0</v>
      </c>
    </row>
    <row r="40" spans="1:16" ht="70.349999999999994" customHeight="1">
      <c r="A40" s="15">
        <v>2</v>
      </c>
      <c r="B40" s="40"/>
      <c r="C40" s="40"/>
      <c r="D40" s="23" t="str">
        <f t="shared" si="0"/>
        <v/>
      </c>
      <c r="E40" s="26"/>
      <c r="F40" s="26"/>
      <c r="G40" s="42"/>
      <c r="I40" s="27" t="s">
        <v>130</v>
      </c>
      <c r="J40" s="27">
        <f>COUNTIF($E$39:$E$58,$I40)</f>
        <v>0</v>
      </c>
      <c r="K40" s="38">
        <v>3</v>
      </c>
      <c r="M40" s="27" t="s">
        <v>136</v>
      </c>
      <c r="N40" s="27">
        <f>SUM(O40:P40)</f>
        <v>0</v>
      </c>
      <c r="O40" s="27">
        <f t="shared" si="1"/>
        <v>0</v>
      </c>
      <c r="P40" s="27">
        <f t="shared" si="1"/>
        <v>0</v>
      </c>
    </row>
    <row r="41" spans="1:16" ht="70.349999999999994" customHeight="1">
      <c r="A41" s="15">
        <v>3</v>
      </c>
      <c r="B41" s="40"/>
      <c r="C41" s="40"/>
      <c r="D41" s="23" t="str">
        <f t="shared" si="0"/>
        <v/>
      </c>
      <c r="E41" s="26"/>
      <c r="F41" s="26"/>
      <c r="G41" s="42"/>
      <c r="I41" s="27" t="s">
        <v>121</v>
      </c>
      <c r="J41" s="27">
        <f>COUNTIF($E$39:$E$58,$I41)</f>
        <v>0</v>
      </c>
      <c r="K41" s="38">
        <v>0</v>
      </c>
      <c r="M41" s="27" t="s">
        <v>137</v>
      </c>
      <c r="N41" s="27">
        <f>SUM(O41:P41)</f>
        <v>0</v>
      </c>
      <c r="O41" s="27">
        <f t="shared" si="1"/>
        <v>0</v>
      </c>
      <c r="P41" s="27">
        <f t="shared" si="1"/>
        <v>0</v>
      </c>
    </row>
    <row r="42" spans="1:16" ht="70.349999999999994" customHeight="1">
      <c r="A42" s="15">
        <v>4</v>
      </c>
      <c r="B42" s="40"/>
      <c r="C42" s="40"/>
      <c r="D42" s="23" t="str">
        <f t="shared" si="0"/>
        <v/>
      </c>
      <c r="E42" s="26"/>
      <c r="F42" s="26"/>
      <c r="G42" s="42"/>
      <c r="I42" s="27" t="s">
        <v>106</v>
      </c>
      <c r="J42" s="27">
        <f>SUM(J39:J41)</f>
        <v>0</v>
      </c>
      <c r="K42" s="38">
        <v>50</v>
      </c>
    </row>
    <row r="43" spans="1:16" ht="70.349999999999994" customHeight="1">
      <c r="A43" s="15">
        <v>5</v>
      </c>
      <c r="B43" s="40"/>
      <c r="C43" s="40"/>
      <c r="D43" s="23" t="str">
        <f t="shared" si="0"/>
        <v/>
      </c>
      <c r="E43" s="26"/>
      <c r="F43" s="26"/>
      <c r="G43" s="42"/>
      <c r="I43" s="31" t="s">
        <v>141</v>
      </c>
      <c r="J43" s="33">
        <f>IF(J39*K39+J40*K40&gt;K42,K42,J39*K39+J40*K40)</f>
        <v>0</v>
      </c>
    </row>
    <row r="44" spans="1:16" ht="70.349999999999994" customHeight="1">
      <c r="A44" s="15">
        <v>6</v>
      </c>
      <c r="B44" s="40"/>
      <c r="C44" s="40"/>
      <c r="D44" s="23" t="str">
        <f t="shared" si="0"/>
        <v/>
      </c>
      <c r="E44" s="26"/>
      <c r="F44" s="26"/>
      <c r="G44" s="42"/>
      <c r="I44" s="31" t="s">
        <v>142</v>
      </c>
      <c r="J44" s="57">
        <f>IF((J39+SUM(N39:N41))*K39+(J40-SUM(O39:O41))*K40&gt;K42,K42,(J39+SUM(N39:N41))*K39+(J40-SUM(O39:O41))*K40)</f>
        <v>0</v>
      </c>
    </row>
    <row r="45" spans="1:16" ht="70.349999999999994" customHeight="1">
      <c r="A45" s="15">
        <v>7</v>
      </c>
      <c r="B45" s="40"/>
      <c r="C45" s="40"/>
      <c r="D45" s="23" t="str">
        <f t="shared" si="0"/>
        <v/>
      </c>
      <c r="E45" s="26"/>
      <c r="F45" s="26"/>
      <c r="G45" s="42"/>
    </row>
    <row r="46" spans="1:16" ht="70.349999999999994" customHeight="1">
      <c r="A46" s="15">
        <v>8</v>
      </c>
      <c r="B46" s="40"/>
      <c r="C46" s="40"/>
      <c r="D46" s="23" t="str">
        <f t="shared" si="0"/>
        <v/>
      </c>
      <c r="E46" s="26"/>
      <c r="F46" s="26"/>
      <c r="G46" s="42"/>
    </row>
    <row r="47" spans="1:16" ht="70.349999999999994" customHeight="1">
      <c r="A47" s="15">
        <v>9</v>
      </c>
      <c r="B47" s="40"/>
      <c r="C47" s="40"/>
      <c r="D47" s="23" t="str">
        <f t="shared" si="0"/>
        <v/>
      </c>
      <c r="E47" s="26"/>
      <c r="F47" s="26"/>
      <c r="G47" s="42"/>
    </row>
    <row r="48" spans="1:16" ht="70.349999999999994" customHeight="1">
      <c r="A48" s="15">
        <v>10</v>
      </c>
      <c r="B48" s="40"/>
      <c r="C48" s="40"/>
      <c r="D48" s="23" t="str">
        <f t="shared" si="0"/>
        <v/>
      </c>
      <c r="E48" s="26"/>
      <c r="F48" s="26"/>
      <c r="G48" s="42"/>
    </row>
    <row r="49" spans="1:15" ht="70.349999999999994" customHeight="1">
      <c r="A49" s="15">
        <v>11</v>
      </c>
      <c r="B49" s="40"/>
      <c r="C49" s="40"/>
      <c r="D49" s="23" t="str">
        <f t="shared" si="0"/>
        <v/>
      </c>
      <c r="E49" s="26"/>
      <c r="F49" s="26"/>
      <c r="G49" s="42"/>
    </row>
    <row r="50" spans="1:15" ht="70.349999999999994" customHeight="1">
      <c r="A50" s="15">
        <v>12</v>
      </c>
      <c r="B50" s="40"/>
      <c r="C50" s="40"/>
      <c r="D50" s="23" t="str">
        <f t="shared" si="0"/>
        <v/>
      </c>
      <c r="E50" s="26"/>
      <c r="F50" s="26"/>
      <c r="G50" s="58"/>
      <c r="H50" s="59"/>
      <c r="I50" s="14"/>
      <c r="J50" s="14"/>
      <c r="K50" s="14"/>
    </row>
    <row r="51" spans="1:15" ht="70.349999999999994" customHeight="1">
      <c r="A51" s="15">
        <v>13</v>
      </c>
      <c r="B51" s="40"/>
      <c r="C51" s="40"/>
      <c r="D51" s="23" t="str">
        <f t="shared" si="0"/>
        <v/>
      </c>
      <c r="E51" s="26"/>
      <c r="F51" s="26"/>
      <c r="G51" s="58"/>
      <c r="H51" s="59"/>
      <c r="I51" s="14"/>
      <c r="J51" s="14"/>
      <c r="K51" s="14"/>
    </row>
    <row r="52" spans="1:15" ht="70.349999999999994" customHeight="1">
      <c r="A52" s="15">
        <v>14</v>
      </c>
      <c r="B52" s="40"/>
      <c r="C52" s="40"/>
      <c r="D52" s="23" t="str">
        <f t="shared" si="0"/>
        <v/>
      </c>
      <c r="E52" s="26"/>
      <c r="F52" s="26"/>
      <c r="G52" s="58"/>
      <c r="H52" s="59"/>
      <c r="I52" s="14"/>
      <c r="J52" s="14"/>
      <c r="K52" s="14"/>
    </row>
    <row r="53" spans="1:15" ht="70.349999999999994" customHeight="1">
      <c r="A53" s="15">
        <v>15</v>
      </c>
      <c r="B53" s="40"/>
      <c r="C53" s="40"/>
      <c r="D53" s="23" t="str">
        <f t="shared" si="0"/>
        <v/>
      </c>
      <c r="E53" s="26"/>
      <c r="F53" s="26"/>
      <c r="G53" s="58"/>
      <c r="H53" s="59"/>
      <c r="I53" s="14"/>
      <c r="J53" s="14"/>
      <c r="K53" s="14"/>
    </row>
    <row r="54" spans="1:15" ht="70.349999999999994" customHeight="1">
      <c r="A54" s="15">
        <v>16</v>
      </c>
      <c r="B54" s="40"/>
      <c r="C54" s="40"/>
      <c r="D54" s="23" t="str">
        <f t="shared" si="0"/>
        <v/>
      </c>
      <c r="E54" s="26"/>
      <c r="F54" s="26"/>
      <c r="G54" s="58"/>
      <c r="H54" s="59"/>
      <c r="I54" s="14"/>
      <c r="J54" s="14"/>
      <c r="K54" s="14"/>
    </row>
    <row r="55" spans="1:15" ht="70.349999999999994" customHeight="1">
      <c r="A55" s="15">
        <v>17</v>
      </c>
      <c r="B55" s="40"/>
      <c r="C55" s="40"/>
      <c r="D55" s="23" t="str">
        <f t="shared" si="0"/>
        <v/>
      </c>
      <c r="E55" s="26"/>
      <c r="F55" s="26"/>
      <c r="G55" s="58"/>
      <c r="H55" s="59"/>
      <c r="I55" s="14"/>
      <c r="J55" s="14"/>
      <c r="K55" s="14"/>
    </row>
    <row r="56" spans="1:15" ht="70.349999999999994" customHeight="1">
      <c r="A56" s="15">
        <v>18</v>
      </c>
      <c r="B56" s="40"/>
      <c r="C56" s="40"/>
      <c r="D56" s="23" t="str">
        <f t="shared" si="0"/>
        <v/>
      </c>
      <c r="E56" s="26"/>
      <c r="F56" s="26"/>
      <c r="G56" s="58"/>
      <c r="H56" s="59"/>
      <c r="I56" s="14"/>
      <c r="J56" s="14"/>
      <c r="K56" s="14"/>
    </row>
    <row r="57" spans="1:15" ht="70.349999999999994" customHeight="1">
      <c r="A57" s="15">
        <v>19</v>
      </c>
      <c r="B57" s="40"/>
      <c r="C57" s="40"/>
      <c r="D57" s="23" t="str">
        <f t="shared" si="0"/>
        <v/>
      </c>
      <c r="E57" s="26"/>
      <c r="F57" s="26"/>
      <c r="G57" s="58"/>
      <c r="H57" s="59"/>
      <c r="I57" s="14"/>
      <c r="J57" s="14"/>
      <c r="K57" s="14"/>
    </row>
    <row r="58" spans="1:15" ht="70.349999999999994" customHeight="1">
      <c r="A58" s="15">
        <v>20</v>
      </c>
      <c r="B58" s="40"/>
      <c r="C58" s="40"/>
      <c r="D58" s="23" t="str">
        <f t="shared" si="0"/>
        <v/>
      </c>
      <c r="E58" s="26"/>
      <c r="F58" s="26"/>
      <c r="G58" s="58"/>
      <c r="H58" s="59"/>
      <c r="I58" s="14"/>
      <c r="J58" s="14"/>
      <c r="K58" s="14"/>
    </row>
    <row r="61" spans="1:15" ht="13.5" customHeight="1">
      <c r="A61" s="14" t="s">
        <v>4174</v>
      </c>
      <c r="G61" s="42"/>
    </row>
    <row r="62" spans="1:15" ht="45" customHeight="1">
      <c r="A62" s="50" t="s">
        <v>88</v>
      </c>
      <c r="B62" s="642" t="s">
        <v>89</v>
      </c>
      <c r="C62" s="643"/>
      <c r="D62" s="21" t="s">
        <v>4898</v>
      </c>
      <c r="E62" s="53" t="s">
        <v>4037</v>
      </c>
      <c r="F62" s="16" t="s">
        <v>103</v>
      </c>
      <c r="G62" s="42"/>
      <c r="I62" s="21" t="s">
        <v>131</v>
      </c>
      <c r="J62" s="21" t="s">
        <v>134</v>
      </c>
      <c r="K62" s="38" t="s">
        <v>140</v>
      </c>
      <c r="M62" s="21" t="s">
        <v>103</v>
      </c>
      <c r="N62" s="21" t="s">
        <v>134</v>
      </c>
      <c r="O62" s="38" t="s">
        <v>140</v>
      </c>
    </row>
    <row r="63" spans="1:15" ht="90" customHeight="1">
      <c r="A63" s="15">
        <v>1</v>
      </c>
      <c r="B63" s="36"/>
      <c r="C63" s="36"/>
      <c r="D63" s="36"/>
      <c r="E63" s="60"/>
      <c r="F63" s="26"/>
      <c r="G63" s="42"/>
      <c r="I63" s="27" t="s">
        <v>120</v>
      </c>
      <c r="J63" s="27">
        <f>COUNTIF($E$63:$E$72,$I63)</f>
        <v>0</v>
      </c>
      <c r="K63" s="38">
        <v>5</v>
      </c>
      <c r="M63" s="27" t="s">
        <v>135</v>
      </c>
      <c r="N63" s="27">
        <f>COUNTIFS($E$63:$E$72,$I$64,$F$63:$F$72,$M63)</f>
        <v>0</v>
      </c>
      <c r="O63" s="38">
        <v>5</v>
      </c>
    </row>
    <row r="64" spans="1:15" ht="90" customHeight="1">
      <c r="A64" s="15">
        <v>2</v>
      </c>
      <c r="B64" s="36"/>
      <c r="C64" s="36"/>
      <c r="D64" s="36"/>
      <c r="E64" s="60"/>
      <c r="F64" s="26"/>
      <c r="G64" s="42"/>
      <c r="I64" s="27" t="s">
        <v>121</v>
      </c>
      <c r="J64" s="27">
        <f>COUNTIF($E$63:$E$72,$I64)</f>
        <v>0</v>
      </c>
      <c r="K64" s="38">
        <v>0</v>
      </c>
      <c r="M64" s="27" t="s">
        <v>136</v>
      </c>
      <c r="N64" s="27">
        <f>COUNTIFS($E$63:$E$72,$I$64,$F$63:$F$72,$M64)</f>
        <v>0</v>
      </c>
      <c r="O64" s="38">
        <v>5</v>
      </c>
    </row>
    <row r="65" spans="1:15" ht="90" customHeight="1">
      <c r="A65" s="15">
        <v>3</v>
      </c>
      <c r="B65" s="36"/>
      <c r="C65" s="36"/>
      <c r="D65" s="36"/>
      <c r="E65" s="60"/>
      <c r="F65" s="26"/>
      <c r="G65" s="42"/>
      <c r="I65" s="27" t="s">
        <v>106</v>
      </c>
      <c r="J65" s="27">
        <f>SUM(J63:J64)</f>
        <v>0</v>
      </c>
      <c r="K65" s="38">
        <v>25</v>
      </c>
      <c r="M65" s="27" t="s">
        <v>137</v>
      </c>
      <c r="N65" s="27">
        <f>COUNTIFS($E$63:$E$72,$I$64,$F$63:$F$72,$M65)</f>
        <v>0</v>
      </c>
      <c r="O65" s="38">
        <v>5</v>
      </c>
    </row>
    <row r="66" spans="1:15" ht="90" customHeight="1">
      <c r="A66" s="15">
        <v>4</v>
      </c>
      <c r="B66" s="36"/>
      <c r="C66" s="36"/>
      <c r="D66" s="36"/>
      <c r="E66" s="60"/>
      <c r="F66" s="26"/>
      <c r="G66" s="42"/>
      <c r="I66" s="31" t="s">
        <v>141</v>
      </c>
      <c r="J66" s="19">
        <f>IF(J63*K63&gt;K65,K65,J63*K63)</f>
        <v>0</v>
      </c>
      <c r="M66" s="27" t="s">
        <v>106</v>
      </c>
      <c r="N66" s="27">
        <f>SUM(N63:N65)</f>
        <v>0</v>
      </c>
      <c r="O66" s="38">
        <v>25</v>
      </c>
    </row>
    <row r="67" spans="1:15" ht="90" customHeight="1">
      <c r="A67" s="15">
        <v>5</v>
      </c>
      <c r="B67" s="36"/>
      <c r="C67" s="36"/>
      <c r="D67" s="36"/>
      <c r="E67" s="60"/>
      <c r="F67" s="26"/>
      <c r="G67" s="42"/>
      <c r="I67" s="31" t="s">
        <v>142</v>
      </c>
      <c r="J67" s="57">
        <f>IF(J63*K63+N66*O63&gt;O66,O66,J63*K63+N66*O63)</f>
        <v>0</v>
      </c>
    </row>
    <row r="68" spans="1:15" ht="90" customHeight="1">
      <c r="A68" s="15">
        <v>6</v>
      </c>
      <c r="B68" s="36"/>
      <c r="C68" s="36"/>
      <c r="D68" s="36"/>
      <c r="E68" s="60"/>
      <c r="F68" s="26"/>
      <c r="G68" s="42"/>
    </row>
    <row r="69" spans="1:15" ht="90" customHeight="1">
      <c r="A69" s="15">
        <v>7</v>
      </c>
      <c r="B69" s="36"/>
      <c r="C69" s="36"/>
      <c r="D69" s="36"/>
      <c r="E69" s="60"/>
      <c r="F69" s="26"/>
    </row>
    <row r="70" spans="1:15" ht="90" customHeight="1">
      <c r="A70" s="15">
        <v>8</v>
      </c>
      <c r="B70" s="36"/>
      <c r="C70" s="36"/>
      <c r="D70" s="36"/>
      <c r="E70" s="60"/>
      <c r="F70" s="26"/>
    </row>
    <row r="71" spans="1:15" ht="90" customHeight="1">
      <c r="A71" s="15">
        <v>9</v>
      </c>
      <c r="B71" s="36"/>
      <c r="C71" s="36"/>
      <c r="D71" s="36"/>
      <c r="E71" s="60"/>
      <c r="F71" s="26"/>
    </row>
    <row r="72" spans="1:15" ht="90" customHeight="1">
      <c r="A72" s="15">
        <v>10</v>
      </c>
      <c r="B72" s="36"/>
      <c r="C72" s="36"/>
      <c r="D72" s="36"/>
      <c r="E72" s="60"/>
      <c r="F72" s="26"/>
    </row>
  </sheetData>
  <sheetProtection algorithmName="SHA-512" hashValue="t05cXDdNlpUcjySqWPmLMJBrH0XP0MC+i2gMYxzTi7ZlkEO3HbQwtDGmMUVBfJOKOy+nAo2+aZgaZ2zWc64psA==" saltValue="yhhYuO2R+Pr36egC+/8d7g==" spinCount="100000" sheet="1" objects="1" scenarios="1" selectLockedCells="1"/>
  <mergeCells count="2">
    <mergeCell ref="O37:P37"/>
    <mergeCell ref="B62:C62"/>
  </mergeCells>
  <phoneticPr fontId="1"/>
  <conditionalFormatting sqref="C39:C58">
    <cfRule type="expression" dxfId="79" priority="9">
      <formula>C39&lt;&gt;""</formula>
    </cfRule>
  </conditionalFormatting>
  <conditionalFormatting sqref="C63:F72">
    <cfRule type="expression" dxfId="78" priority="1">
      <formula>C63&lt;&gt;""</formula>
    </cfRule>
  </conditionalFormatting>
  <conditionalFormatting sqref="E5:E34">
    <cfRule type="containsText" dxfId="77" priority="8" operator="containsText" text="非該当">
      <formula>NOT(ISERROR(SEARCH("非該当",E5)))</formula>
    </cfRule>
    <cfRule type="expression" dxfId="76" priority="14">
      <formula>E5&lt;&gt;""</formula>
    </cfRule>
  </conditionalFormatting>
  <conditionalFormatting sqref="E39:F58">
    <cfRule type="expression" dxfId="75" priority="5">
      <formula>E39&lt;&gt;""</formula>
    </cfRule>
  </conditionalFormatting>
  <conditionalFormatting sqref="F5:F34">
    <cfRule type="expression" dxfId="74" priority="7">
      <formula>F5&lt;&gt;""</formula>
    </cfRule>
    <cfRule type="expression" dxfId="73" priority="17">
      <formula>$E5="実施済"</formula>
    </cfRule>
    <cfRule type="expression" dxfId="72" priority="18">
      <formula>$E5="非該当"</formula>
    </cfRule>
  </conditionalFormatting>
  <conditionalFormatting sqref="F39:F58">
    <cfRule type="expression" dxfId="71" priority="12">
      <formula>$E39="実施済"</formula>
    </cfRule>
    <cfRule type="expression" dxfId="70" priority="13">
      <formula>$E39="非該当"</formula>
    </cfRule>
  </conditionalFormatting>
  <conditionalFormatting sqref="F63:F72">
    <cfRule type="expression" dxfId="69" priority="10">
      <formula>$E63="実施済"</formula>
    </cfRule>
    <cfRule type="expression" dxfId="68" priority="11">
      <formula>$E63="非該当"</formula>
    </cfRule>
  </conditionalFormatting>
  <dataValidations count="7">
    <dataValidation type="list" allowBlank="1" showInputMessage="1" showErrorMessage="1" sqref="E5:E34" xr:uid="{00000000-0002-0000-0300-000000000000}">
      <formula1>"実施済,未実施,非該当"</formula1>
    </dataValidation>
    <dataValidation type="list" allowBlank="1" showInputMessage="1" showErrorMessage="1" sqref="F5:F34" xr:uid="{00000000-0002-0000-0300-000001000000}">
      <formula1>"第1年度,第2年度,第3年度,予定なし"</formula1>
    </dataValidation>
    <dataValidation type="list" allowBlank="1" showInputMessage="1" showErrorMessage="1" sqref="E39:E58" xr:uid="{00000000-0002-0000-0300-000002000000}">
      <formula1>"実施済,一部実施済,未実施"</formula1>
    </dataValidation>
    <dataValidation type="list" allowBlank="1" showInputMessage="1" showErrorMessage="1" sqref="F39:F58 F63:F72" xr:uid="{00000000-0002-0000-0300-000003000000}">
      <formula1>"第1年度,第2年度,第3年度"</formula1>
    </dataValidation>
    <dataValidation type="list" allowBlank="1" showInputMessage="1" showErrorMessage="1" sqref="E63:E72" xr:uid="{00000000-0002-0000-0300-000004000000}">
      <formula1>"実施済,未実施"</formula1>
    </dataValidation>
    <dataValidation type="list" allowBlank="1" showInputMessage="1" showErrorMessage="1" sqref="C63:C72" xr:uid="{00000000-0002-0000-0300-000005000000}">
      <formula1>その他対策</formula1>
    </dataValidation>
    <dataValidation imeMode="hiragana" allowBlank="1" showInputMessage="1" showErrorMessage="1" sqref="D63:D72" xr:uid="{00000000-0002-0000-0300-000006000000}"/>
  </dataValidations>
  <pageMargins left="0.70866141732283472" right="0.51181102362204722" top="0.55118110236220474" bottom="0.55118110236220474" header="0.31496062992125984" footer="0.31496062992125984"/>
  <pageSetup paperSize="9" scale="80" fitToHeight="2" orientation="portrait" r:id="rId1"/>
  <headerFooter>
    <oddHeader>&amp;L様式第１号</oddHeader>
    <oddFooter>&amp;R&amp;8（一般事業所等用）</oddFooter>
  </headerFooter>
  <rowBreaks count="4" manualBreakCount="4">
    <brk id="17" max="5" man="1"/>
    <brk id="28" max="5" man="1"/>
    <brk id="50" max="5" man="1"/>
    <brk id="59" max="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2F77995-10B3-4F91-962E-2B166694BF6C}">
          <x14:formula1>
            <xm:f>対策リスト!$D$3:$D$45</xm:f>
          </x14:formula1>
          <xm:sqref>C39:C58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rgb="FF00B0F0"/>
  </sheetPr>
  <dimension ref="A1:F28"/>
  <sheetViews>
    <sheetView showGridLines="0" view="pageBreakPreview" zoomScaleNormal="100" zoomScaleSheetLayoutView="100" workbookViewId="0">
      <selection activeCell="B4" sqref="B4"/>
    </sheetView>
  </sheetViews>
  <sheetFormatPr defaultColWidth="8.88671875" defaultRowHeight="16.2"/>
  <cols>
    <col min="1" max="1" width="5.6640625" style="12" customWidth="1"/>
    <col min="2" max="2" width="41.44140625" style="12" customWidth="1"/>
    <col min="3" max="3" width="10.44140625" style="12" customWidth="1"/>
    <col min="4" max="4" width="14.33203125" style="12" customWidth="1"/>
    <col min="5" max="5" width="2.88671875" style="13" hidden="1" customWidth="1"/>
    <col min="6" max="6" width="19.88671875" style="12" customWidth="1"/>
    <col min="7" max="35" width="5.6640625" style="12" customWidth="1"/>
    <col min="36" max="16384" width="8.88671875" style="12"/>
  </cols>
  <sheetData>
    <row r="1" spans="1:6" ht="26.85" customHeight="1"/>
    <row r="2" spans="1:6">
      <c r="A2" s="63" t="s">
        <v>4169</v>
      </c>
    </row>
    <row r="3" spans="1:6" ht="33" customHeight="1">
      <c r="A3" s="64" t="s">
        <v>4165</v>
      </c>
      <c r="B3" s="64" t="s">
        <v>4166</v>
      </c>
      <c r="C3" s="65" t="s">
        <v>4167</v>
      </c>
      <c r="D3" s="65" t="s">
        <v>4954</v>
      </c>
      <c r="E3" s="66"/>
      <c r="F3" s="21" t="s">
        <v>4235</v>
      </c>
    </row>
    <row r="4" spans="1:6" ht="138.6" customHeight="1">
      <c r="A4" s="64">
        <v>1</v>
      </c>
      <c r="B4" s="40"/>
      <c r="C4" s="67"/>
      <c r="D4" s="68"/>
      <c r="E4" s="573"/>
      <c r="F4" s="69"/>
    </row>
    <row r="5" spans="1:6" ht="138.6" customHeight="1">
      <c r="A5" s="64">
        <v>2</v>
      </c>
      <c r="B5" s="40"/>
      <c r="C5" s="67"/>
      <c r="D5" s="68"/>
      <c r="E5" s="573"/>
      <c r="F5" s="69"/>
    </row>
    <row r="6" spans="1:6" ht="138.6" customHeight="1">
      <c r="A6" s="64">
        <v>3</v>
      </c>
      <c r="B6" s="40"/>
      <c r="C6" s="70"/>
      <c r="D6" s="68"/>
      <c r="E6" s="573"/>
      <c r="F6" s="69"/>
    </row>
    <row r="7" spans="1:6" ht="138.6" customHeight="1">
      <c r="A7" s="64">
        <v>4</v>
      </c>
      <c r="B7" s="40"/>
      <c r="C7" s="67"/>
      <c r="D7" s="68"/>
      <c r="E7" s="573"/>
      <c r="F7" s="69"/>
    </row>
    <row r="8" spans="1:6" ht="138.6" customHeight="1">
      <c r="A8" s="64">
        <v>5</v>
      </c>
      <c r="B8" s="40"/>
      <c r="C8" s="67"/>
      <c r="D8" s="68"/>
      <c r="E8" s="573"/>
      <c r="F8" s="69"/>
    </row>
    <row r="9" spans="1:6" ht="138.6" customHeight="1">
      <c r="A9" s="64">
        <v>6</v>
      </c>
      <c r="B9" s="40"/>
      <c r="C9" s="67"/>
      <c r="D9" s="68"/>
      <c r="E9" s="573"/>
      <c r="F9" s="69"/>
    </row>
    <row r="10" spans="1:6" ht="138.6" customHeight="1">
      <c r="A10" s="64">
        <v>7</v>
      </c>
      <c r="B10" s="40"/>
      <c r="C10" s="67"/>
      <c r="D10" s="71"/>
      <c r="E10" s="573"/>
      <c r="F10" s="69"/>
    </row>
    <row r="11" spans="1:6" ht="138.6" customHeight="1">
      <c r="A11" s="64">
        <v>8</v>
      </c>
      <c r="B11" s="40"/>
      <c r="C11" s="67"/>
      <c r="D11" s="68"/>
      <c r="E11" s="573"/>
      <c r="F11" s="69"/>
    </row>
    <row r="12" spans="1:6" ht="138.6" customHeight="1">
      <c r="A12" s="64">
        <v>9</v>
      </c>
      <c r="B12" s="40"/>
      <c r="C12" s="67"/>
      <c r="D12" s="68"/>
      <c r="E12" s="573"/>
      <c r="F12" s="69"/>
    </row>
    <row r="13" spans="1:6" ht="138.6" customHeight="1">
      <c r="A13" s="64">
        <v>10</v>
      </c>
      <c r="B13" s="40"/>
      <c r="C13" s="67"/>
      <c r="D13" s="68"/>
      <c r="E13" s="573"/>
      <c r="F13" s="69"/>
    </row>
    <row r="14" spans="1:6" ht="17.25" customHeight="1"/>
    <row r="15" spans="1:6">
      <c r="A15" s="63" t="s">
        <v>4168</v>
      </c>
    </row>
    <row r="16" spans="1:6" ht="33" customHeight="1">
      <c r="A16" s="64" t="s">
        <v>4165</v>
      </c>
      <c r="B16" s="64" t="s">
        <v>4166</v>
      </c>
      <c r="C16" s="65" t="s">
        <v>4171</v>
      </c>
      <c r="D16" s="65" t="s">
        <v>4954</v>
      </c>
      <c r="E16" s="66"/>
      <c r="F16" s="21" t="s">
        <v>4235</v>
      </c>
    </row>
    <row r="17" spans="1:6" ht="136.35" customHeight="1">
      <c r="A17" s="64">
        <v>1</v>
      </c>
      <c r="B17" s="40"/>
      <c r="C17" s="67"/>
      <c r="D17" s="68"/>
      <c r="E17" s="573"/>
      <c r="F17" s="69"/>
    </row>
    <row r="18" spans="1:6" ht="136.35" customHeight="1">
      <c r="A18" s="64">
        <v>2</v>
      </c>
      <c r="B18" s="40"/>
      <c r="C18" s="67"/>
      <c r="D18" s="68"/>
      <c r="E18" s="573"/>
      <c r="F18" s="69"/>
    </row>
    <row r="19" spans="1:6" ht="136.35" customHeight="1">
      <c r="A19" s="64">
        <v>3</v>
      </c>
      <c r="B19" s="40"/>
      <c r="C19" s="67"/>
      <c r="D19" s="68"/>
      <c r="E19" s="573"/>
      <c r="F19" s="69"/>
    </row>
    <row r="20" spans="1:6" ht="136.35" customHeight="1">
      <c r="A20" s="64">
        <v>4</v>
      </c>
      <c r="B20" s="40"/>
      <c r="C20" s="67"/>
      <c r="D20" s="68"/>
      <c r="E20" s="573"/>
      <c r="F20" s="69"/>
    </row>
    <row r="21" spans="1:6" ht="136.35" customHeight="1">
      <c r="A21" s="64">
        <v>5</v>
      </c>
      <c r="B21" s="40"/>
      <c r="C21" s="67"/>
      <c r="D21" s="68"/>
      <c r="E21" s="573"/>
      <c r="F21" s="69"/>
    </row>
    <row r="22" spans="1:6" ht="136.35" customHeight="1">
      <c r="A22" s="64">
        <v>6</v>
      </c>
      <c r="B22" s="40"/>
      <c r="C22" s="67"/>
      <c r="D22" s="68"/>
      <c r="E22" s="573"/>
      <c r="F22" s="69"/>
    </row>
    <row r="23" spans="1:6" ht="136.35" customHeight="1">
      <c r="A23" s="64">
        <v>7</v>
      </c>
      <c r="B23" s="40"/>
      <c r="C23" s="67"/>
      <c r="D23" s="68"/>
      <c r="E23" s="573"/>
      <c r="F23" s="69"/>
    </row>
    <row r="24" spans="1:6" ht="136.35" customHeight="1">
      <c r="A24" s="64">
        <v>8</v>
      </c>
      <c r="B24" s="40"/>
      <c r="C24" s="67"/>
      <c r="D24" s="68"/>
      <c r="E24" s="573"/>
      <c r="F24" s="69"/>
    </row>
    <row r="25" spans="1:6" ht="136.35" customHeight="1">
      <c r="A25" s="64">
        <v>9</v>
      </c>
      <c r="B25" s="40"/>
      <c r="C25" s="67"/>
      <c r="D25" s="68"/>
      <c r="E25" s="573"/>
      <c r="F25" s="69"/>
    </row>
    <row r="26" spans="1:6" ht="136.35" customHeight="1">
      <c r="A26" s="64">
        <v>10</v>
      </c>
      <c r="B26" s="40"/>
      <c r="C26" s="67"/>
      <c r="D26" s="68"/>
      <c r="E26" s="573"/>
      <c r="F26" s="69"/>
    </row>
    <row r="27" spans="1:6" ht="33.75" customHeight="1"/>
    <row r="28" spans="1:6" ht="33.75" customHeight="1"/>
  </sheetData>
  <sheetProtection algorithmName="SHA-512" hashValue="ZN28+0z4dwi5EILTC9Kp1GmLsZGOPzFgDcUh690TpQjSrH5FhtgKFrwuQSFrS4+nCVLDw3qfZMg1LF0XK4pYyA==" saltValue="7hESc+pniQEyLSDGHVDtWA==" spinCount="100000" sheet="1" scenarios="1" selectLockedCells="1"/>
  <phoneticPr fontId="1"/>
  <conditionalFormatting sqref="B4:D13 B17:D26">
    <cfRule type="expression" dxfId="67" priority="2">
      <formula>B4&lt;&gt;""</formula>
    </cfRule>
  </conditionalFormatting>
  <dataValidations count="2">
    <dataValidation type="list" allowBlank="1" showInputMessage="1" showErrorMessage="1" sqref="C17:C26" xr:uid="{00000000-0002-0000-0400-000000000000}">
      <formula1>"第１年度,第２年度,第３年度"</formula1>
    </dataValidation>
    <dataValidation imeMode="hiragana" allowBlank="1" showInputMessage="1" showErrorMessage="1" sqref="B4:B13 B17:B26" xr:uid="{00000000-0002-0000-0400-000001000000}"/>
  </dataValidations>
  <pageMargins left="0.70866141732283472" right="0.51181102362204722" top="0.55118110236220474" bottom="0.55118110236220474" header="0.31496062992125984" footer="0.31496062992125984"/>
  <pageSetup paperSize="9" scale="95" orientation="portrait" r:id="rId1"/>
  <headerFooter>
    <oddHeader>&amp;L様式第１号</oddHeader>
    <oddFooter>&amp;R&amp;8（一般事業所等用）</oddFooter>
  </headerFooter>
  <rowBreaks count="1" manualBreakCount="1">
    <brk id="13" max="5" man="1"/>
  </rowBreaks>
  <drawing r:id="rId2"/>
  <extLst>
    <ext xmlns:x14="http://schemas.microsoft.com/office/spreadsheetml/2009/9/main" uri="{78C0D931-6437-407d-A8EE-F0AAD7539E65}">
      <x14:conditionalFormattings>
        <x14:conditionalFormatting xmlns:xm="http://schemas.microsoft.com/office/excel/2006/main">
          <x14:cfRule type="expression" priority="1" id="{913F3E6A-A1C5-4FD8-A401-97445ABA5D3D}">
            <xm:f>はじめに!$S$3=TRUE</xm:f>
            <x14:dxf>
              <fill>
                <patternFill>
                  <bgColor theme="9" tint="0.59996337778862885"/>
                </patternFill>
              </fill>
            </x14:dxf>
          </x14:cfRule>
          <xm:sqref>B4:D13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310506-8517-4BDC-AA90-E49B17E7CE82}">
  <sheetPr codeName="Sheet8">
    <tabColor rgb="FF00B0F0"/>
  </sheetPr>
  <dimension ref="A1:R21"/>
  <sheetViews>
    <sheetView view="pageBreakPreview" zoomScaleNormal="100" zoomScaleSheetLayoutView="100" workbookViewId="0">
      <selection activeCell="C3" sqref="C3"/>
    </sheetView>
  </sheetViews>
  <sheetFormatPr defaultColWidth="9" defaultRowHeight="16.2"/>
  <cols>
    <col min="1" max="1" width="18.33203125" style="12" bestFit="1" customWidth="1"/>
    <col min="2" max="2" width="10" style="12" customWidth="1"/>
    <col min="3" max="15" width="7.109375" style="12" customWidth="1"/>
    <col min="16" max="17" width="9" style="12"/>
    <col min="18" max="18" width="7.6640625" style="12" bestFit="1" customWidth="1"/>
    <col min="19" max="16384" width="9" style="12"/>
  </cols>
  <sheetData>
    <row r="1" spans="1:18" ht="41.85" customHeight="1">
      <c r="A1" s="530" t="s">
        <v>4197</v>
      </c>
    </row>
    <row r="2" spans="1:18" ht="26.25" customHeight="1" thickBot="1">
      <c r="A2" s="642" t="s">
        <v>4195</v>
      </c>
      <c r="B2" s="643"/>
      <c r="C2" s="21" t="s">
        <v>4183</v>
      </c>
      <c r="D2" s="21" t="s">
        <v>4184</v>
      </c>
      <c r="E2" s="21" t="s">
        <v>4185</v>
      </c>
      <c r="F2" s="21" t="s">
        <v>4186</v>
      </c>
      <c r="G2" s="21" t="s">
        <v>4187</v>
      </c>
      <c r="H2" s="21" t="s">
        <v>4188</v>
      </c>
      <c r="I2" s="21" t="s">
        <v>4189</v>
      </c>
      <c r="J2" s="21" t="s">
        <v>4190</v>
      </c>
      <c r="K2" s="21" t="s">
        <v>4191</v>
      </c>
      <c r="L2" s="21" t="s">
        <v>4192</v>
      </c>
      <c r="M2" s="21" t="s">
        <v>4193</v>
      </c>
      <c r="N2" s="21" t="s">
        <v>4194</v>
      </c>
      <c r="O2" s="531" t="s">
        <v>106</v>
      </c>
    </row>
    <row r="3" spans="1:18" ht="26.25" customHeight="1">
      <c r="A3" s="532" t="s">
        <v>44</v>
      </c>
      <c r="B3" s="533" t="s">
        <v>4198</v>
      </c>
      <c r="C3" s="227"/>
      <c r="D3" s="227"/>
      <c r="E3" s="227"/>
      <c r="F3" s="227"/>
      <c r="G3" s="227"/>
      <c r="H3" s="227"/>
      <c r="I3" s="227"/>
      <c r="J3" s="227"/>
      <c r="K3" s="227"/>
      <c r="L3" s="227"/>
      <c r="M3" s="227"/>
      <c r="N3" s="228"/>
      <c r="O3" s="534" t="str">
        <f>IF(COUNTBLANK(C3:N3)=12,"",SUM(C3:N3))</f>
        <v/>
      </c>
      <c r="Q3" s="535" t="str">
        <f>IF(COUNTBLANK(C3:N3)=12,"",O3/1000)</f>
        <v/>
      </c>
      <c r="R3" s="12" t="s">
        <v>4199</v>
      </c>
    </row>
    <row r="4" spans="1:18" ht="26.25" customHeight="1">
      <c r="A4" s="532" t="s">
        <v>46</v>
      </c>
      <c r="B4" s="533" t="s">
        <v>4198</v>
      </c>
      <c r="C4" s="227"/>
      <c r="D4" s="227"/>
      <c r="E4" s="227"/>
      <c r="F4" s="227"/>
      <c r="G4" s="227"/>
      <c r="H4" s="227"/>
      <c r="I4" s="227"/>
      <c r="J4" s="227"/>
      <c r="K4" s="227"/>
      <c r="L4" s="227"/>
      <c r="M4" s="227"/>
      <c r="N4" s="228"/>
      <c r="O4" s="534" t="str">
        <f t="shared" ref="O4:O9" si="0">IF(COUNTBLANK(C4:N4)=12,"",SUM(C4:N4))</f>
        <v/>
      </c>
      <c r="Q4" s="536" t="str">
        <f>IF(COUNTBLANK(C4:N4)=12,"",O4/1000)</f>
        <v/>
      </c>
      <c r="R4" s="12" t="s">
        <v>4199</v>
      </c>
    </row>
    <row r="5" spans="1:18" ht="26.25" customHeight="1">
      <c r="A5" s="532" t="s">
        <v>47</v>
      </c>
      <c r="B5" s="533" t="s">
        <v>4198</v>
      </c>
      <c r="C5" s="227"/>
      <c r="D5" s="227"/>
      <c r="E5" s="227"/>
      <c r="F5" s="227"/>
      <c r="G5" s="227"/>
      <c r="H5" s="227"/>
      <c r="I5" s="227"/>
      <c r="J5" s="227"/>
      <c r="K5" s="227"/>
      <c r="L5" s="227"/>
      <c r="M5" s="227"/>
      <c r="N5" s="228"/>
      <c r="O5" s="534" t="str">
        <f t="shared" si="0"/>
        <v/>
      </c>
      <c r="Q5" s="536" t="str">
        <f t="shared" ref="Q5:Q9" si="1">IF(COUNTBLANK(C5:N5)=12,"",O5/1000)</f>
        <v/>
      </c>
      <c r="R5" s="12" t="s">
        <v>4199</v>
      </c>
    </row>
    <row r="6" spans="1:18" ht="26.25" customHeight="1">
      <c r="A6" s="532" t="s">
        <v>48</v>
      </c>
      <c r="B6" s="533" t="s">
        <v>4198</v>
      </c>
      <c r="C6" s="227"/>
      <c r="D6" s="227"/>
      <c r="E6" s="227"/>
      <c r="F6" s="227"/>
      <c r="G6" s="227"/>
      <c r="H6" s="227"/>
      <c r="I6" s="227"/>
      <c r="J6" s="227"/>
      <c r="K6" s="227"/>
      <c r="L6" s="227"/>
      <c r="M6" s="227"/>
      <c r="N6" s="228"/>
      <c r="O6" s="534" t="str">
        <f t="shared" si="0"/>
        <v/>
      </c>
      <c r="Q6" s="536" t="str">
        <f t="shared" si="1"/>
        <v/>
      </c>
      <c r="R6" s="12" t="s">
        <v>4199</v>
      </c>
    </row>
    <row r="7" spans="1:18" ht="26.25" customHeight="1">
      <c r="A7" s="532" t="s">
        <v>49</v>
      </c>
      <c r="B7" s="533" t="s">
        <v>4198</v>
      </c>
      <c r="C7" s="227"/>
      <c r="D7" s="227"/>
      <c r="E7" s="227"/>
      <c r="F7" s="227"/>
      <c r="G7" s="227"/>
      <c r="H7" s="227"/>
      <c r="I7" s="227"/>
      <c r="J7" s="227"/>
      <c r="K7" s="227"/>
      <c r="L7" s="227"/>
      <c r="M7" s="227"/>
      <c r="N7" s="228"/>
      <c r="O7" s="534" t="str">
        <f t="shared" si="0"/>
        <v/>
      </c>
      <c r="Q7" s="536" t="str">
        <f t="shared" si="1"/>
        <v/>
      </c>
      <c r="R7" s="12" t="s">
        <v>4199</v>
      </c>
    </row>
    <row r="8" spans="1:18" ht="26.25" customHeight="1">
      <c r="A8" s="532" t="s">
        <v>4899</v>
      </c>
      <c r="B8" s="533" t="s">
        <v>4200</v>
      </c>
      <c r="C8" s="227"/>
      <c r="D8" s="227"/>
      <c r="E8" s="227"/>
      <c r="F8" s="227"/>
      <c r="G8" s="227"/>
      <c r="H8" s="227"/>
      <c r="I8" s="227"/>
      <c r="J8" s="227"/>
      <c r="K8" s="227"/>
      <c r="L8" s="227"/>
      <c r="M8" s="227"/>
      <c r="N8" s="228"/>
      <c r="O8" s="534" t="str">
        <f t="shared" si="0"/>
        <v/>
      </c>
      <c r="Q8" s="536" t="str">
        <f t="shared" si="1"/>
        <v/>
      </c>
      <c r="R8" s="12" t="s">
        <v>4201</v>
      </c>
    </row>
    <row r="9" spans="1:18" ht="26.25" customHeight="1" thickBot="1">
      <c r="A9" s="532" t="s">
        <v>63</v>
      </c>
      <c r="B9" s="537" t="s">
        <v>4912</v>
      </c>
      <c r="C9" s="227"/>
      <c r="D9" s="227"/>
      <c r="E9" s="227"/>
      <c r="F9" s="227"/>
      <c r="G9" s="227"/>
      <c r="H9" s="227"/>
      <c r="I9" s="227"/>
      <c r="J9" s="227"/>
      <c r="K9" s="227"/>
      <c r="L9" s="227"/>
      <c r="M9" s="227"/>
      <c r="N9" s="228"/>
      <c r="O9" s="534" t="str">
        <f t="shared" si="0"/>
        <v/>
      </c>
      <c r="Q9" s="538" t="str">
        <f t="shared" si="1"/>
        <v/>
      </c>
      <c r="R9" s="12" t="s">
        <v>4202</v>
      </c>
    </row>
    <row r="10" spans="1:18">
      <c r="O10" s="229"/>
    </row>
    <row r="11" spans="1:18" ht="26.25" customHeight="1" thickBot="1">
      <c r="A11" s="645" t="s">
        <v>4196</v>
      </c>
      <c r="B11" s="645"/>
      <c r="C11" s="21" t="s">
        <v>4183</v>
      </c>
      <c r="D11" s="21" t="s">
        <v>4184</v>
      </c>
      <c r="E11" s="21" t="s">
        <v>4185</v>
      </c>
      <c r="F11" s="21" t="s">
        <v>4186</v>
      </c>
      <c r="G11" s="21" t="s">
        <v>4187</v>
      </c>
      <c r="H11" s="21" t="s">
        <v>4188</v>
      </c>
      <c r="I11" s="21" t="s">
        <v>4189</v>
      </c>
      <c r="J11" s="21" t="s">
        <v>4190</v>
      </c>
      <c r="K11" s="21" t="s">
        <v>4191</v>
      </c>
      <c r="L11" s="21" t="s">
        <v>4192</v>
      </c>
      <c r="M11" s="21" t="s">
        <v>4193</v>
      </c>
      <c r="N11" s="21" t="s">
        <v>4194</v>
      </c>
      <c r="O11" s="563" t="s">
        <v>106</v>
      </c>
    </row>
    <row r="12" spans="1:18" ht="26.25" customHeight="1">
      <c r="A12" s="644" t="str">
        <f>'事業所排出量内訳 (基準年度)'!U42&amp;""</f>
        <v/>
      </c>
      <c r="B12" s="27" t="s">
        <v>69</v>
      </c>
      <c r="C12" s="230"/>
      <c r="D12" s="230"/>
      <c r="E12" s="230"/>
      <c r="F12" s="230"/>
      <c r="G12" s="230"/>
      <c r="H12" s="230"/>
      <c r="I12" s="230"/>
      <c r="J12" s="230"/>
      <c r="K12" s="230"/>
      <c r="L12" s="230"/>
      <c r="M12" s="230"/>
      <c r="N12" s="231"/>
      <c r="O12" s="564" t="str">
        <f t="shared" ref="O12:O21" si="2">IF(COUNTBLANK(C12:N12)=12,"",SUM(C12:N12))</f>
        <v/>
      </c>
      <c r="Q12" s="535" t="str">
        <f t="shared" ref="Q12:Q21" si="3">IF(COUNTBLANK(C12:N12)=12,"",O12/1000)</f>
        <v/>
      </c>
      <c r="R12" s="12" t="s">
        <v>4203</v>
      </c>
    </row>
    <row r="13" spans="1:18" ht="26.25" customHeight="1">
      <c r="A13" s="644"/>
      <c r="B13" s="27" t="s">
        <v>70</v>
      </c>
      <c r="C13" s="230"/>
      <c r="D13" s="230"/>
      <c r="E13" s="230"/>
      <c r="F13" s="230"/>
      <c r="G13" s="230"/>
      <c r="H13" s="230"/>
      <c r="I13" s="230"/>
      <c r="J13" s="230"/>
      <c r="K13" s="230"/>
      <c r="L13" s="230"/>
      <c r="M13" s="230"/>
      <c r="N13" s="231"/>
      <c r="O13" s="564" t="str">
        <f t="shared" si="2"/>
        <v/>
      </c>
      <c r="Q13" s="536" t="str">
        <f t="shared" si="3"/>
        <v/>
      </c>
      <c r="R13" s="12" t="s">
        <v>4203</v>
      </c>
    </row>
    <row r="14" spans="1:18" ht="26.25" customHeight="1">
      <c r="A14" s="644" t="str">
        <f>'事業所排出量内訳 (基準年度)'!U43&amp;""</f>
        <v/>
      </c>
      <c r="B14" s="27" t="s">
        <v>69</v>
      </c>
      <c r="C14" s="230"/>
      <c r="D14" s="230"/>
      <c r="E14" s="230"/>
      <c r="F14" s="230"/>
      <c r="G14" s="230"/>
      <c r="H14" s="230"/>
      <c r="I14" s="230"/>
      <c r="J14" s="230"/>
      <c r="K14" s="230"/>
      <c r="L14" s="230"/>
      <c r="M14" s="230"/>
      <c r="N14" s="231"/>
      <c r="O14" s="564" t="str">
        <f t="shared" si="2"/>
        <v/>
      </c>
      <c r="Q14" s="536" t="str">
        <f t="shared" si="3"/>
        <v/>
      </c>
      <c r="R14" s="12" t="s">
        <v>4203</v>
      </c>
    </row>
    <row r="15" spans="1:18" ht="26.25" customHeight="1">
      <c r="A15" s="644"/>
      <c r="B15" s="27" t="s">
        <v>70</v>
      </c>
      <c r="C15" s="230"/>
      <c r="D15" s="230"/>
      <c r="E15" s="230"/>
      <c r="F15" s="230"/>
      <c r="G15" s="230"/>
      <c r="H15" s="230"/>
      <c r="I15" s="230"/>
      <c r="J15" s="230"/>
      <c r="K15" s="230"/>
      <c r="L15" s="230"/>
      <c r="M15" s="230"/>
      <c r="N15" s="231"/>
      <c r="O15" s="564" t="str">
        <f>IF(COUNTBLANK(C15:N15)=12,"",SUM(C15:N15))</f>
        <v/>
      </c>
      <c r="Q15" s="536" t="str">
        <f t="shared" si="3"/>
        <v/>
      </c>
      <c r="R15" s="12" t="s">
        <v>4203</v>
      </c>
    </row>
    <row r="16" spans="1:18" ht="26.25" customHeight="1">
      <c r="A16" s="644" t="str">
        <f>'事業所排出量内訳 (基準年度)'!U44&amp;""</f>
        <v/>
      </c>
      <c r="B16" s="27" t="s">
        <v>69</v>
      </c>
      <c r="C16" s="230"/>
      <c r="D16" s="230"/>
      <c r="E16" s="230"/>
      <c r="F16" s="230"/>
      <c r="G16" s="230"/>
      <c r="H16" s="230"/>
      <c r="I16" s="230"/>
      <c r="J16" s="230"/>
      <c r="K16" s="230"/>
      <c r="L16" s="230"/>
      <c r="M16" s="230"/>
      <c r="N16" s="231"/>
      <c r="O16" s="564" t="str">
        <f t="shared" si="2"/>
        <v/>
      </c>
      <c r="Q16" s="536" t="str">
        <f t="shared" si="3"/>
        <v/>
      </c>
      <c r="R16" s="12" t="s">
        <v>4203</v>
      </c>
    </row>
    <row r="17" spans="1:18" ht="26.25" customHeight="1">
      <c r="A17" s="644"/>
      <c r="B17" s="27" t="s">
        <v>70</v>
      </c>
      <c r="C17" s="230"/>
      <c r="D17" s="230"/>
      <c r="E17" s="230"/>
      <c r="F17" s="230"/>
      <c r="G17" s="230"/>
      <c r="H17" s="230"/>
      <c r="I17" s="230"/>
      <c r="J17" s="230"/>
      <c r="K17" s="230"/>
      <c r="L17" s="230"/>
      <c r="M17" s="230"/>
      <c r="N17" s="231"/>
      <c r="O17" s="564" t="str">
        <f t="shared" si="2"/>
        <v/>
      </c>
      <c r="Q17" s="536" t="str">
        <f t="shared" si="3"/>
        <v/>
      </c>
      <c r="R17" s="12" t="s">
        <v>4203</v>
      </c>
    </row>
    <row r="18" spans="1:18" ht="26.1" customHeight="1">
      <c r="A18" s="644" t="str">
        <f>'事業所排出量内訳 (基準年度)'!U45&amp;""</f>
        <v/>
      </c>
      <c r="B18" s="27" t="s">
        <v>69</v>
      </c>
      <c r="C18" s="230"/>
      <c r="D18" s="230"/>
      <c r="E18" s="230"/>
      <c r="F18" s="230"/>
      <c r="G18" s="230"/>
      <c r="H18" s="230"/>
      <c r="I18" s="230"/>
      <c r="J18" s="230"/>
      <c r="K18" s="230"/>
      <c r="L18" s="230"/>
      <c r="M18" s="230"/>
      <c r="N18" s="231"/>
      <c r="O18" s="564" t="str">
        <f t="shared" si="2"/>
        <v/>
      </c>
      <c r="Q18" s="536" t="str">
        <f t="shared" si="3"/>
        <v/>
      </c>
      <c r="R18" s="12" t="s">
        <v>4203</v>
      </c>
    </row>
    <row r="19" spans="1:18" ht="26.1" customHeight="1">
      <c r="A19" s="644"/>
      <c r="B19" s="27" t="s">
        <v>70</v>
      </c>
      <c r="C19" s="230"/>
      <c r="D19" s="230"/>
      <c r="E19" s="230"/>
      <c r="F19" s="230"/>
      <c r="G19" s="230"/>
      <c r="H19" s="230"/>
      <c r="I19" s="230"/>
      <c r="J19" s="230"/>
      <c r="K19" s="230"/>
      <c r="L19" s="230"/>
      <c r="M19" s="230"/>
      <c r="N19" s="231"/>
      <c r="O19" s="564" t="str">
        <f t="shared" si="2"/>
        <v/>
      </c>
      <c r="Q19" s="536" t="str">
        <f t="shared" si="3"/>
        <v/>
      </c>
      <c r="R19" s="12" t="s">
        <v>4203</v>
      </c>
    </row>
    <row r="20" spans="1:18" ht="26.1" customHeight="1">
      <c r="A20" s="644" t="str">
        <f>'事業所排出量内訳 (基準年度)'!U46&amp;""</f>
        <v/>
      </c>
      <c r="B20" s="27" t="s">
        <v>69</v>
      </c>
      <c r="C20" s="230"/>
      <c r="D20" s="230"/>
      <c r="E20" s="230"/>
      <c r="F20" s="230"/>
      <c r="G20" s="230"/>
      <c r="H20" s="230"/>
      <c r="I20" s="230"/>
      <c r="J20" s="230"/>
      <c r="K20" s="230"/>
      <c r="L20" s="230"/>
      <c r="M20" s="230"/>
      <c r="N20" s="231"/>
      <c r="O20" s="564" t="str">
        <f t="shared" si="2"/>
        <v/>
      </c>
      <c r="Q20" s="536" t="str">
        <f t="shared" si="3"/>
        <v/>
      </c>
      <c r="R20" s="12" t="s">
        <v>4203</v>
      </c>
    </row>
    <row r="21" spans="1:18" ht="26.1" customHeight="1" thickBot="1">
      <c r="A21" s="644"/>
      <c r="B21" s="27" t="s">
        <v>70</v>
      </c>
      <c r="C21" s="230"/>
      <c r="D21" s="230"/>
      <c r="E21" s="230"/>
      <c r="F21" s="230"/>
      <c r="G21" s="230"/>
      <c r="H21" s="230"/>
      <c r="I21" s="230"/>
      <c r="J21" s="230"/>
      <c r="K21" s="230"/>
      <c r="L21" s="230"/>
      <c r="M21" s="230"/>
      <c r="N21" s="231"/>
      <c r="O21" s="564" t="str">
        <f t="shared" si="2"/>
        <v/>
      </c>
      <c r="Q21" s="538" t="str">
        <f t="shared" si="3"/>
        <v/>
      </c>
      <c r="R21" s="12" t="s">
        <v>4203</v>
      </c>
    </row>
  </sheetData>
  <sheetProtection algorithmName="SHA-512" hashValue="ncixz9UKQtekBZLAFg7RsFgn9VZm2fIWvHZyVQcXKvV4ajufzyzgjM4JHYMYi4JLgD1sTLqRWhJg+aEWBCF/TQ==" saltValue="Al0lSJJ7gZ8Bs9T/FSGgpw==" spinCount="100000" sheet="1" objects="1" scenarios="1" selectLockedCells="1"/>
  <mergeCells count="7">
    <mergeCell ref="A20:A21"/>
    <mergeCell ref="A2:B2"/>
    <mergeCell ref="A11:B11"/>
    <mergeCell ref="A12:A13"/>
    <mergeCell ref="A14:A15"/>
    <mergeCell ref="A16:A17"/>
    <mergeCell ref="A18:A19"/>
  </mergeCells>
  <phoneticPr fontId="1"/>
  <conditionalFormatting sqref="A12:A21">
    <cfRule type="expression" dxfId="65" priority="2" stopIfTrue="1">
      <formula>$A12&lt;&gt;""</formula>
    </cfRule>
  </conditionalFormatting>
  <conditionalFormatting sqref="C3:N9 C12:N21">
    <cfRule type="expression" dxfId="63" priority="3">
      <formula>C3&lt;&gt;""</formula>
    </cfRule>
  </conditionalFormatting>
  <dataValidations count="1">
    <dataValidation imeMode="halfAlpha" allowBlank="1" showInputMessage="1" showErrorMessage="1" sqref="C3:N9 C12:N21" xr:uid="{9EA045AB-2397-4C49-9016-4449D5F6B136}"/>
  </dataValidations>
  <pageMargins left="0.70866141732283472" right="0.70866141732283472" top="0.74803149606299213" bottom="0.74803149606299213" header="0.31496062992125984" footer="0.31496062992125984"/>
  <pageSetup paperSize="9" scale="82" orientation="landscape" r:id="rId1"/>
  <headerFooter>
    <oddHeader>&amp;L様式第１号</oddHeader>
    <oddFooter>&amp;R&amp;8（一般事業所等用）</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1" id="{CC79A2F7-6729-4A4B-97B8-41B7736D67CC}">
            <xm:f>はじめに!$S$3=TRUE</xm:f>
            <x14:dxf>
              <fill>
                <patternFill>
                  <bgColor theme="9" tint="0.59996337778862885"/>
                </patternFill>
              </fill>
            </x14:dxf>
          </x14:cfRule>
          <xm:sqref>C3:N9 C12:N21</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041E4-17C0-4896-8FDB-E89B7E0F4823}">
  <sheetPr codeName="Sheet42">
    <tabColor rgb="FF00B0F0"/>
    <pageSetUpPr fitToPage="1"/>
  </sheetPr>
  <dimension ref="A1:BB137"/>
  <sheetViews>
    <sheetView showGridLines="0" view="pageBreakPreview" topLeftCell="C1" zoomScale="70" zoomScaleNormal="55" zoomScaleSheetLayoutView="70" workbookViewId="0">
      <selection activeCell="J6" sqref="J6"/>
    </sheetView>
  </sheetViews>
  <sheetFormatPr defaultColWidth="9" defaultRowHeight="16.2"/>
  <cols>
    <col min="1" max="2" width="4.88671875" style="277" customWidth="1"/>
    <col min="3" max="3" width="6" style="277" customWidth="1"/>
    <col min="4" max="4" width="6.109375" style="277" customWidth="1"/>
    <col min="5" max="5" width="6.88671875" style="277" customWidth="1"/>
    <col min="6" max="6" width="14.88671875" style="277" customWidth="1"/>
    <col min="7" max="7" width="9.109375" style="277" customWidth="1"/>
    <col min="8" max="8" width="10.6640625" style="277" customWidth="1"/>
    <col min="9" max="9" width="11.88671875" style="277" customWidth="1"/>
    <col min="10" max="10" width="13.44140625" style="277" customWidth="1"/>
    <col min="11" max="11" width="11.109375" style="277" customWidth="1"/>
    <col min="12" max="14" width="11" style="277" customWidth="1"/>
    <col min="15" max="15" width="7.88671875" style="277" hidden="1" customWidth="1"/>
    <col min="16" max="19" width="11" style="277" hidden="1" customWidth="1"/>
    <col min="20" max="20" width="13.88671875" style="277" customWidth="1"/>
    <col min="21" max="21" width="28.109375" style="277" customWidth="1"/>
    <col min="22" max="22" width="14.88671875" style="277" customWidth="1"/>
    <col min="23" max="23" width="15.33203125" style="277" customWidth="1"/>
    <col min="24" max="24" width="15.109375" style="277" customWidth="1"/>
    <col min="25" max="25" width="14.88671875" style="277" customWidth="1"/>
    <col min="26" max="26" width="16.109375" style="277" customWidth="1"/>
    <col min="27" max="27" width="16.44140625" style="277" customWidth="1"/>
    <col min="28" max="28" width="17.88671875" style="277" customWidth="1"/>
    <col min="29" max="32" width="9" style="277" customWidth="1"/>
    <col min="33" max="33" width="27.6640625" style="277" hidden="1" customWidth="1"/>
    <col min="34" max="34" width="31.44140625" style="277" hidden="1" customWidth="1"/>
    <col min="35" max="38" width="9" style="277" hidden="1" customWidth="1"/>
    <col min="39" max="39" width="19.6640625" style="277" hidden="1" customWidth="1"/>
    <col min="40" max="40" width="31.44140625" style="277" hidden="1" customWidth="1"/>
    <col min="41" max="45" width="9" style="277" hidden="1" customWidth="1"/>
    <col min="46" max="48" width="0" style="277" hidden="1" customWidth="1"/>
    <col min="49" max="49" width="21.88671875" style="277" hidden="1" customWidth="1"/>
    <col min="50" max="56" width="0" style="277" hidden="1" customWidth="1"/>
    <col min="57" max="16384" width="9" style="277"/>
  </cols>
  <sheetData>
    <row r="1" spans="3:54" s="280" customFormat="1" ht="27.75" customHeight="1">
      <c r="C1" s="273" t="s">
        <v>125</v>
      </c>
      <c r="D1" s="274"/>
      <c r="E1" s="274"/>
      <c r="F1" s="275"/>
      <c r="G1" s="275"/>
      <c r="H1" s="275"/>
      <c r="I1" s="276" t="s">
        <v>148</v>
      </c>
      <c r="J1" s="652" t="str">
        <f>"（"&amp;はじめに!E4&amp;"年度）"</f>
        <v>（年度）</v>
      </c>
      <c r="K1" s="652"/>
      <c r="L1" s="277"/>
      <c r="M1" s="277"/>
      <c r="N1" s="278"/>
      <c r="O1" s="278"/>
      <c r="P1"/>
      <c r="Q1"/>
      <c r="R1"/>
      <c r="S1"/>
      <c r="T1" s="279">
        <f>はじめに!E4</f>
        <v>0</v>
      </c>
      <c r="U1" s="312"/>
      <c r="V1" s="312"/>
      <c r="W1" s="312"/>
      <c r="X1" s="312"/>
      <c r="Y1" s="312"/>
      <c r="Z1" s="312"/>
      <c r="AW1" s="277" t="str">
        <f>IF(T1=2022,AZ1,AZ2)</f>
        <v>一般その他化石2023</v>
      </c>
      <c r="AX1" s="277" t="str">
        <f>IF(T1=2022,BB1,BB2)</f>
        <v>一般その他非化石2023</v>
      </c>
      <c r="AZ1" s="280" t="s">
        <v>5075</v>
      </c>
      <c r="BB1" s="280" t="s">
        <v>5076</v>
      </c>
    </row>
    <row r="2" spans="3:54" ht="12" customHeight="1">
      <c r="N2" s="278">
        <f>はじめに!E4</f>
        <v>0</v>
      </c>
      <c r="O2" s="278"/>
      <c r="P2"/>
      <c r="Q2"/>
      <c r="R2"/>
      <c r="S2"/>
      <c r="T2" s="281"/>
      <c r="U2" s="312"/>
      <c r="V2" s="312"/>
      <c r="W2" s="312"/>
      <c r="X2" s="312"/>
      <c r="Y2" s="312"/>
      <c r="Z2" s="312"/>
      <c r="AH2" s="282">
        <v>2022</v>
      </c>
      <c r="AN2" s="282">
        <v>2023</v>
      </c>
      <c r="AZ2" s="280" t="s">
        <v>5077</v>
      </c>
      <c r="BB2" s="280" t="s">
        <v>5078</v>
      </c>
    </row>
    <row r="3" spans="3:54" ht="32.4" customHeight="1" thickBot="1">
      <c r="C3" s="283" t="s">
        <v>5079</v>
      </c>
      <c r="D3" s="283"/>
      <c r="E3" s="283"/>
      <c r="F3" s="283"/>
      <c r="G3" s="283"/>
      <c r="H3" s="284"/>
      <c r="I3" s="284"/>
      <c r="J3" s="284"/>
      <c r="K3" s="284"/>
      <c r="L3" s="284"/>
      <c r="M3" s="284"/>
      <c r="N3" s="284"/>
      <c r="O3" s="278"/>
      <c r="P3"/>
      <c r="Q3"/>
      <c r="R3"/>
      <c r="S3"/>
      <c r="T3" s="285"/>
      <c r="U3" s="283" t="s">
        <v>5079</v>
      </c>
      <c r="V3" s="312"/>
      <c r="W3" s="312"/>
      <c r="X3" s="312"/>
      <c r="Y3" s="312"/>
      <c r="Z3" s="312"/>
      <c r="AI3" s="277" t="s">
        <v>42</v>
      </c>
      <c r="AO3" s="277" t="s">
        <v>42</v>
      </c>
    </row>
    <row r="4" spans="3:54" ht="19.350000000000001" customHeight="1">
      <c r="C4" s="646" t="s">
        <v>5082</v>
      </c>
      <c r="D4" s="647"/>
      <c r="E4" s="647"/>
      <c r="F4" s="647"/>
      <c r="G4" s="647"/>
      <c r="H4" s="648"/>
      <c r="I4" s="653" t="s">
        <v>112</v>
      </c>
      <c r="J4" s="655" t="s">
        <v>40</v>
      </c>
      <c r="K4" s="657" t="s">
        <v>41</v>
      </c>
      <c r="L4" s="661" t="s">
        <v>42</v>
      </c>
      <c r="M4" s="667" t="s">
        <v>5083</v>
      </c>
      <c r="N4" s="665" t="s">
        <v>5084</v>
      </c>
      <c r="O4" s="278"/>
      <c r="P4"/>
      <c r="Q4"/>
      <c r="R4" s="277">
        <f>IF(V4=0,0,1)</f>
        <v>0</v>
      </c>
      <c r="S4"/>
      <c r="T4" s="285"/>
      <c r="U4" s="452" t="s">
        <v>113</v>
      </c>
      <c r="V4" s="290">
        <f>SUM(M22,M30,M42)</f>
        <v>0</v>
      </c>
      <c r="W4" s="548" t="s">
        <v>116</v>
      </c>
      <c r="X4" s="312"/>
      <c r="Y4" s="312"/>
      <c r="Z4" s="312"/>
      <c r="AE4" s="292"/>
      <c r="AG4" s="277">
        <v>1</v>
      </c>
      <c r="AH4" s="277" t="s">
        <v>4258</v>
      </c>
      <c r="AI4" s="277" t="s">
        <v>4181</v>
      </c>
      <c r="AJ4" s="277">
        <f t="shared" ref="AJ4:AJ20" si="0">SUMIFS($I$13:$I$19,$E$13:$E$19,$AN4)</f>
        <v>0</v>
      </c>
      <c r="AK4" s="277">
        <f t="shared" ref="AK4:AK20" si="1">SUMIFS($J$13:$J$19,$E$13:$E$19,$AN4)</f>
        <v>0</v>
      </c>
      <c r="AM4" s="277">
        <v>1</v>
      </c>
      <c r="AN4" s="277" t="s">
        <v>4258</v>
      </c>
      <c r="AO4" s="277" t="s">
        <v>4181</v>
      </c>
      <c r="AP4" s="277">
        <f t="shared" ref="AP4:AP34" si="2">SUMIFS($I$13:$I$19,$E$13:$E$19,$AN4)</f>
        <v>0</v>
      </c>
      <c r="AQ4" s="277">
        <f t="shared" ref="AQ4:AQ34" si="3">SUMIFS($J$13:$J$19,$E$13:$E$19,$AN4)</f>
        <v>0</v>
      </c>
      <c r="AR4" s="277">
        <f t="shared" ref="AR4:AR34" si="4">COUNTIF($AT$4:$AT$10,AN4)</f>
        <v>1</v>
      </c>
      <c r="AT4" s="277" t="s">
        <v>4966</v>
      </c>
    </row>
    <row r="5" spans="3:54" ht="19.350000000000001" customHeight="1">
      <c r="C5" s="649"/>
      <c r="D5" s="650"/>
      <c r="E5" s="650"/>
      <c r="F5" s="650"/>
      <c r="G5" s="650"/>
      <c r="H5" s="651"/>
      <c r="I5" s="654"/>
      <c r="J5" s="656"/>
      <c r="K5" s="658"/>
      <c r="L5" s="662"/>
      <c r="M5" s="664"/>
      <c r="N5" s="666"/>
      <c r="O5" s="278"/>
      <c r="P5" s="549" t="s">
        <v>5080</v>
      </c>
      <c r="Q5" s="549" t="s">
        <v>5081</v>
      </c>
      <c r="R5" s="549" t="s">
        <v>4961</v>
      </c>
      <c r="S5" s="549" t="s">
        <v>4962</v>
      </c>
      <c r="T5" s="285"/>
      <c r="U5" s="550" t="s">
        <v>114</v>
      </c>
      <c r="V5" s="298">
        <f>V4*0.0258</f>
        <v>0</v>
      </c>
      <c r="W5" s="551" t="s">
        <v>117</v>
      </c>
      <c r="X5" s="312"/>
      <c r="Y5" s="312"/>
      <c r="Z5" s="312"/>
      <c r="AE5" s="292"/>
      <c r="AG5" s="277">
        <v>2</v>
      </c>
      <c r="AH5" s="292" t="s">
        <v>46</v>
      </c>
      <c r="AI5" s="277" t="s">
        <v>4182</v>
      </c>
      <c r="AJ5" s="277">
        <f t="shared" si="0"/>
        <v>0</v>
      </c>
      <c r="AK5" s="277">
        <f t="shared" si="1"/>
        <v>0</v>
      </c>
      <c r="AM5" s="277">
        <v>2</v>
      </c>
      <c r="AN5" s="292" t="s">
        <v>46</v>
      </c>
      <c r="AO5" s="277" t="s">
        <v>4182</v>
      </c>
      <c r="AP5" s="277">
        <f t="shared" si="2"/>
        <v>0</v>
      </c>
      <c r="AQ5" s="277">
        <f t="shared" si="3"/>
        <v>0</v>
      </c>
      <c r="AR5" s="277">
        <f t="shared" si="4"/>
        <v>1</v>
      </c>
      <c r="AT5" s="277" t="s">
        <v>46</v>
      </c>
    </row>
    <row r="6" spans="3:54" ht="19.350000000000001" customHeight="1" thickBot="1">
      <c r="C6" s="337"/>
      <c r="D6" s="301" t="s">
        <v>44</v>
      </c>
      <c r="E6" s="302"/>
      <c r="F6" s="302"/>
      <c r="G6" s="302"/>
      <c r="H6" s="302"/>
      <c r="I6" s="303" t="str">
        <f>'計算シート（基準年度）'!Q3</f>
        <v/>
      </c>
      <c r="J6" s="163"/>
      <c r="K6" s="304" t="str">
        <f>IF(AND(I6="",J6=""),"",SUM(I6)-SUM(J6))</f>
        <v/>
      </c>
      <c r="L6" s="305" t="s">
        <v>39</v>
      </c>
      <c r="M6" s="577" t="str">
        <f t="shared" ref="M6:M12" si="5">IFERROR(IF(K6="","",$K6*R6),"-------------")</f>
        <v/>
      </c>
      <c r="N6" s="306" t="str">
        <f t="shared" ref="N6:N17" si="6">IFERROR(IF(K6="","",$M6*S6*44/12),"----------")</f>
        <v/>
      </c>
      <c r="O6" s="552"/>
      <c r="P6" s="327" t="s">
        <v>4258</v>
      </c>
      <c r="Q6" s="327" t="s">
        <v>4258</v>
      </c>
      <c r="R6" s="327">
        <f t="shared" ref="R6:R12" si="7">IF($T$1=2022,VLOOKUP(P6,係数2022,7,0),VLOOKUP(Q6,係数2023,7,0))</f>
        <v>33.4</v>
      </c>
      <c r="S6" s="327">
        <f t="shared" ref="S6:S12" si="8">IF($T$1=2022,VLOOKUP(P6,係数2022,9,0),VLOOKUP(Q6,係数2023,9,0))</f>
        <v>1.8700000000000001E-2</v>
      </c>
      <c r="T6" s="292"/>
      <c r="U6" s="488" t="s">
        <v>118</v>
      </c>
      <c r="V6" s="310">
        <f>ROUNDDOWN(SUM(N22,N30,N42),1)</f>
        <v>0</v>
      </c>
      <c r="W6" s="311" t="s">
        <v>5160</v>
      </c>
      <c r="X6" s="312"/>
      <c r="Y6" s="312"/>
      <c r="Z6" s="312"/>
      <c r="AG6" s="277">
        <v>3</v>
      </c>
      <c r="AH6" s="277" t="s">
        <v>47</v>
      </c>
      <c r="AI6" s="277" t="s">
        <v>5086</v>
      </c>
      <c r="AJ6" s="277">
        <f t="shared" si="0"/>
        <v>0</v>
      </c>
      <c r="AK6" s="277">
        <f t="shared" si="1"/>
        <v>0</v>
      </c>
      <c r="AM6" s="277">
        <v>3</v>
      </c>
      <c r="AN6" s="277" t="s">
        <v>47</v>
      </c>
      <c r="AO6" s="277" t="s">
        <v>5086</v>
      </c>
      <c r="AP6" s="277">
        <f t="shared" si="2"/>
        <v>0</v>
      </c>
      <c r="AQ6" s="277">
        <f t="shared" si="3"/>
        <v>0</v>
      </c>
      <c r="AR6" s="277">
        <f t="shared" si="4"/>
        <v>1</v>
      </c>
      <c r="AT6" s="277" t="s">
        <v>47</v>
      </c>
    </row>
    <row r="7" spans="3:54" ht="19.350000000000001" customHeight="1">
      <c r="C7" s="553"/>
      <c r="D7" s="314" t="s">
        <v>46</v>
      </c>
      <c r="E7" s="302"/>
      <c r="F7" s="302"/>
      <c r="G7" s="302"/>
      <c r="H7" s="302"/>
      <c r="I7" s="303" t="str">
        <f>'計算シート（基準年度）'!Q4</f>
        <v/>
      </c>
      <c r="J7" s="163"/>
      <c r="K7" s="304" t="str">
        <f t="shared" ref="K7:K12" si="9">IF(AND(I7="",J7=""),"",SUM(I7)-SUM(J7))</f>
        <v/>
      </c>
      <c r="L7" s="305" t="s">
        <v>39</v>
      </c>
      <c r="M7" s="577" t="str">
        <f t="shared" si="5"/>
        <v/>
      </c>
      <c r="N7" s="306" t="str">
        <f t="shared" si="6"/>
        <v/>
      </c>
      <c r="O7" s="552"/>
      <c r="P7" s="327" t="s">
        <v>46</v>
      </c>
      <c r="Q7" s="327" t="s">
        <v>46</v>
      </c>
      <c r="R7" s="327">
        <f t="shared" si="7"/>
        <v>36.5</v>
      </c>
      <c r="S7" s="327">
        <f t="shared" si="8"/>
        <v>1.8700000000000001E-2</v>
      </c>
      <c r="T7" s="292"/>
      <c r="U7" s="554"/>
      <c r="V7" s="312"/>
      <c r="W7" s="312"/>
      <c r="X7" s="312"/>
      <c r="Y7" s="312"/>
      <c r="Z7" s="312"/>
      <c r="AG7" s="277">
        <v>4</v>
      </c>
      <c r="AH7" s="292" t="s">
        <v>48</v>
      </c>
      <c r="AI7" s="277" t="s">
        <v>4181</v>
      </c>
      <c r="AJ7" s="277">
        <f t="shared" si="0"/>
        <v>0</v>
      </c>
      <c r="AK7" s="277">
        <f t="shared" si="1"/>
        <v>0</v>
      </c>
      <c r="AM7" s="277">
        <v>4</v>
      </c>
      <c r="AN7" s="292" t="s">
        <v>48</v>
      </c>
      <c r="AO7" s="277" t="s">
        <v>4181</v>
      </c>
      <c r="AP7" s="277">
        <f t="shared" si="2"/>
        <v>0</v>
      </c>
      <c r="AQ7" s="277">
        <f t="shared" si="3"/>
        <v>0</v>
      </c>
      <c r="AR7" s="277">
        <f t="shared" si="4"/>
        <v>1</v>
      </c>
      <c r="AT7" s="277" t="s">
        <v>48</v>
      </c>
    </row>
    <row r="8" spans="3:54" ht="19.350000000000001" customHeight="1">
      <c r="C8" s="553"/>
      <c r="D8" s="314" t="s">
        <v>47</v>
      </c>
      <c r="E8" s="302"/>
      <c r="F8" s="302"/>
      <c r="G8" s="302"/>
      <c r="H8" s="302"/>
      <c r="I8" s="303" t="str">
        <f>'計算シート（基準年度）'!Q5</f>
        <v/>
      </c>
      <c r="J8" s="163"/>
      <c r="K8" s="304" t="str">
        <f t="shared" si="9"/>
        <v/>
      </c>
      <c r="L8" s="305" t="s">
        <v>39</v>
      </c>
      <c r="M8" s="577" t="str">
        <f t="shared" si="5"/>
        <v/>
      </c>
      <c r="N8" s="306" t="str">
        <f t="shared" si="6"/>
        <v/>
      </c>
      <c r="O8" s="552"/>
      <c r="P8" s="327" t="s">
        <v>47</v>
      </c>
      <c r="Q8" s="327" t="s">
        <v>47</v>
      </c>
      <c r="R8" s="327">
        <f>IF($T$1=2022,VLOOKUP(P8,係数2022,7,0),VLOOKUP(Q8,係数2023,7,0))</f>
        <v>38</v>
      </c>
      <c r="S8" s="327">
        <f t="shared" si="8"/>
        <v>1.8800000000000001E-2</v>
      </c>
      <c r="T8" s="292"/>
      <c r="U8" s="668" t="s">
        <v>5144</v>
      </c>
      <c r="V8" s="670" t="s">
        <v>5145</v>
      </c>
      <c r="W8" s="671"/>
      <c r="X8" s="316"/>
      <c r="Y8" s="317"/>
      <c r="Z8" s="318"/>
      <c r="AG8" s="277">
        <v>5</v>
      </c>
      <c r="AH8" s="292" t="s">
        <v>49</v>
      </c>
      <c r="AI8" s="277" t="s">
        <v>4181</v>
      </c>
      <c r="AJ8" s="277">
        <f t="shared" si="0"/>
        <v>0</v>
      </c>
      <c r="AK8" s="277">
        <f t="shared" si="1"/>
        <v>0</v>
      </c>
      <c r="AM8" s="277">
        <v>5</v>
      </c>
      <c r="AN8" s="292" t="s">
        <v>49</v>
      </c>
      <c r="AO8" s="277" t="s">
        <v>4181</v>
      </c>
      <c r="AP8" s="277">
        <f t="shared" si="2"/>
        <v>0</v>
      </c>
      <c r="AQ8" s="277">
        <f t="shared" si="3"/>
        <v>0</v>
      </c>
      <c r="AR8" s="277">
        <f t="shared" si="4"/>
        <v>1</v>
      </c>
      <c r="AT8" s="277" t="s">
        <v>49</v>
      </c>
    </row>
    <row r="9" spans="3:54" ht="19.350000000000001" customHeight="1">
      <c r="C9" s="553"/>
      <c r="D9" s="314" t="s">
        <v>48</v>
      </c>
      <c r="E9" s="302"/>
      <c r="F9" s="302"/>
      <c r="G9" s="302"/>
      <c r="H9" s="302"/>
      <c r="I9" s="303" t="str">
        <f>'計算シート（基準年度）'!Q6</f>
        <v/>
      </c>
      <c r="J9" s="163"/>
      <c r="K9" s="304" t="str">
        <f t="shared" si="9"/>
        <v/>
      </c>
      <c r="L9" s="305" t="s">
        <v>39</v>
      </c>
      <c r="M9" s="577" t="str">
        <f t="shared" si="5"/>
        <v/>
      </c>
      <c r="N9" s="306" t="str">
        <f t="shared" si="6"/>
        <v/>
      </c>
      <c r="O9" s="319"/>
      <c r="P9" s="327" t="s">
        <v>48</v>
      </c>
      <c r="Q9" s="327" t="s">
        <v>48</v>
      </c>
      <c r="R9" s="327">
        <f t="shared" si="7"/>
        <v>38.9</v>
      </c>
      <c r="S9" s="327">
        <f t="shared" si="8"/>
        <v>1.9300000000000001E-2</v>
      </c>
      <c r="T9" s="292"/>
      <c r="U9" s="669"/>
      <c r="V9" s="672"/>
      <c r="W9" s="673"/>
      <c r="X9" s="674" t="s">
        <v>5146</v>
      </c>
      <c r="Y9" s="675"/>
      <c r="Z9" s="320" t="s">
        <v>5147</v>
      </c>
      <c r="AG9" s="277">
        <v>6</v>
      </c>
      <c r="AH9" s="277" t="s">
        <v>4179</v>
      </c>
      <c r="AI9" s="277" t="s">
        <v>4182</v>
      </c>
      <c r="AJ9" s="277">
        <f t="shared" si="0"/>
        <v>0</v>
      </c>
      <c r="AK9" s="277">
        <f t="shared" si="1"/>
        <v>0</v>
      </c>
      <c r="AM9" s="277">
        <v>6</v>
      </c>
      <c r="AN9" s="277" t="s">
        <v>4179</v>
      </c>
      <c r="AO9" s="277" t="s">
        <v>4182</v>
      </c>
      <c r="AP9" s="277">
        <f t="shared" si="2"/>
        <v>0</v>
      </c>
      <c r="AQ9" s="277">
        <f t="shared" si="3"/>
        <v>0</v>
      </c>
      <c r="AR9" s="277">
        <f t="shared" si="4"/>
        <v>1</v>
      </c>
      <c r="AT9" s="277" t="s">
        <v>4179</v>
      </c>
    </row>
    <row r="10" spans="3:54" ht="19.350000000000001" customHeight="1">
      <c r="C10" s="553" t="s">
        <v>5088</v>
      </c>
      <c r="D10" s="314" t="s">
        <v>49</v>
      </c>
      <c r="E10" s="302"/>
      <c r="F10" s="302"/>
      <c r="G10" s="302"/>
      <c r="H10" s="302"/>
      <c r="I10" s="303" t="str">
        <f>'計算シート（基準年度）'!Q7</f>
        <v/>
      </c>
      <c r="J10" s="163"/>
      <c r="K10" s="304" t="str">
        <f t="shared" si="9"/>
        <v/>
      </c>
      <c r="L10" s="305" t="s">
        <v>39</v>
      </c>
      <c r="M10" s="577" t="str">
        <f t="shared" si="5"/>
        <v/>
      </c>
      <c r="N10" s="306" t="str">
        <f t="shared" si="6"/>
        <v/>
      </c>
      <c r="O10" s="319"/>
      <c r="P10" s="327" t="s">
        <v>49</v>
      </c>
      <c r="Q10" s="327" t="s">
        <v>49</v>
      </c>
      <c r="R10" s="327">
        <f t="shared" si="7"/>
        <v>41.8</v>
      </c>
      <c r="S10" s="327">
        <f t="shared" si="8"/>
        <v>2.0199999999999999E-2</v>
      </c>
      <c r="T10" s="292"/>
      <c r="U10" s="321" t="s">
        <v>5154</v>
      </c>
      <c r="V10" s="322">
        <f>M22</f>
        <v>0</v>
      </c>
      <c r="W10" s="323" t="s">
        <v>116</v>
      </c>
      <c r="X10" s="676"/>
      <c r="Y10" s="677"/>
      <c r="Z10" s="324"/>
      <c r="AG10" s="277">
        <v>7</v>
      </c>
      <c r="AH10" s="277" t="s">
        <v>4272</v>
      </c>
      <c r="AI10" s="277" t="s">
        <v>5086</v>
      </c>
      <c r="AJ10" s="277">
        <f t="shared" si="0"/>
        <v>0</v>
      </c>
      <c r="AK10" s="277">
        <f t="shared" si="1"/>
        <v>0</v>
      </c>
      <c r="AM10" s="277">
        <v>7</v>
      </c>
      <c r="AN10" s="277" t="s">
        <v>4272</v>
      </c>
      <c r="AO10" s="277" t="s">
        <v>5086</v>
      </c>
      <c r="AP10" s="277">
        <f t="shared" si="2"/>
        <v>0</v>
      </c>
      <c r="AQ10" s="277">
        <f t="shared" si="3"/>
        <v>0</v>
      </c>
      <c r="AR10" s="277">
        <f t="shared" si="4"/>
        <v>1</v>
      </c>
      <c r="AT10" s="277" t="s">
        <v>4272</v>
      </c>
    </row>
    <row r="11" spans="3:54" ht="19.350000000000001" customHeight="1" thickBot="1">
      <c r="C11" s="553" t="s">
        <v>5089</v>
      </c>
      <c r="D11" s="314" t="s">
        <v>4179</v>
      </c>
      <c r="E11" s="302"/>
      <c r="F11" s="302"/>
      <c r="G11" s="302"/>
      <c r="H11" s="302"/>
      <c r="I11" s="303" t="str">
        <f>'計算シート（基準年度）'!Q8</f>
        <v/>
      </c>
      <c r="J11" s="163"/>
      <c r="K11" s="304" t="str">
        <f t="shared" si="9"/>
        <v/>
      </c>
      <c r="L11" s="305" t="s">
        <v>51</v>
      </c>
      <c r="M11" s="577" t="str">
        <f t="shared" si="5"/>
        <v/>
      </c>
      <c r="N11" s="306" t="str">
        <f t="shared" si="6"/>
        <v/>
      </c>
      <c r="O11" s="319"/>
      <c r="P11" s="327" t="s">
        <v>4179</v>
      </c>
      <c r="Q11" s="327" t="s">
        <v>4179</v>
      </c>
      <c r="R11" s="327">
        <f t="shared" si="7"/>
        <v>50.1</v>
      </c>
      <c r="S11" s="327">
        <f t="shared" si="8"/>
        <v>1.6299999999999999E-2</v>
      </c>
      <c r="T11" s="292"/>
      <c r="U11" s="321" t="s">
        <v>5153</v>
      </c>
      <c r="V11" s="322">
        <f>IF(T1=2022,"-------------------",SUM(M30))</f>
        <v>0</v>
      </c>
      <c r="W11" s="323" t="s">
        <v>116</v>
      </c>
      <c r="X11" s="322">
        <f>V11</f>
        <v>0</v>
      </c>
      <c r="Y11" s="323" t="s">
        <v>116</v>
      </c>
      <c r="Z11" s="325" t="str">
        <f>IF(T1=2022,"---------------",IF(V11&lt;&gt;0,X11/V11,"---------------"))</f>
        <v>---------------</v>
      </c>
      <c r="AG11" s="277">
        <v>8</v>
      </c>
      <c r="AH11" s="292" t="s">
        <v>107</v>
      </c>
      <c r="AI11" s="277" t="s">
        <v>4181</v>
      </c>
      <c r="AJ11" s="277">
        <f t="shared" si="0"/>
        <v>0</v>
      </c>
      <c r="AK11" s="277">
        <f t="shared" si="1"/>
        <v>0</v>
      </c>
      <c r="AM11" s="277">
        <v>8</v>
      </c>
      <c r="AN11" s="292" t="s">
        <v>107</v>
      </c>
      <c r="AO11" s="277" t="s">
        <v>4181</v>
      </c>
      <c r="AP11" s="277">
        <f t="shared" si="2"/>
        <v>0</v>
      </c>
      <c r="AQ11" s="277">
        <f t="shared" si="3"/>
        <v>0</v>
      </c>
      <c r="AR11" s="277">
        <f t="shared" si="4"/>
        <v>0</v>
      </c>
    </row>
    <row r="12" spans="3:54" ht="19.350000000000001" customHeight="1" thickTop="1">
      <c r="C12" s="553" t="s">
        <v>5090</v>
      </c>
      <c r="D12" s="314" t="s">
        <v>63</v>
      </c>
      <c r="E12" s="302"/>
      <c r="F12" s="302"/>
      <c r="G12" s="302"/>
      <c r="H12" s="302"/>
      <c r="I12" s="303" t="str">
        <f>'計算シート（基準年度）'!Q9</f>
        <v/>
      </c>
      <c r="J12" s="163"/>
      <c r="K12" s="304" t="str">
        <f t="shared" si="9"/>
        <v/>
      </c>
      <c r="L12" s="555" t="s">
        <v>5162</v>
      </c>
      <c r="M12" s="577" t="str">
        <f t="shared" si="5"/>
        <v/>
      </c>
      <c r="N12" s="306" t="str">
        <f t="shared" si="6"/>
        <v/>
      </c>
      <c r="O12" s="319"/>
      <c r="P12" s="327" t="s">
        <v>4272</v>
      </c>
      <c r="Q12" s="327" t="s">
        <v>4272</v>
      </c>
      <c r="R12" s="327">
        <f t="shared" si="7"/>
        <v>45</v>
      </c>
      <c r="S12" s="327">
        <f t="shared" si="8"/>
        <v>1.4E-2</v>
      </c>
      <c r="T12" s="292"/>
      <c r="U12" s="321" t="s">
        <v>5148</v>
      </c>
      <c r="V12" s="328">
        <f>SUM(V10:V11)</f>
        <v>0</v>
      </c>
      <c r="W12" s="329" t="s">
        <v>116</v>
      </c>
      <c r="X12" s="328">
        <f>IF($T$1=2022,"-------------------",SUM(X11,X10))</f>
        <v>0</v>
      </c>
      <c r="Y12" s="329" t="s">
        <v>116</v>
      </c>
      <c r="Z12" s="330">
        <f>IF($T$1=2022,"---------------",IF(X12=0,0,X12/V12))</f>
        <v>0</v>
      </c>
      <c r="AG12" s="277">
        <v>9</v>
      </c>
      <c r="AH12" s="292" t="s">
        <v>108</v>
      </c>
      <c r="AI12" s="277" t="s">
        <v>4181</v>
      </c>
      <c r="AJ12" s="277">
        <f t="shared" si="0"/>
        <v>0</v>
      </c>
      <c r="AK12" s="277">
        <f t="shared" si="1"/>
        <v>0</v>
      </c>
      <c r="AM12" s="277">
        <v>9</v>
      </c>
      <c r="AN12" s="292" t="s">
        <v>108</v>
      </c>
      <c r="AO12" s="277" t="s">
        <v>4181</v>
      </c>
      <c r="AP12" s="277">
        <f t="shared" si="2"/>
        <v>0</v>
      </c>
      <c r="AQ12" s="277">
        <f t="shared" si="3"/>
        <v>0</v>
      </c>
      <c r="AR12" s="277">
        <f t="shared" si="4"/>
        <v>0</v>
      </c>
    </row>
    <row r="13" spans="3:54" ht="19.350000000000001" customHeight="1">
      <c r="C13" s="553" t="s">
        <v>5091</v>
      </c>
      <c r="D13" s="331"/>
      <c r="E13" s="696"/>
      <c r="F13" s="697"/>
      <c r="G13" s="697"/>
      <c r="H13" s="698"/>
      <c r="I13" s="164"/>
      <c r="J13" s="163"/>
      <c r="K13" s="304" t="str">
        <f>IF(AND(I13="",J13=""),"",SUM(I13)-SUM(J13))</f>
        <v/>
      </c>
      <c r="L13" s="305" t="str">
        <f>IF(E13="","",IF($T$1=2022,VLOOKUP(E13,係数2022,6,0),VLOOKUP(E13,係数2023,6,0)))</f>
        <v/>
      </c>
      <c r="M13" s="577" t="str">
        <f>IFERROR(IF(K13="","",$K13*R13),"----------")</f>
        <v/>
      </c>
      <c r="N13" s="306" t="str">
        <f t="shared" si="6"/>
        <v/>
      </c>
      <c r="O13" s="319"/>
      <c r="P13" s="556"/>
      <c r="Q13" s="556"/>
      <c r="R13" s="556" t="e">
        <f t="shared" ref="R13:R17" si="10">IF($T$1=2022,VLOOKUP(E13,係数2022,7,0),VLOOKUP(E13,係数2023,7,0))</f>
        <v>#N/A</v>
      </c>
      <c r="S13" s="556" t="e">
        <f t="shared" ref="S13:S17" si="11">IF($T$1=2022,VLOOKUP(E13,係数2022,9,0),VLOOKUP(E13,係数2023,9,0))</f>
        <v>#N/A</v>
      </c>
      <c r="T13" s="312"/>
      <c r="U13" s="554"/>
      <c r="V13" s="312"/>
      <c r="W13" s="312"/>
      <c r="X13" s="312"/>
      <c r="Y13" s="312"/>
      <c r="Z13" s="312"/>
      <c r="AG13" s="277">
        <v>10</v>
      </c>
      <c r="AH13" s="292" t="s">
        <v>45</v>
      </c>
      <c r="AI13" s="277" t="s">
        <v>4181</v>
      </c>
      <c r="AJ13" s="277">
        <f t="shared" si="0"/>
        <v>0</v>
      </c>
      <c r="AK13" s="277">
        <f t="shared" si="1"/>
        <v>0</v>
      </c>
      <c r="AM13" s="277">
        <v>10</v>
      </c>
      <c r="AN13" s="292" t="s">
        <v>45</v>
      </c>
      <c r="AO13" s="277" t="s">
        <v>4181</v>
      </c>
      <c r="AP13" s="277">
        <f t="shared" si="2"/>
        <v>0</v>
      </c>
      <c r="AQ13" s="277">
        <f t="shared" si="3"/>
        <v>0</v>
      </c>
      <c r="AR13" s="277">
        <f t="shared" si="4"/>
        <v>0</v>
      </c>
    </row>
    <row r="14" spans="3:54" ht="19.350000000000001" customHeight="1">
      <c r="C14" s="553" t="s">
        <v>5133</v>
      </c>
      <c r="D14" s="334"/>
      <c r="E14" s="696"/>
      <c r="F14" s="697"/>
      <c r="G14" s="697"/>
      <c r="H14" s="698"/>
      <c r="I14" s="164"/>
      <c r="J14" s="163"/>
      <c r="K14" s="304" t="str">
        <f t="shared" ref="K14:K20" si="12">IF(AND(I14="",J14=""),"",SUM(I14)-SUM(J14))</f>
        <v/>
      </c>
      <c r="L14" s="305" t="str">
        <f>IF(E14="","",IF($T$1=2022,VLOOKUP(E14,係数2022,6,0),VLOOKUP(E14,係数2023,6,0)))</f>
        <v/>
      </c>
      <c r="M14" s="577" t="str">
        <f>IFERROR(IF(K14="","",$K14*R14),"----------")</f>
        <v/>
      </c>
      <c r="N14" s="306" t="str">
        <f t="shared" si="6"/>
        <v/>
      </c>
      <c r="O14" s="319"/>
      <c r="P14" s="556"/>
      <c r="Q14" s="556"/>
      <c r="R14" s="556" t="e">
        <f t="shared" si="10"/>
        <v>#N/A</v>
      </c>
      <c r="S14" s="556" t="e">
        <f t="shared" si="11"/>
        <v>#N/A</v>
      </c>
      <c r="T14" s="292"/>
      <c r="U14" s="668" t="s">
        <v>5144</v>
      </c>
      <c r="V14" s="670" t="s">
        <v>5149</v>
      </c>
      <c r="W14" s="671"/>
      <c r="X14" s="316"/>
      <c r="Y14" s="317"/>
      <c r="Z14" s="318"/>
      <c r="AG14" s="277">
        <v>11</v>
      </c>
      <c r="AH14" s="277" t="s">
        <v>4968</v>
      </c>
      <c r="AI14" s="277" t="s">
        <v>4181</v>
      </c>
      <c r="AJ14" s="277">
        <f t="shared" si="0"/>
        <v>0</v>
      </c>
      <c r="AK14" s="277">
        <f t="shared" si="1"/>
        <v>0</v>
      </c>
      <c r="AM14" s="277">
        <v>11</v>
      </c>
      <c r="AN14" s="277" t="s">
        <v>4968</v>
      </c>
      <c r="AO14" s="277" t="s">
        <v>4181</v>
      </c>
      <c r="AP14" s="277">
        <f t="shared" si="2"/>
        <v>0</v>
      </c>
      <c r="AQ14" s="277">
        <f t="shared" si="3"/>
        <v>0</v>
      </c>
      <c r="AR14" s="277">
        <f t="shared" si="4"/>
        <v>0</v>
      </c>
    </row>
    <row r="15" spans="3:54" ht="19.350000000000001" customHeight="1">
      <c r="C15" s="553" t="s">
        <v>5018</v>
      </c>
      <c r="D15" s="334"/>
      <c r="E15" s="696"/>
      <c r="F15" s="697"/>
      <c r="G15" s="697"/>
      <c r="H15" s="698"/>
      <c r="I15" s="164"/>
      <c r="J15" s="163"/>
      <c r="K15" s="304" t="str">
        <f t="shared" si="12"/>
        <v/>
      </c>
      <c r="L15" s="305" t="str">
        <f>IF(E15="","",IF($T$1=2022,VLOOKUP(E15,係数2022,6,0),VLOOKUP(E15,係数2023,6,0)))</f>
        <v/>
      </c>
      <c r="M15" s="577" t="str">
        <f>IFERROR(IF(K15="","",$K15*R15),"----------")</f>
        <v/>
      </c>
      <c r="N15" s="306" t="str">
        <f t="shared" si="6"/>
        <v/>
      </c>
      <c r="O15" s="319"/>
      <c r="P15" s="556"/>
      <c r="Q15" s="556"/>
      <c r="R15" s="556" t="e">
        <f t="shared" si="10"/>
        <v>#N/A</v>
      </c>
      <c r="S15" s="556" t="e">
        <f t="shared" si="11"/>
        <v>#N/A</v>
      </c>
      <c r="T15" s="292"/>
      <c r="U15" s="669"/>
      <c r="V15" s="672"/>
      <c r="W15" s="673"/>
      <c r="X15" s="674" t="s">
        <v>5150</v>
      </c>
      <c r="Y15" s="675"/>
      <c r="Z15" s="320" t="s">
        <v>5147</v>
      </c>
      <c r="AG15" s="277">
        <v>12</v>
      </c>
      <c r="AH15" s="292" t="s">
        <v>50</v>
      </c>
      <c r="AI15" s="277" t="s">
        <v>4181</v>
      </c>
      <c r="AJ15" s="277">
        <f t="shared" si="0"/>
        <v>0</v>
      </c>
      <c r="AK15" s="277">
        <f t="shared" si="1"/>
        <v>0</v>
      </c>
      <c r="AM15" s="277">
        <v>12</v>
      </c>
      <c r="AN15" s="292" t="s">
        <v>50</v>
      </c>
      <c r="AO15" s="277" t="s">
        <v>4181</v>
      </c>
      <c r="AP15" s="277">
        <f t="shared" si="2"/>
        <v>0</v>
      </c>
      <c r="AQ15" s="277">
        <f t="shared" si="3"/>
        <v>0</v>
      </c>
      <c r="AR15" s="277">
        <f t="shared" si="4"/>
        <v>0</v>
      </c>
    </row>
    <row r="16" spans="3:54" ht="19.350000000000001" customHeight="1">
      <c r="C16" s="337"/>
      <c r="D16" s="334" t="s">
        <v>5092</v>
      </c>
      <c r="E16" s="696"/>
      <c r="F16" s="697"/>
      <c r="G16" s="697"/>
      <c r="H16" s="698"/>
      <c r="I16" s="164"/>
      <c r="J16" s="163"/>
      <c r="K16" s="304" t="str">
        <f t="shared" si="12"/>
        <v/>
      </c>
      <c r="L16" s="305" t="str">
        <f>IF(E16="","",IF($T$1=2022,VLOOKUP(E16,係数2022,6,0),VLOOKUP(E16,係数2023,6,0)))</f>
        <v/>
      </c>
      <c r="M16" s="577" t="str">
        <f t="shared" ref="M16:M18" si="13">IFERROR(IF(K16="","",$K16*R16),"----------")</f>
        <v/>
      </c>
      <c r="N16" s="306" t="str">
        <f t="shared" si="6"/>
        <v/>
      </c>
      <c r="O16" s="319"/>
      <c r="P16" s="556"/>
      <c r="Q16" s="556"/>
      <c r="R16" s="556" t="e">
        <f t="shared" si="10"/>
        <v>#N/A</v>
      </c>
      <c r="S16" s="556" t="e">
        <f t="shared" si="11"/>
        <v>#N/A</v>
      </c>
      <c r="T16" s="292"/>
      <c r="U16" s="321" t="s">
        <v>5035</v>
      </c>
      <c r="V16" s="335">
        <f>K42</f>
        <v>0</v>
      </c>
      <c r="W16" s="317" t="s">
        <v>5161</v>
      </c>
      <c r="X16" s="336">
        <f>K41</f>
        <v>0</v>
      </c>
      <c r="Y16" s="323" t="s">
        <v>5152</v>
      </c>
      <c r="Z16" s="325">
        <f>IF($T$1=2022,"----------",IF(V16=0,0,X16/V16))</f>
        <v>0</v>
      </c>
      <c r="AG16" s="277">
        <v>13</v>
      </c>
      <c r="AH16" s="292" t="s">
        <v>53</v>
      </c>
      <c r="AI16" s="277" t="s">
        <v>4181</v>
      </c>
      <c r="AJ16" s="277">
        <f t="shared" si="0"/>
        <v>0</v>
      </c>
      <c r="AK16" s="277">
        <f t="shared" si="1"/>
        <v>0</v>
      </c>
      <c r="AM16" s="277">
        <v>13</v>
      </c>
      <c r="AN16" s="292" t="s">
        <v>53</v>
      </c>
      <c r="AO16" s="277" t="s">
        <v>4181</v>
      </c>
      <c r="AP16" s="277">
        <f t="shared" si="2"/>
        <v>0</v>
      </c>
      <c r="AQ16" s="277">
        <f t="shared" si="3"/>
        <v>0</v>
      </c>
      <c r="AR16" s="277">
        <f t="shared" si="4"/>
        <v>0</v>
      </c>
    </row>
    <row r="17" spans="3:44" ht="19.350000000000001" customHeight="1">
      <c r="C17" s="337"/>
      <c r="D17" s="334" t="s">
        <v>5093</v>
      </c>
      <c r="E17" s="696"/>
      <c r="F17" s="697"/>
      <c r="G17" s="697"/>
      <c r="H17" s="698"/>
      <c r="I17" s="164"/>
      <c r="J17" s="163"/>
      <c r="K17" s="304" t="str">
        <f t="shared" si="12"/>
        <v/>
      </c>
      <c r="L17" s="305" t="str">
        <f>IF(E17="","",IF($T$1=2022,VLOOKUP(E17,係数2022,6,0),VLOOKUP(E17,係数2023,6,0)))</f>
        <v/>
      </c>
      <c r="M17" s="577" t="str">
        <f t="shared" si="13"/>
        <v/>
      </c>
      <c r="N17" s="306" t="str">
        <f t="shared" si="6"/>
        <v/>
      </c>
      <c r="O17" s="319"/>
      <c r="P17" s="556"/>
      <c r="Q17" s="556"/>
      <c r="R17" s="556" t="e">
        <f t="shared" si="10"/>
        <v>#N/A</v>
      </c>
      <c r="S17" s="556" t="e">
        <f t="shared" si="11"/>
        <v>#N/A</v>
      </c>
      <c r="T17" s="292"/>
      <c r="U17" s="554"/>
      <c r="V17" s="312"/>
      <c r="W17" s="312"/>
      <c r="X17" s="312"/>
      <c r="Y17" s="312"/>
      <c r="Z17" s="312"/>
      <c r="AG17" s="277">
        <v>14</v>
      </c>
      <c r="AH17" s="277" t="s">
        <v>4267</v>
      </c>
      <c r="AI17" s="277" t="s">
        <v>4182</v>
      </c>
      <c r="AJ17" s="277">
        <f t="shared" si="0"/>
        <v>0</v>
      </c>
      <c r="AK17" s="277">
        <f t="shared" si="1"/>
        <v>0</v>
      </c>
      <c r="AM17" s="277">
        <v>14</v>
      </c>
      <c r="AN17" s="277" t="s">
        <v>4267</v>
      </c>
      <c r="AO17" s="277" t="s">
        <v>4182</v>
      </c>
      <c r="AP17" s="277">
        <f t="shared" si="2"/>
        <v>0</v>
      </c>
      <c r="AQ17" s="277">
        <f t="shared" si="3"/>
        <v>0</v>
      </c>
      <c r="AR17" s="277">
        <f t="shared" si="4"/>
        <v>0</v>
      </c>
    </row>
    <row r="18" spans="3:44" ht="19.350000000000001" customHeight="1" thickBot="1">
      <c r="C18" s="337"/>
      <c r="D18" s="334" t="s">
        <v>5094</v>
      </c>
      <c r="E18" s="699" t="s">
        <v>119</v>
      </c>
      <c r="F18" s="700"/>
      <c r="G18" s="700"/>
      <c r="H18" s="701"/>
      <c r="I18" s="164"/>
      <c r="J18" s="163"/>
      <c r="K18" s="304" t="str">
        <f t="shared" si="12"/>
        <v/>
      </c>
      <c r="L18" s="305" t="s">
        <v>116</v>
      </c>
      <c r="M18" s="577" t="str">
        <f t="shared" si="13"/>
        <v/>
      </c>
      <c r="N18" s="338" t="str">
        <f>IF(K18="","",
      IF($T$1=2022,K18*S18,
                  IF(OR(W30="",K18=""),"",K18*W30)))</f>
        <v/>
      </c>
      <c r="O18" s="319"/>
      <c r="P18" s="556" t="s">
        <v>5141</v>
      </c>
      <c r="Q18" s="556" t="s">
        <v>5020</v>
      </c>
      <c r="R18" s="556">
        <f>IF($T$1=2022,VLOOKUP(P18,係数2022,7,0),VLOOKUP(Q18,係数2023,7,0))</f>
        <v>1.19</v>
      </c>
      <c r="S18" s="556" t="str">
        <f t="shared" ref="S18:S20" si="14">IF($T$1=2022,VLOOKUP(P18,係数2022,9,0),VLOOKUP(Q18,係数2023,9,0))</f>
        <v>ー</v>
      </c>
      <c r="T18" s="292"/>
      <c r="U18" s="339" t="s">
        <v>5087</v>
      </c>
      <c r="V18" s="312"/>
      <c r="W18" s="312"/>
      <c r="X18" s="312"/>
      <c r="Y18" s="312"/>
      <c r="Z18" s="312"/>
      <c r="AG18" s="277">
        <v>15</v>
      </c>
      <c r="AH18" s="292" t="s">
        <v>4180</v>
      </c>
      <c r="AI18" s="277" t="s">
        <v>5086</v>
      </c>
      <c r="AJ18" s="277">
        <f t="shared" si="0"/>
        <v>0</v>
      </c>
      <c r="AK18" s="277">
        <f t="shared" si="1"/>
        <v>0</v>
      </c>
      <c r="AM18" s="277">
        <v>15</v>
      </c>
      <c r="AN18" s="292" t="s">
        <v>4180</v>
      </c>
      <c r="AO18" s="277" t="s">
        <v>5086</v>
      </c>
      <c r="AP18" s="277">
        <f t="shared" si="2"/>
        <v>0</v>
      </c>
      <c r="AQ18" s="277">
        <f t="shared" si="3"/>
        <v>0</v>
      </c>
      <c r="AR18" s="277">
        <f t="shared" si="4"/>
        <v>0</v>
      </c>
    </row>
    <row r="19" spans="3:44" ht="19.350000000000001" customHeight="1" thickBot="1">
      <c r="C19" s="337"/>
      <c r="D19" s="334"/>
      <c r="E19" s="699" t="s">
        <v>65</v>
      </c>
      <c r="F19" s="700"/>
      <c r="G19" s="700"/>
      <c r="H19" s="701"/>
      <c r="I19" s="164"/>
      <c r="J19" s="163"/>
      <c r="K19" s="304" t="str">
        <f t="shared" si="12"/>
        <v/>
      </c>
      <c r="L19" s="305" t="s">
        <v>116</v>
      </c>
      <c r="M19" s="577" t="str">
        <f>IFERROR(IF(K19="","",$K19*R19),"----------")</f>
        <v/>
      </c>
      <c r="N19" s="338" t="str">
        <f>IF(K19="","",
      IF($T$1=2022,K19*S19,
                  IF(OR(W31="",K19=""),"",K19*W31)))</f>
        <v/>
      </c>
      <c r="O19" s="319"/>
      <c r="P19" s="556" t="s">
        <v>65</v>
      </c>
      <c r="Q19" s="556" t="s">
        <v>5021</v>
      </c>
      <c r="R19" s="556">
        <f t="shared" ref="R19:R20" si="15">IF($T$1=2022,VLOOKUP(P19,係数2022,7,0),VLOOKUP(Q19,係数2023,7,0))</f>
        <v>1.19</v>
      </c>
      <c r="S19" s="556" t="str">
        <f t="shared" si="14"/>
        <v>ー</v>
      </c>
      <c r="T19" s="292"/>
      <c r="U19" s="340" t="s">
        <v>118</v>
      </c>
      <c r="V19" s="341">
        <f>SUM(G54)</f>
        <v>0</v>
      </c>
      <c r="W19" s="497" t="s">
        <v>5085</v>
      </c>
      <c r="AG19" s="277">
        <v>16</v>
      </c>
      <c r="AH19" s="292" t="s">
        <v>54</v>
      </c>
      <c r="AI19" s="277" t="s">
        <v>4182</v>
      </c>
      <c r="AJ19" s="277">
        <f t="shared" si="0"/>
        <v>0</v>
      </c>
      <c r="AK19" s="277">
        <f t="shared" si="1"/>
        <v>0</v>
      </c>
      <c r="AM19" s="277">
        <v>16</v>
      </c>
      <c r="AN19" s="292" t="s">
        <v>54</v>
      </c>
      <c r="AO19" s="277" t="s">
        <v>4182</v>
      </c>
      <c r="AP19" s="277">
        <f t="shared" si="2"/>
        <v>0</v>
      </c>
      <c r="AQ19" s="277">
        <f t="shared" si="3"/>
        <v>0</v>
      </c>
      <c r="AR19" s="277">
        <f t="shared" si="4"/>
        <v>0</v>
      </c>
    </row>
    <row r="20" spans="3:44" ht="19.350000000000001" customHeight="1">
      <c r="C20" s="343"/>
      <c r="D20" s="344"/>
      <c r="E20" s="699" t="s">
        <v>66</v>
      </c>
      <c r="F20" s="700"/>
      <c r="G20" s="700"/>
      <c r="H20" s="701"/>
      <c r="I20" s="164"/>
      <c r="J20" s="163"/>
      <c r="K20" s="304" t="str">
        <f t="shared" si="12"/>
        <v/>
      </c>
      <c r="L20" s="305" t="s">
        <v>116</v>
      </c>
      <c r="M20" s="578" t="str">
        <f>IFERROR(IF(K20="","",$K20*R20),"----------")</f>
        <v/>
      </c>
      <c r="N20" s="338" t="str">
        <f>IF(K20="","",
      IF($T$1=2022,K20*S20,
                  IF(OR(W32="",K20=""),"",K20*W32)))</f>
        <v/>
      </c>
      <c r="O20" s="319"/>
      <c r="P20" s="556" t="s">
        <v>66</v>
      </c>
      <c r="Q20" s="556" t="s">
        <v>5022</v>
      </c>
      <c r="R20" s="556">
        <f t="shared" si="15"/>
        <v>1.19</v>
      </c>
      <c r="S20" s="556" t="str">
        <f t="shared" si="14"/>
        <v>ー</v>
      </c>
      <c r="T20" s="292"/>
      <c r="AG20" s="277">
        <v>17</v>
      </c>
      <c r="AH20" s="292" t="s">
        <v>56</v>
      </c>
      <c r="AI20" s="277" t="s">
        <v>4182</v>
      </c>
      <c r="AJ20" s="277">
        <f t="shared" si="0"/>
        <v>0</v>
      </c>
      <c r="AK20" s="277">
        <f t="shared" si="1"/>
        <v>0</v>
      </c>
      <c r="AM20" s="277">
        <v>17</v>
      </c>
      <c r="AN20" s="277" t="s">
        <v>4976</v>
      </c>
      <c r="AO20" s="277" t="s">
        <v>4182</v>
      </c>
      <c r="AP20" s="277">
        <f t="shared" si="2"/>
        <v>0</v>
      </c>
      <c r="AQ20" s="277">
        <f t="shared" si="3"/>
        <v>0</v>
      </c>
      <c r="AR20" s="277">
        <f t="shared" si="4"/>
        <v>0</v>
      </c>
    </row>
    <row r="21" spans="3:44" ht="19.350000000000001" customHeight="1" thickBot="1">
      <c r="C21" s="343"/>
      <c r="D21" s="345"/>
      <c r="E21" s="346" t="str">
        <f>"その他（"&amp;U35&amp;"）"</f>
        <v>その他（）</v>
      </c>
      <c r="F21" s="347"/>
      <c r="G21" s="347"/>
      <c r="H21" s="348"/>
      <c r="I21" s="165"/>
      <c r="J21" s="163"/>
      <c r="K21" s="349" t="str">
        <f>IF(AND(I21="",J21=""),"",SUM(I21)-SUM(J21))</f>
        <v/>
      </c>
      <c r="L21" s="226"/>
      <c r="M21" s="579"/>
      <c r="N21" s="235"/>
      <c r="O21" s="319"/>
      <c r="P21" s="327"/>
      <c r="Q21" s="327"/>
      <c r="R21" s="327"/>
      <c r="S21" s="327"/>
      <c r="T21" s="292"/>
      <c r="U21" s="339" t="s">
        <v>127</v>
      </c>
      <c r="AG21" s="277">
        <v>18</v>
      </c>
      <c r="AH21" s="292" t="s">
        <v>57</v>
      </c>
      <c r="AI21" s="277" t="s">
        <v>4182</v>
      </c>
      <c r="AJ21" s="277">
        <f>SUMIFS($I$13:$I$19,$E$13:$E$19,$AV25)</f>
        <v>0</v>
      </c>
      <c r="AK21" s="277">
        <f>SUMIFS($J$13:$J$19,$E$13:$E$19,$AV25)</f>
        <v>0</v>
      </c>
      <c r="AM21" s="277">
        <v>18</v>
      </c>
      <c r="AN21" s="277" t="s">
        <v>4977</v>
      </c>
      <c r="AO21" s="277" t="s">
        <v>4182</v>
      </c>
      <c r="AP21" s="277">
        <f t="shared" si="2"/>
        <v>0</v>
      </c>
      <c r="AQ21" s="277">
        <f t="shared" si="3"/>
        <v>0</v>
      </c>
      <c r="AR21" s="277">
        <f t="shared" si="4"/>
        <v>0</v>
      </c>
    </row>
    <row r="22" spans="3:44" ht="19.350000000000001" customHeight="1" thickTop="1" thickBot="1">
      <c r="C22" s="714" t="s">
        <v>67</v>
      </c>
      <c r="D22" s="715"/>
      <c r="E22" s="715"/>
      <c r="F22" s="715"/>
      <c r="G22" s="715"/>
      <c r="H22" s="716"/>
      <c r="I22" s="352" t="s">
        <v>68</v>
      </c>
      <c r="J22" s="353" t="s">
        <v>68</v>
      </c>
      <c r="K22" s="353" t="s">
        <v>68</v>
      </c>
      <c r="L22" s="354" t="s">
        <v>68</v>
      </c>
      <c r="M22" s="580">
        <f>SUM(M6:M21)</f>
        <v>0</v>
      </c>
      <c r="N22" s="355">
        <f>SUM(N6:N21)</f>
        <v>0</v>
      </c>
      <c r="O22" s="319"/>
      <c r="P22" s="285"/>
      <c r="Q22" s="285"/>
      <c r="R22" s="285"/>
      <c r="S22" s="285"/>
      <c r="T22" s="292"/>
      <c r="U22" s="340" t="s">
        <v>154</v>
      </c>
      <c r="V22" s="356">
        <f>SUM(G66)</f>
        <v>0</v>
      </c>
      <c r="W22" s="497" t="s">
        <v>5085</v>
      </c>
      <c r="AG22" s="277">
        <v>19</v>
      </c>
      <c r="AH22" s="292" t="s">
        <v>4985</v>
      </c>
      <c r="AI22" s="277" t="s">
        <v>4182</v>
      </c>
      <c r="AJ22" s="277">
        <f>SUMIFS($I$13:$I$19,$E$13:$E$19,$AV26)</f>
        <v>0</v>
      </c>
      <c r="AK22" s="277">
        <f>SUMIFS($J$13:$J$19,$E$13:$E$19,$AV26)</f>
        <v>0</v>
      </c>
      <c r="AM22" s="277">
        <v>19</v>
      </c>
      <c r="AN22" s="292" t="s">
        <v>4979</v>
      </c>
      <c r="AO22" s="277" t="s">
        <v>4182</v>
      </c>
      <c r="AP22" s="277">
        <f t="shared" si="2"/>
        <v>0</v>
      </c>
      <c r="AQ22" s="277">
        <f t="shared" si="3"/>
        <v>0</v>
      </c>
      <c r="AR22" s="277">
        <f t="shared" si="4"/>
        <v>0</v>
      </c>
    </row>
    <row r="23" spans="3:44" ht="19.350000000000001" customHeight="1" thickBot="1">
      <c r="C23" s="733" t="s">
        <v>5142</v>
      </c>
      <c r="D23" s="739"/>
      <c r="E23" s="740"/>
      <c r="F23" s="740"/>
      <c r="G23" s="740"/>
      <c r="H23" s="741"/>
      <c r="I23" s="168"/>
      <c r="J23" s="169"/>
      <c r="K23" s="357" t="str">
        <f t="shared" ref="K23:K29" si="16">IF(AND(I23="",J23=""),"",SUM(I23)-SUM(J23))</f>
        <v/>
      </c>
      <c r="L23" s="358" t="str">
        <f t="shared" ref="L23:L28" si="17">IF(D23="","",IF($T$1=2022,"----------",VLOOKUP(D23,係数2023,6,0)))</f>
        <v/>
      </c>
      <c r="M23" s="581" t="str">
        <f>IFERROR(IF(K23="","",$K23*R23),"-------------")</f>
        <v/>
      </c>
      <c r="N23" s="359" t="str">
        <f t="shared" ref="N23:N28" si="18">IFERROR(IF(K23="","",$M23*S23*44/12),"----------")</f>
        <v/>
      </c>
      <c r="O23" s="319"/>
      <c r="P23" s="557"/>
      <c r="Q23" s="557"/>
      <c r="R23" s="558" t="e">
        <f t="shared" ref="R23:R28" si="19">IF($T$1=2022,VLOOKUP(D23,係数2022,7,0),VLOOKUP(D23,係数2023,7,0))</f>
        <v>#N/A</v>
      </c>
      <c r="S23" s="558" t="e">
        <f t="shared" ref="S23:S28" si="20">IF($T$1=2022,VLOOKUP(D23,係数2022,9,0),VLOOKUP(D23,係数2023,9,0))</f>
        <v>#N/A</v>
      </c>
      <c r="T23" s="559"/>
      <c r="AG23" s="277">
        <v>20</v>
      </c>
      <c r="AH23" s="277" t="s">
        <v>58</v>
      </c>
      <c r="AI23" s="277" t="s">
        <v>4182</v>
      </c>
      <c r="AJ23" s="277">
        <f>SUMIFS($I$13:$I$19,$E$13:$E$19,$AN26)</f>
        <v>0</v>
      </c>
      <c r="AK23" s="277">
        <f>SUMIFS($J$13:$J$19,$E$13:$E$19,$AN26)</f>
        <v>0</v>
      </c>
      <c r="AM23" s="277">
        <v>20</v>
      </c>
      <c r="AN23" s="277" t="s">
        <v>4982</v>
      </c>
      <c r="AO23" s="277" t="s">
        <v>4182</v>
      </c>
      <c r="AP23" s="277">
        <f t="shared" si="2"/>
        <v>0</v>
      </c>
      <c r="AQ23" s="277">
        <f t="shared" si="3"/>
        <v>0</v>
      </c>
      <c r="AR23" s="277">
        <f t="shared" si="4"/>
        <v>0</v>
      </c>
    </row>
    <row r="24" spans="3:44" ht="19.350000000000001" customHeight="1" thickBot="1">
      <c r="C24" s="734"/>
      <c r="D24" s="736"/>
      <c r="E24" s="737"/>
      <c r="F24" s="737"/>
      <c r="G24" s="737"/>
      <c r="H24" s="738"/>
      <c r="I24" s="170"/>
      <c r="J24" s="171"/>
      <c r="K24" s="363" t="str">
        <f t="shared" si="16"/>
        <v/>
      </c>
      <c r="L24" s="305" t="str">
        <f t="shared" si="17"/>
        <v/>
      </c>
      <c r="M24" s="582" t="str">
        <f t="shared" ref="M24:M28" si="21">IFERROR(IF(K24="","",$K24*R24),"-------------")</f>
        <v/>
      </c>
      <c r="N24" s="338" t="str">
        <f t="shared" si="18"/>
        <v/>
      </c>
      <c r="O24" s="319"/>
      <c r="P24" s="557"/>
      <c r="Q24" s="557"/>
      <c r="R24" s="558" t="e">
        <f t="shared" si="19"/>
        <v>#N/A</v>
      </c>
      <c r="S24" s="558" t="e">
        <f t="shared" si="20"/>
        <v>#N/A</v>
      </c>
      <c r="T24" s="559"/>
      <c r="U24" s="340" t="s">
        <v>155</v>
      </c>
      <c r="V24" s="498">
        <f>V6+V19-V22</f>
        <v>0</v>
      </c>
      <c r="W24" s="497" t="s">
        <v>5085</v>
      </c>
      <c r="AG24" s="277">
        <v>21</v>
      </c>
      <c r="AH24" s="277" t="s">
        <v>59</v>
      </c>
      <c r="AI24" s="277" t="s">
        <v>4182</v>
      </c>
      <c r="AJ24" s="277">
        <f>SUMIFS($I$13:$I$19,$E$13:$E$19,$AN27)</f>
        <v>0</v>
      </c>
      <c r="AK24" s="277">
        <f>SUMIFS($J$13:$J$19,$E$13:$E$19,$AN27)</f>
        <v>0</v>
      </c>
      <c r="AM24" s="277">
        <v>21</v>
      </c>
      <c r="AN24" s="277" t="s">
        <v>4984</v>
      </c>
      <c r="AO24" s="277" t="s">
        <v>4182</v>
      </c>
      <c r="AP24" s="277">
        <f t="shared" si="2"/>
        <v>0</v>
      </c>
      <c r="AQ24" s="277">
        <f t="shared" si="3"/>
        <v>0</v>
      </c>
      <c r="AR24" s="277">
        <f t="shared" si="4"/>
        <v>0</v>
      </c>
    </row>
    <row r="25" spans="3:44" ht="19.350000000000001" customHeight="1">
      <c r="C25" s="734"/>
      <c r="D25" s="736"/>
      <c r="E25" s="737"/>
      <c r="F25" s="737"/>
      <c r="G25" s="737"/>
      <c r="H25" s="738"/>
      <c r="I25" s="170"/>
      <c r="J25" s="171"/>
      <c r="K25" s="363" t="str">
        <f t="shared" si="16"/>
        <v/>
      </c>
      <c r="L25" s="305" t="str">
        <f t="shared" si="17"/>
        <v/>
      </c>
      <c r="M25" s="582" t="str">
        <f t="shared" si="21"/>
        <v/>
      </c>
      <c r="N25" s="338" t="str">
        <f t="shared" si="18"/>
        <v/>
      </c>
      <c r="O25" s="319"/>
      <c r="P25" s="557"/>
      <c r="Q25" s="557"/>
      <c r="R25" s="558" t="e">
        <f t="shared" si="19"/>
        <v>#N/A</v>
      </c>
      <c r="S25" s="558" t="e">
        <f t="shared" si="20"/>
        <v>#N/A</v>
      </c>
      <c r="T25" s="559"/>
      <c r="AG25" s="277">
        <v>22</v>
      </c>
      <c r="AH25" s="277" t="s">
        <v>60</v>
      </c>
      <c r="AI25" s="277" t="s">
        <v>4182</v>
      </c>
      <c r="AJ25" s="277">
        <f>SUMIFS($I$13:$I$19,$E$13:$E$19,$AN28)</f>
        <v>0</v>
      </c>
      <c r="AK25" s="277">
        <f>SUMIFS($J$13:$J$19,$E$13:$E$19,$AN28)</f>
        <v>0</v>
      </c>
      <c r="AM25" s="277">
        <v>22</v>
      </c>
      <c r="AN25" s="277" t="s">
        <v>4986</v>
      </c>
      <c r="AO25" s="277" t="s">
        <v>4182</v>
      </c>
      <c r="AP25" s="277">
        <f t="shared" si="2"/>
        <v>0</v>
      </c>
      <c r="AQ25" s="277">
        <f t="shared" si="3"/>
        <v>0</v>
      </c>
      <c r="AR25" s="277">
        <f t="shared" si="4"/>
        <v>0</v>
      </c>
    </row>
    <row r="26" spans="3:44" ht="19.350000000000001" customHeight="1" thickBot="1">
      <c r="C26" s="734"/>
      <c r="D26" s="736"/>
      <c r="E26" s="737"/>
      <c r="F26" s="737"/>
      <c r="G26" s="737"/>
      <c r="H26" s="738"/>
      <c r="I26" s="170"/>
      <c r="J26" s="171"/>
      <c r="K26" s="363" t="str">
        <f t="shared" si="16"/>
        <v/>
      </c>
      <c r="L26" s="305" t="str">
        <f t="shared" si="17"/>
        <v/>
      </c>
      <c r="M26" s="582" t="str">
        <f t="shared" si="21"/>
        <v/>
      </c>
      <c r="N26" s="338" t="str">
        <f>IFERROR(IF(K26="","",$M26*S26*44/12),"----------")</f>
        <v/>
      </c>
      <c r="O26" s="319"/>
      <c r="P26" s="557"/>
      <c r="Q26" s="557"/>
      <c r="R26" s="558" t="e">
        <f t="shared" si="19"/>
        <v>#N/A</v>
      </c>
      <c r="S26" s="558" t="e">
        <f t="shared" si="20"/>
        <v>#N/A</v>
      </c>
      <c r="T26" s="559"/>
      <c r="U26" s="339" t="s">
        <v>129</v>
      </c>
      <c r="AG26" s="277">
        <v>23</v>
      </c>
      <c r="AH26" s="277" t="s">
        <v>61</v>
      </c>
      <c r="AI26" s="277" t="s">
        <v>5086</v>
      </c>
      <c r="AJ26" s="277">
        <f>SUMIFS($I$13:$I$19,$E$13:$E$19,$AN29)</f>
        <v>0</v>
      </c>
      <c r="AK26" s="277">
        <f>SUMIFS($J$13:$J$19,$E$13:$E$19,$AN29)</f>
        <v>0</v>
      </c>
      <c r="AM26" s="277">
        <v>23</v>
      </c>
      <c r="AN26" s="277" t="s">
        <v>58</v>
      </c>
      <c r="AO26" s="277" t="s">
        <v>4182</v>
      </c>
      <c r="AP26" s="277">
        <f t="shared" si="2"/>
        <v>0</v>
      </c>
      <c r="AQ26" s="277">
        <f t="shared" si="3"/>
        <v>0</v>
      </c>
      <c r="AR26" s="277">
        <f t="shared" si="4"/>
        <v>0</v>
      </c>
    </row>
    <row r="27" spans="3:44" ht="19.350000000000001" customHeight="1" thickBot="1">
      <c r="C27" s="734"/>
      <c r="D27" s="736"/>
      <c r="E27" s="737"/>
      <c r="F27" s="737"/>
      <c r="G27" s="737"/>
      <c r="H27" s="738"/>
      <c r="I27" s="170"/>
      <c r="J27" s="171"/>
      <c r="K27" s="363" t="str">
        <f t="shared" si="16"/>
        <v/>
      </c>
      <c r="L27" s="305" t="str">
        <f t="shared" si="17"/>
        <v/>
      </c>
      <c r="M27" s="582" t="str">
        <f t="shared" si="21"/>
        <v/>
      </c>
      <c r="N27" s="338" t="str">
        <f t="shared" si="18"/>
        <v/>
      </c>
      <c r="O27" s="319"/>
      <c r="P27" s="557"/>
      <c r="Q27" s="557"/>
      <c r="R27" s="558" t="e">
        <f t="shared" si="19"/>
        <v>#N/A</v>
      </c>
      <c r="S27" s="558" t="e">
        <f t="shared" si="20"/>
        <v>#N/A</v>
      </c>
      <c r="T27" s="312"/>
      <c r="U27" s="368" t="s">
        <v>3089</v>
      </c>
      <c r="V27" s="499">
        <f>IF(V24="","",IFERROR(ROUND(V24/G73,3-INT(LOG(V24/G73))),))</f>
        <v>0</v>
      </c>
      <c r="W27" s="682" t="str">
        <f>"t-CO2/"&amp;G72</f>
        <v>t-CO2/</v>
      </c>
      <c r="X27" s="683"/>
      <c r="AG27" s="277">
        <v>24</v>
      </c>
      <c r="AH27" s="277" t="s">
        <v>62</v>
      </c>
      <c r="AI27" s="277" t="s">
        <v>4991</v>
      </c>
      <c r="AJ27" s="277">
        <f>SUMIFS($I$13:$I$19,$E$13:$E$19,$AN31)</f>
        <v>0</v>
      </c>
      <c r="AK27" s="277">
        <f>SUMIFS($J$13:$J$19,$E$13:$E$19,$AN31)</f>
        <v>0</v>
      </c>
      <c r="AM27" s="277">
        <v>24</v>
      </c>
      <c r="AN27" s="277" t="s">
        <v>59</v>
      </c>
      <c r="AO27" s="277" t="s">
        <v>4182</v>
      </c>
      <c r="AP27" s="277">
        <f t="shared" si="2"/>
        <v>0</v>
      </c>
      <c r="AQ27" s="277">
        <f t="shared" si="3"/>
        <v>0</v>
      </c>
      <c r="AR27" s="277">
        <f t="shared" si="4"/>
        <v>0</v>
      </c>
    </row>
    <row r="28" spans="3:44" ht="19.350000000000001" customHeight="1">
      <c r="C28" s="734"/>
      <c r="D28" s="736"/>
      <c r="E28" s="737"/>
      <c r="F28" s="737"/>
      <c r="G28" s="737"/>
      <c r="H28" s="738"/>
      <c r="I28" s="170"/>
      <c r="J28" s="171"/>
      <c r="K28" s="363" t="str">
        <f t="shared" si="16"/>
        <v/>
      </c>
      <c r="L28" s="305" t="str">
        <f t="shared" si="17"/>
        <v/>
      </c>
      <c r="M28" s="582" t="str">
        <f t="shared" si="21"/>
        <v/>
      </c>
      <c r="N28" s="338" t="str">
        <f t="shared" si="18"/>
        <v/>
      </c>
      <c r="O28" s="319"/>
      <c r="P28" s="557"/>
      <c r="Q28" s="557"/>
      <c r="R28" s="558" t="e">
        <f t="shared" si="19"/>
        <v>#N/A</v>
      </c>
      <c r="S28" s="558" t="e">
        <f t="shared" si="20"/>
        <v>#N/A</v>
      </c>
      <c r="T28" s="412"/>
      <c r="U28" s="504"/>
      <c r="V28" s="504"/>
      <c r="W28" s="504"/>
      <c r="X28" s="504"/>
      <c r="AG28" s="277">
        <v>25</v>
      </c>
      <c r="AH28" s="277" t="s">
        <v>109</v>
      </c>
      <c r="AI28" s="277" t="s">
        <v>115</v>
      </c>
      <c r="AJ28" s="277">
        <f>SUMIFS($I$13:$I$19,$E$13:$E$19,$AN36)</f>
        <v>0</v>
      </c>
      <c r="AK28" s="277">
        <f>SUMIFS($J$13:$J$19,$E$13:$E$19,$AN36)</f>
        <v>0</v>
      </c>
      <c r="AM28" s="277">
        <v>25</v>
      </c>
      <c r="AN28" s="277" t="s">
        <v>60</v>
      </c>
      <c r="AO28" s="277" t="s">
        <v>4182</v>
      </c>
      <c r="AP28" s="277">
        <f t="shared" si="2"/>
        <v>0</v>
      </c>
      <c r="AQ28" s="277">
        <f t="shared" si="3"/>
        <v>0</v>
      </c>
      <c r="AR28" s="277">
        <f t="shared" si="4"/>
        <v>0</v>
      </c>
    </row>
    <row r="29" spans="3:44" ht="19.350000000000001" customHeight="1" thickBot="1">
      <c r="C29" s="735"/>
      <c r="D29" s="314" t="str">
        <f>"その他（"&amp;U38&amp;"）"</f>
        <v>その他（）</v>
      </c>
      <c r="E29" s="302"/>
      <c r="F29" s="302"/>
      <c r="G29" s="371"/>
      <c r="H29" s="372"/>
      <c r="I29" s="170"/>
      <c r="J29" s="171"/>
      <c r="K29" s="363" t="str">
        <f t="shared" si="16"/>
        <v/>
      </c>
      <c r="L29" s="565"/>
      <c r="M29" s="583"/>
      <c r="N29" s="560"/>
      <c r="O29" s="319"/>
      <c r="P29" s="561"/>
      <c r="Q29" s="561"/>
      <c r="R29" s="561"/>
      <c r="S29" s="561"/>
      <c r="T29" s="559"/>
      <c r="U29" s="320" t="s">
        <v>5139</v>
      </c>
      <c r="V29" s="376" t="s">
        <v>78</v>
      </c>
      <c r="W29" s="376" t="s">
        <v>5096</v>
      </c>
      <c r="X29" s="377"/>
      <c r="Y29" s="377"/>
      <c r="Z29" s="312"/>
      <c r="AA29" s="312"/>
      <c r="AB29" s="312"/>
      <c r="AC29" s="312"/>
      <c r="AG29" s="277">
        <v>26</v>
      </c>
      <c r="AH29" s="277" t="s">
        <v>119</v>
      </c>
      <c r="AI29" s="277" t="s">
        <v>115</v>
      </c>
      <c r="AJ29" s="277">
        <f>SUMIFS($I$13:$I$19,$E$13:$E$19,$AN37)</f>
        <v>0</v>
      </c>
      <c r="AK29" s="277">
        <f>SUMIFS($J$13:$J$19,$E$13:$E$19,$AN37)</f>
        <v>0</v>
      </c>
      <c r="AM29" s="277">
        <v>26</v>
      </c>
      <c r="AN29" s="277" t="s">
        <v>61</v>
      </c>
      <c r="AO29" s="277" t="s">
        <v>5086</v>
      </c>
      <c r="AP29" s="277">
        <f t="shared" si="2"/>
        <v>0</v>
      </c>
      <c r="AQ29" s="277">
        <f t="shared" si="3"/>
        <v>0</v>
      </c>
      <c r="AR29" s="277">
        <f t="shared" si="4"/>
        <v>0</v>
      </c>
    </row>
    <row r="30" spans="3:44" ht="19.350000000000001" customHeight="1" thickTop="1" thickBot="1">
      <c r="C30" s="714" t="s">
        <v>67</v>
      </c>
      <c r="D30" s="715"/>
      <c r="E30" s="715"/>
      <c r="F30" s="715"/>
      <c r="G30" s="715"/>
      <c r="H30" s="716"/>
      <c r="I30" s="378" t="s">
        <v>68</v>
      </c>
      <c r="J30" s="379" t="s">
        <v>68</v>
      </c>
      <c r="K30" s="379" t="s">
        <v>68</v>
      </c>
      <c r="L30" s="380" t="s">
        <v>68</v>
      </c>
      <c r="M30" s="584">
        <f>SUM(M23:M29)</f>
        <v>0</v>
      </c>
      <c r="N30" s="355">
        <f>SUM(N23:N29)</f>
        <v>0</v>
      </c>
      <c r="O30" s="319"/>
      <c r="P30"/>
      <c r="Q30"/>
      <c r="R30"/>
      <c r="S30"/>
      <c r="T30" s="381"/>
      <c r="U30" s="382" t="s">
        <v>4291</v>
      </c>
      <c r="V30" s="383"/>
      <c r="W30" s="216"/>
      <c r="X30" s="377"/>
      <c r="Y30" s="377"/>
      <c r="Z30" s="312"/>
      <c r="AA30" s="312"/>
      <c r="AB30" s="312"/>
      <c r="AC30" s="312"/>
      <c r="AG30" s="277">
        <v>27</v>
      </c>
      <c r="AH30" s="277" t="s">
        <v>65</v>
      </c>
      <c r="AI30" s="277" t="s">
        <v>115</v>
      </c>
      <c r="AJ30" s="277">
        <f>SUMIFS($I$13:$I$19,$E$13:$E$19,$AN38)</f>
        <v>0</v>
      </c>
      <c r="AK30" s="277">
        <f>SUMIFS($J$13:$J$19,$E$13:$E$19,$AN38)</f>
        <v>0</v>
      </c>
      <c r="AM30" s="277">
        <v>27</v>
      </c>
      <c r="AN30" s="277" t="s">
        <v>4987</v>
      </c>
      <c r="AO30" s="277" t="s">
        <v>5097</v>
      </c>
      <c r="AP30" s="277">
        <f t="shared" si="2"/>
        <v>0</v>
      </c>
      <c r="AQ30" s="277">
        <f t="shared" si="3"/>
        <v>0</v>
      </c>
      <c r="AR30" s="277">
        <f t="shared" si="4"/>
        <v>0</v>
      </c>
    </row>
    <row r="31" spans="3:44" ht="19.350000000000001" customHeight="1">
      <c r="C31" s="646" t="s">
        <v>5098</v>
      </c>
      <c r="D31" s="647"/>
      <c r="E31" s="647"/>
      <c r="F31" s="647"/>
      <c r="G31" s="647"/>
      <c r="H31" s="648"/>
      <c r="I31" s="653" t="s">
        <v>112</v>
      </c>
      <c r="J31" s="655" t="s">
        <v>40</v>
      </c>
      <c r="K31" s="657" t="s">
        <v>41</v>
      </c>
      <c r="L31" s="661" t="s">
        <v>42</v>
      </c>
      <c r="M31" s="663" t="s">
        <v>5083</v>
      </c>
      <c r="N31" s="665" t="s">
        <v>5084</v>
      </c>
      <c r="O31" s="319"/>
      <c r="P31"/>
      <c r="Q31"/>
      <c r="R31"/>
      <c r="S31"/>
      <c r="T31" s="381"/>
      <c r="U31" s="382" t="s">
        <v>4293</v>
      </c>
      <c r="V31" s="383"/>
      <c r="W31" s="216"/>
      <c r="X31" s="377"/>
      <c r="Y31" s="377"/>
      <c r="Z31" s="312"/>
      <c r="AA31" s="312"/>
      <c r="AB31" s="312"/>
      <c r="AC31" s="312"/>
      <c r="AG31" s="277">
        <v>28</v>
      </c>
      <c r="AH31" s="277" t="s">
        <v>66</v>
      </c>
      <c r="AI31" s="277" t="s">
        <v>115</v>
      </c>
      <c r="AJ31" s="277">
        <f>SUMIFS($I$13:$I$19,$E$13:$E$19,$AN39)</f>
        <v>0</v>
      </c>
      <c r="AK31" s="277">
        <f>SUMIFS($J$13:$J$19,$E$13:$E$19,$AN39)</f>
        <v>0</v>
      </c>
      <c r="AM31" s="277">
        <v>28</v>
      </c>
      <c r="AN31" s="277" t="s">
        <v>62</v>
      </c>
      <c r="AO31" s="277" t="s">
        <v>4991</v>
      </c>
      <c r="AP31" s="277">
        <f t="shared" si="2"/>
        <v>0</v>
      </c>
      <c r="AQ31" s="277">
        <f t="shared" si="3"/>
        <v>0</v>
      </c>
      <c r="AR31" s="277">
        <f t="shared" si="4"/>
        <v>0</v>
      </c>
    </row>
    <row r="32" spans="3:44" ht="19.350000000000001" customHeight="1">
      <c r="C32" s="742"/>
      <c r="D32" s="743"/>
      <c r="E32" s="743"/>
      <c r="F32" s="743"/>
      <c r="G32" s="743"/>
      <c r="H32" s="744"/>
      <c r="I32" s="654"/>
      <c r="J32" s="656"/>
      <c r="K32" s="658"/>
      <c r="L32" s="662"/>
      <c r="M32" s="664"/>
      <c r="N32" s="666"/>
      <c r="O32" s="319"/>
      <c r="P32" s="549" t="s">
        <v>5080</v>
      </c>
      <c r="Q32" s="549" t="s">
        <v>5081</v>
      </c>
      <c r="R32" s="549" t="s">
        <v>4961</v>
      </c>
      <c r="S32" s="549" t="s">
        <v>4962</v>
      </c>
      <c r="T32" s="381"/>
      <c r="U32" s="180" t="s">
        <v>5140</v>
      </c>
      <c r="V32" s="324"/>
      <c r="W32" s="216"/>
      <c r="X32" s="312"/>
      <c r="Y32" s="312"/>
      <c r="Z32" s="312"/>
      <c r="AA32" s="312"/>
      <c r="AB32" s="312"/>
      <c r="AC32" s="312"/>
      <c r="AG32" s="277">
        <v>29</v>
      </c>
      <c r="AH32" s="384" t="s">
        <v>5111</v>
      </c>
      <c r="AM32" s="277">
        <v>29</v>
      </c>
      <c r="AN32" s="277" t="s">
        <v>5019</v>
      </c>
      <c r="AO32" s="277" t="s">
        <v>115</v>
      </c>
      <c r="AP32" s="277">
        <f t="shared" si="2"/>
        <v>0</v>
      </c>
      <c r="AQ32" s="277">
        <f t="shared" si="3"/>
        <v>0</v>
      </c>
      <c r="AR32" s="277">
        <f t="shared" si="4"/>
        <v>0</v>
      </c>
    </row>
    <row r="33" spans="3:44" ht="19.350000000000001" customHeight="1">
      <c r="C33" s="385"/>
      <c r="D33" s="386" t="s">
        <v>5105</v>
      </c>
      <c r="E33" s="285"/>
      <c r="F33" s="387"/>
      <c r="G33" s="387"/>
      <c r="H33" s="388"/>
      <c r="I33" s="592" t="str">
        <f>IF(COUNTBLANK(V42:W46)=10,"",SUM(I34:I35))</f>
        <v/>
      </c>
      <c r="J33" s="389"/>
      <c r="K33" s="390" t="str">
        <f>I33</f>
        <v/>
      </c>
      <c r="L33" s="391" t="s">
        <v>5036</v>
      </c>
      <c r="M33" s="585" t="str">
        <f>IF(COUNTBLANK(V42:W46)=10,"",SUM(M34,M35))</f>
        <v/>
      </c>
      <c r="N33" s="392" t="str">
        <f>IF(COUNTBLANK(V42:W46)=10,"",SUM(N34,N35))</f>
        <v/>
      </c>
      <c r="O33" s="319"/>
      <c r="P33" s="393"/>
      <c r="Q33" s="393"/>
      <c r="R33" s="393"/>
      <c r="S33" s="393"/>
      <c r="T33" s="381"/>
      <c r="U33" s="312"/>
      <c r="V33" s="312"/>
      <c r="W33" s="312"/>
      <c r="X33" s="312"/>
      <c r="Y33" s="312"/>
      <c r="Z33" s="312"/>
      <c r="AA33" s="312"/>
      <c r="AB33" s="312"/>
      <c r="AC33" s="312"/>
      <c r="AM33" s="277">
        <v>30</v>
      </c>
      <c r="AN33" s="277" t="s">
        <v>5020</v>
      </c>
      <c r="AO33" s="277" t="s">
        <v>115</v>
      </c>
      <c r="AP33" s="277">
        <f t="shared" si="2"/>
        <v>0</v>
      </c>
      <c r="AQ33" s="277">
        <f t="shared" si="3"/>
        <v>0</v>
      </c>
      <c r="AR33" s="277">
        <f t="shared" si="4"/>
        <v>0</v>
      </c>
    </row>
    <row r="34" spans="3:44" ht="19.350000000000001" customHeight="1">
      <c r="C34" s="385"/>
      <c r="D34" s="386"/>
      <c r="E34" s="285"/>
      <c r="F34" s="730" t="s">
        <v>5100</v>
      </c>
      <c r="G34" s="731"/>
      <c r="H34" s="732"/>
      <c r="I34" s="593" t="str">
        <f>IF(COUNTBLANK(V42:V46)=10,"",V47)</f>
        <v/>
      </c>
      <c r="J34" s="394"/>
      <c r="K34" s="395" t="str">
        <f t="shared" ref="K34:K35" si="22">I34</f>
        <v/>
      </c>
      <c r="L34" s="396" t="s">
        <v>5036</v>
      </c>
      <c r="M34" s="586" t="str">
        <f>IFERROR(IF(K34="","",$K34*R34),"-------------")</f>
        <v/>
      </c>
      <c r="N34" s="397" t="str">
        <f>IF(COUNTBLANK(V42:W46)=10,"",Z47)</f>
        <v/>
      </c>
      <c r="O34" s="319"/>
      <c r="P34" s="393" t="s">
        <v>5034</v>
      </c>
      <c r="Q34" s="393" t="s">
        <v>5034</v>
      </c>
      <c r="R34" s="393">
        <f t="shared" ref="R34:R39" si="23">IF($T$1=2022,VLOOKUP($P34,係数2022,7,0),VLOOKUP($Q34,係数2023,7,0))</f>
        <v>8.64</v>
      </c>
      <c r="S34" s="393"/>
      <c r="T34" s="381"/>
      <c r="U34" s="398" t="s">
        <v>5095</v>
      </c>
      <c r="V34" s="399" t="s">
        <v>78</v>
      </c>
      <c r="W34" s="399" t="s">
        <v>5096</v>
      </c>
      <c r="X34" s="312"/>
      <c r="Y34" s="312"/>
      <c r="Z34" s="312"/>
      <c r="AA34" s="312"/>
      <c r="AB34" s="312"/>
      <c r="AC34" s="312"/>
      <c r="AM34" s="277">
        <v>31</v>
      </c>
      <c r="AN34" s="277" t="s">
        <v>5021</v>
      </c>
      <c r="AO34" s="277" t="s">
        <v>115</v>
      </c>
      <c r="AP34" s="277">
        <f t="shared" si="2"/>
        <v>0</v>
      </c>
      <c r="AQ34" s="277">
        <f t="shared" si="3"/>
        <v>0</v>
      </c>
      <c r="AR34" s="277">
        <f t="shared" si="4"/>
        <v>0</v>
      </c>
    </row>
    <row r="35" spans="3:44" ht="19.350000000000001" customHeight="1">
      <c r="C35" s="400" t="s">
        <v>5106</v>
      </c>
      <c r="D35" s="386"/>
      <c r="E35" s="285"/>
      <c r="F35" s="730" t="s">
        <v>5101</v>
      </c>
      <c r="G35" s="731"/>
      <c r="H35" s="732"/>
      <c r="I35" s="593" t="str">
        <f>IF(COUNTBLANK(V42:V46)=10,"",W47)</f>
        <v/>
      </c>
      <c r="J35" s="394"/>
      <c r="K35" s="395" t="str">
        <f t="shared" si="22"/>
        <v/>
      </c>
      <c r="L35" s="396" t="s">
        <v>5036</v>
      </c>
      <c r="M35" s="586" t="str">
        <f>IFERROR(IF(K35="","",$K35*R35),"-------------")</f>
        <v/>
      </c>
      <c r="N35" s="397" t="str">
        <f>IF(COUNTBLANK(V42:W46)=10,"",AA47)</f>
        <v/>
      </c>
      <c r="O35" s="319"/>
      <c r="P35" s="393" t="s">
        <v>5038</v>
      </c>
      <c r="Q35" s="393" t="s">
        <v>5038</v>
      </c>
      <c r="R35" s="393">
        <f t="shared" si="23"/>
        <v>8.64</v>
      </c>
      <c r="S35" s="393"/>
      <c r="T35" s="381"/>
      <c r="U35" s="167"/>
      <c r="V35" s="217"/>
      <c r="W35" s="218"/>
      <c r="X35" s="312"/>
      <c r="Y35" s="312"/>
      <c r="Z35" s="312"/>
      <c r="AA35" s="312"/>
      <c r="AB35" s="312"/>
      <c r="AC35" s="312"/>
      <c r="AM35" s="277">
        <v>32</v>
      </c>
      <c r="AN35" s="277" t="s">
        <v>5022</v>
      </c>
      <c r="AO35" s="277" t="s">
        <v>115</v>
      </c>
      <c r="AP35" s="277">
        <f t="shared" ref="AP35:AP60" si="24">SUMIFS($I$13:$I$19,$E$13:$E$19,$AN35)</f>
        <v>0</v>
      </c>
      <c r="AQ35" s="277">
        <f t="shared" ref="AQ35:AQ60" si="25">SUMIFS($J$13:$J$19,$E$13:$E$19,$AN35)</f>
        <v>0</v>
      </c>
      <c r="AR35" s="277">
        <f>COUNTIF($AT$4:$AT$10,AN35)</f>
        <v>0</v>
      </c>
    </row>
    <row r="36" spans="3:44" ht="19.350000000000001" customHeight="1">
      <c r="C36" s="400"/>
      <c r="D36" s="401"/>
      <c r="E36" s="176"/>
      <c r="F36" s="402" t="s">
        <v>5108</v>
      </c>
      <c r="G36" s="403"/>
      <c r="H36" s="404"/>
      <c r="I36" s="594" t="str">
        <f>IF($T$1=2022,"----------",IF(COUNTBLANK(V42:W46)=10,"",SUMPRODUCT(V42:V46,X42:X46)+SUMPRODUCT(W42:W46,X42:X46)))</f>
        <v/>
      </c>
      <c r="J36" s="405"/>
      <c r="K36" s="406" t="str">
        <f>IF($T$1=2022,"----------",I36)</f>
        <v/>
      </c>
      <c r="L36" s="407" t="s">
        <v>5036</v>
      </c>
      <c r="M36" s="587" t="str">
        <f>IF($T$1=2022,"----------",IF(M33&lt;&gt;"",K36*R36,""))</f>
        <v/>
      </c>
      <c r="N36" s="408"/>
      <c r="O36" s="319"/>
      <c r="P36" s="393"/>
      <c r="Q36" s="393" t="s">
        <v>5107</v>
      </c>
      <c r="R36" s="393">
        <f t="shared" si="23"/>
        <v>8.64</v>
      </c>
      <c r="S36" s="393"/>
      <c r="T36" s="381"/>
      <c r="U36" s="312"/>
      <c r="V36" s="312"/>
      <c r="W36" s="312"/>
      <c r="X36" s="312"/>
      <c r="Y36" s="312"/>
      <c r="Z36" s="312"/>
      <c r="AA36" s="312"/>
      <c r="AB36" s="312"/>
      <c r="AC36" s="312"/>
      <c r="AM36" s="277">
        <v>33</v>
      </c>
      <c r="AN36" s="277" t="s">
        <v>4993</v>
      </c>
      <c r="AO36" s="277" t="s">
        <v>51</v>
      </c>
      <c r="AP36" s="277">
        <f t="shared" si="24"/>
        <v>0</v>
      </c>
      <c r="AQ36" s="277">
        <f t="shared" si="25"/>
        <v>0</v>
      </c>
      <c r="AR36" s="277">
        <f>COUNTIF($AT$4:$AT$10,AN36)</f>
        <v>0</v>
      </c>
    </row>
    <row r="37" spans="3:44" ht="19.350000000000001" customHeight="1">
      <c r="C37" s="400"/>
      <c r="D37" s="386" t="s">
        <v>5110</v>
      </c>
      <c r="E37" s="285"/>
      <c r="F37" s="387"/>
      <c r="G37" s="387"/>
      <c r="H37" s="388"/>
      <c r="I37" s="592" t="str">
        <f>IF(COUNTBLANK(W51:W53)+COUNTBLANK(W57:W58)=5,"",W59)</f>
        <v/>
      </c>
      <c r="J37" s="389"/>
      <c r="K37" s="390" t="str">
        <f>I37</f>
        <v/>
      </c>
      <c r="L37" s="409" t="s">
        <v>5036</v>
      </c>
      <c r="M37" s="585" t="str">
        <f>IF(K37="","",K37*R37)</f>
        <v/>
      </c>
      <c r="N37" s="392" t="str">
        <f>IF(I37="","",SUMPRODUCT(W51:W53,Y51:Y53)+SUMPRODUCT(W57:W58,Y57:Y58))</f>
        <v/>
      </c>
      <c r="O37" s="319"/>
      <c r="P37" s="410" t="s">
        <v>5109</v>
      </c>
      <c r="Q37" s="410" t="s">
        <v>5109</v>
      </c>
      <c r="R37" s="393">
        <f t="shared" si="23"/>
        <v>8.64</v>
      </c>
      <c r="S37" s="411"/>
      <c r="T37" s="381"/>
      <c r="U37" s="398" t="s">
        <v>5095</v>
      </c>
      <c r="V37" s="399" t="s">
        <v>78</v>
      </c>
      <c r="W37" s="412"/>
      <c r="X37" s="312"/>
      <c r="Y37" s="312"/>
      <c r="Z37" s="312"/>
      <c r="AA37" s="312"/>
      <c r="AB37" s="312"/>
      <c r="AC37" s="312"/>
      <c r="AM37" s="277">
        <v>34</v>
      </c>
      <c r="AN37" s="277" t="s">
        <v>4996</v>
      </c>
      <c r="AO37" s="277" t="s">
        <v>4182</v>
      </c>
      <c r="AP37" s="277">
        <f t="shared" si="24"/>
        <v>0</v>
      </c>
      <c r="AQ37" s="277">
        <f t="shared" si="25"/>
        <v>0</v>
      </c>
      <c r="AR37" s="277">
        <f t="shared" ref="AR37:AR60" si="26">COUNTIF($AT$4:$AT$10,AN37)</f>
        <v>0</v>
      </c>
    </row>
    <row r="38" spans="3:44" ht="19.350000000000001" customHeight="1">
      <c r="C38" s="400" t="s">
        <v>5112</v>
      </c>
      <c r="D38" s="401"/>
      <c r="E38" s="176"/>
      <c r="F38" s="413" t="s">
        <v>5108</v>
      </c>
      <c r="G38" s="414"/>
      <c r="H38" s="415"/>
      <c r="I38" s="594" t="str">
        <f>IF($T$1=2022,"----------",IF(COUNTBLANK(W51:W53)+COUNTBLANK(W57:W58)=5,"",SUMPRODUCT(W51:W58,X51:X58)))</f>
        <v/>
      </c>
      <c r="J38" s="405"/>
      <c r="K38" s="416" t="str">
        <f>IF($T$1=2022,"----------",I38)</f>
        <v/>
      </c>
      <c r="L38" s="417" t="s">
        <v>5036</v>
      </c>
      <c r="M38" s="587" t="str">
        <f>IF($T$1=2022,"----------",IF(COUNTBLANK(W51:W53)+COUNTBLANK(W57:W58)=5,"",SUM(AB59)*X59))</f>
        <v/>
      </c>
      <c r="N38" s="408"/>
      <c r="O38" s="319"/>
      <c r="P38" s="410"/>
      <c r="Q38" s="410" t="s">
        <v>5109</v>
      </c>
      <c r="R38" s="393">
        <f t="shared" si="23"/>
        <v>8.64</v>
      </c>
      <c r="S38" s="411"/>
      <c r="T38" s="381"/>
      <c r="U38" s="167"/>
      <c r="V38" s="217"/>
      <c r="W38" s="412"/>
      <c r="X38" s="312"/>
      <c r="Y38" s="312"/>
      <c r="Z38" s="312"/>
      <c r="AA38" s="312"/>
      <c r="AB38" s="312"/>
      <c r="AC38" s="312"/>
      <c r="AM38" s="277">
        <v>35</v>
      </c>
      <c r="AN38" s="277" t="s">
        <v>4997</v>
      </c>
      <c r="AO38" s="277" t="s">
        <v>4182</v>
      </c>
      <c r="AP38" s="277">
        <f t="shared" si="24"/>
        <v>0</v>
      </c>
      <c r="AQ38" s="277">
        <f t="shared" si="25"/>
        <v>0</v>
      </c>
      <c r="AR38" s="277">
        <f t="shared" si="26"/>
        <v>0</v>
      </c>
    </row>
    <row r="39" spans="3:44" ht="19.350000000000001" customHeight="1">
      <c r="C39" s="400"/>
      <c r="D39" s="418" t="s">
        <v>110</v>
      </c>
      <c r="E39" s="419"/>
      <c r="F39" s="420"/>
      <c r="G39" s="420"/>
      <c r="H39" s="421"/>
      <c r="I39" s="595"/>
      <c r="J39" s="422" t="str">
        <f>IF(V63="","",SUM(V63))</f>
        <v/>
      </c>
      <c r="K39" s="422" t="str">
        <f>IF(J39="","",-SUM(J39))</f>
        <v/>
      </c>
      <c r="L39" s="423" t="s">
        <v>5036</v>
      </c>
      <c r="M39" s="588" t="str">
        <f>IF(K39="","",IF($T$1=2022,IF(W63="",K39*R39,K39*W63),$K39*W63))</f>
        <v/>
      </c>
      <c r="N39" s="424" t="str">
        <f>IF(J39="","",-SUM(Y63))</f>
        <v/>
      </c>
      <c r="O39" s="319"/>
      <c r="P39" s="393" t="s">
        <v>5039</v>
      </c>
      <c r="Q39" s="393"/>
      <c r="R39" s="393" t="e">
        <f t="shared" si="23"/>
        <v>#N/A</v>
      </c>
      <c r="S39" s="411"/>
      <c r="T39" s="381"/>
      <c r="U39" s="312"/>
      <c r="V39" s="312"/>
      <c r="W39" s="412"/>
      <c r="X39" s="312"/>
      <c r="Y39" s="312"/>
      <c r="Z39" s="312"/>
      <c r="AA39" s="312"/>
      <c r="AB39" s="312"/>
      <c r="AC39" s="312"/>
      <c r="AM39" s="277">
        <v>36</v>
      </c>
      <c r="AN39" s="277" t="s">
        <v>4998</v>
      </c>
      <c r="AO39" s="277" t="s">
        <v>4181</v>
      </c>
      <c r="AP39" s="277">
        <f t="shared" si="24"/>
        <v>0</v>
      </c>
      <c r="AQ39" s="277">
        <f t="shared" si="25"/>
        <v>0</v>
      </c>
      <c r="AR39" s="277">
        <f t="shared" si="26"/>
        <v>0</v>
      </c>
    </row>
    <row r="40" spans="3:44" ht="19.350000000000001" customHeight="1" thickBot="1">
      <c r="C40" s="425"/>
      <c r="D40" s="426" t="s">
        <v>5114</v>
      </c>
      <c r="E40" s="427"/>
      <c r="F40" s="427"/>
      <c r="G40" s="427"/>
      <c r="H40" s="428"/>
      <c r="I40" s="596" t="str">
        <f>IF($T$1=2022,"----------",IF(COUNTBLANK(V67:V70)=4,"",V71))</f>
        <v/>
      </c>
      <c r="J40" s="429"/>
      <c r="K40" s="430" t="str">
        <f>IF($T$1=2022,"----------",IF(I40="","",SUM(I40)))</f>
        <v/>
      </c>
      <c r="L40" s="431" t="s">
        <v>5036</v>
      </c>
      <c r="M40" s="589" t="str">
        <f>IF($T$1=2022,"----------",IF(COUNTBLANK(V67:V70)=4,"",K40*3.6))</f>
        <v/>
      </c>
      <c r="N40" s="432"/>
      <c r="O40" s="319"/>
      <c r="P40" s="433"/>
      <c r="Q40" s="433"/>
      <c r="R40" s="433"/>
      <c r="S40" s="433"/>
      <c r="T40" s="381"/>
      <c r="U40" s="684" t="s">
        <v>5099</v>
      </c>
      <c r="V40" s="659" t="s">
        <v>5100</v>
      </c>
      <c r="W40" s="659" t="s">
        <v>5101</v>
      </c>
      <c r="X40" s="659" t="s">
        <v>5134</v>
      </c>
      <c r="Y40" s="659" t="s">
        <v>5155</v>
      </c>
      <c r="Z40" s="659" t="s">
        <v>5156</v>
      </c>
      <c r="AA40" s="659" t="s">
        <v>5157</v>
      </c>
      <c r="AB40" s="312"/>
      <c r="AC40" s="312"/>
      <c r="AM40" s="277">
        <v>37</v>
      </c>
      <c r="AN40" s="277" t="s">
        <v>5509</v>
      </c>
      <c r="AO40" s="277" t="s">
        <v>4181</v>
      </c>
      <c r="AP40" s="277">
        <f t="shared" si="24"/>
        <v>0</v>
      </c>
      <c r="AQ40" s="277">
        <f t="shared" si="25"/>
        <v>0</v>
      </c>
      <c r="AR40" s="277">
        <f t="shared" si="26"/>
        <v>0</v>
      </c>
    </row>
    <row r="41" spans="3:44" ht="19.350000000000001" customHeight="1" thickTop="1">
      <c r="C41" s="434"/>
      <c r="D41" s="435"/>
      <c r="E41" s="436"/>
      <c r="F41" s="437" t="s">
        <v>5115</v>
      </c>
      <c r="G41" s="438"/>
      <c r="H41" s="439"/>
      <c r="I41" s="597">
        <f>IF($T$1=2022,"----------",SUM(I36,I38,I40))</f>
        <v>0</v>
      </c>
      <c r="J41" s="440"/>
      <c r="K41" s="441">
        <f>IF($T$1=2022,"----------",SUM(K36,K38,K40))</f>
        <v>0</v>
      </c>
      <c r="L41" s="442" t="s">
        <v>5143</v>
      </c>
      <c r="M41" s="590">
        <f>IF($T$1=2022,"----------",IF(K41="","",SUM(M36,M38,M40)))</f>
        <v>0</v>
      </c>
      <c r="N41" s="443"/>
      <c r="O41" s="319"/>
      <c r="P41" s="381"/>
      <c r="Q41" s="381"/>
      <c r="R41" s="381"/>
      <c r="S41" s="381"/>
      <c r="T41" s="381"/>
      <c r="U41" s="685"/>
      <c r="V41" s="660"/>
      <c r="W41" s="660"/>
      <c r="X41" s="660"/>
      <c r="Y41" s="660"/>
      <c r="Z41" s="660"/>
      <c r="AA41" s="660"/>
      <c r="AB41" s="312"/>
      <c r="AC41" s="312"/>
      <c r="AM41" s="277">
        <v>38</v>
      </c>
      <c r="AN41" s="277" t="s">
        <v>5001</v>
      </c>
      <c r="AO41" s="277" t="s">
        <v>5002</v>
      </c>
      <c r="AP41" s="277">
        <f t="shared" si="24"/>
        <v>0</v>
      </c>
      <c r="AQ41" s="277">
        <f t="shared" si="25"/>
        <v>0</v>
      </c>
      <c r="AR41" s="277">
        <f t="shared" si="26"/>
        <v>0</v>
      </c>
    </row>
    <row r="42" spans="3:44" ht="19.350000000000001" customHeight="1" thickBot="1">
      <c r="C42" s="771" t="s">
        <v>67</v>
      </c>
      <c r="D42" s="772"/>
      <c r="E42" s="772"/>
      <c r="F42" s="772"/>
      <c r="G42" s="772"/>
      <c r="H42" s="773"/>
      <c r="I42" s="598">
        <f>SUM(I33,I37,I39,I40)</f>
        <v>0</v>
      </c>
      <c r="J42" s="562">
        <f>SUM(J39)</f>
        <v>0</v>
      </c>
      <c r="K42" s="562">
        <f>SUM(K33,K37,K39,K40)</f>
        <v>0</v>
      </c>
      <c r="L42" s="447" t="s">
        <v>5143</v>
      </c>
      <c r="M42" s="591">
        <f>IF(K42="","",SUM(M33,M37,M39,M40))</f>
        <v>0</v>
      </c>
      <c r="N42" s="448">
        <f>SUM(N33,N37,N39)</f>
        <v>0</v>
      </c>
      <c r="O42" s="319"/>
      <c r="P42"/>
      <c r="Q42"/>
      <c r="R42"/>
      <c r="S42"/>
      <c r="T42" s="381"/>
      <c r="U42" s="219"/>
      <c r="V42" s="449" t="str">
        <f>'計算シート（基準年度）'!Q12</f>
        <v/>
      </c>
      <c r="W42" s="449" t="str">
        <f>'計算シート（基準年度）'!Q13</f>
        <v/>
      </c>
      <c r="X42" s="220"/>
      <c r="Y42" s="221"/>
      <c r="Z42" s="449" t="str">
        <f>IF(OR(U42="",V42=""),"",V42*Y42)</f>
        <v/>
      </c>
      <c r="AA42" s="449" t="str">
        <f>IF(OR(U42="",W42=""),"",W42*Y42)</f>
        <v/>
      </c>
      <c r="AB42" s="312"/>
      <c r="AC42" s="312"/>
      <c r="AM42" s="277">
        <v>39</v>
      </c>
      <c r="AN42" s="277" t="s">
        <v>5004</v>
      </c>
      <c r="AO42" s="277" t="s">
        <v>4182</v>
      </c>
      <c r="AP42" s="277">
        <f t="shared" si="24"/>
        <v>0</v>
      </c>
      <c r="AQ42" s="277">
        <f t="shared" si="25"/>
        <v>0</v>
      </c>
      <c r="AR42" s="277">
        <f t="shared" si="26"/>
        <v>0</v>
      </c>
    </row>
    <row r="43" spans="3:44" ht="19.350000000000001" customHeight="1">
      <c r="C43" s="451"/>
      <c r="D43" s="451"/>
      <c r="E43" s="451"/>
      <c r="F43" s="451"/>
      <c r="G43" s="451"/>
      <c r="H43" s="451"/>
      <c r="I43" s="451"/>
      <c r="J43" s="451"/>
      <c r="K43" s="451"/>
      <c r="L43" s="451"/>
      <c r="M43" s="451"/>
      <c r="N43" s="451"/>
      <c r="O43" s="319"/>
      <c r="P43"/>
      <c r="Q43"/>
      <c r="R43"/>
      <c r="S43"/>
      <c r="T43" s="381"/>
      <c r="U43" s="219"/>
      <c r="V43" s="449" t="str">
        <f>'計算シート（基準年度）'!Q14</f>
        <v/>
      </c>
      <c r="W43" s="449" t="str">
        <f>'計算シート（基準年度）'!Q15</f>
        <v/>
      </c>
      <c r="X43" s="220"/>
      <c r="Y43" s="221"/>
      <c r="Z43" s="449" t="str">
        <f t="shared" ref="Z43:Z46" si="27">IF(OR(U43="",V43=""),"",V43*Y43)</f>
        <v/>
      </c>
      <c r="AA43" s="449" t="str">
        <f t="shared" ref="AA43:AA46" si="28">IF(OR(U43="",W43=""),"",W43*Y43)</f>
        <v/>
      </c>
      <c r="AB43" s="312"/>
      <c r="AC43" s="312"/>
      <c r="AM43" s="277">
        <v>40</v>
      </c>
      <c r="AN43" s="277" t="s">
        <v>5005</v>
      </c>
      <c r="AO43" s="277" t="s">
        <v>4182</v>
      </c>
      <c r="AP43" s="277">
        <f t="shared" si="24"/>
        <v>0</v>
      </c>
      <c r="AQ43" s="277">
        <f t="shared" si="25"/>
        <v>0</v>
      </c>
      <c r="AR43" s="277">
        <f t="shared" si="26"/>
        <v>0</v>
      </c>
    </row>
    <row r="44" spans="3:44" ht="19.350000000000001" customHeight="1" thickBot="1">
      <c r="C44" s="339" t="s">
        <v>5087</v>
      </c>
      <c r="H44" s="292"/>
      <c r="I44" s="1"/>
      <c r="J44" s="1"/>
      <c r="K44" s="1"/>
      <c r="L44" s="1"/>
      <c r="M44" s="1"/>
      <c r="N44" s="1"/>
      <c r="O44" s="319"/>
      <c r="P44"/>
      <c r="Q44"/>
      <c r="R44"/>
      <c r="S44"/>
      <c r="T44" s="381"/>
      <c r="U44" s="222"/>
      <c r="V44" s="449" t="str">
        <f>'計算シート（基準年度）'!Q16</f>
        <v/>
      </c>
      <c r="W44" s="449" t="str">
        <f>'計算シート（基準年度）'!Q17</f>
        <v/>
      </c>
      <c r="X44" s="220"/>
      <c r="Y44" s="221"/>
      <c r="Z44" s="449" t="str">
        <f t="shared" si="27"/>
        <v/>
      </c>
      <c r="AA44" s="449" t="str">
        <f t="shared" si="28"/>
        <v/>
      </c>
      <c r="AB44" s="312"/>
      <c r="AC44" s="312"/>
      <c r="AM44" s="277">
        <v>41</v>
      </c>
      <c r="AN44" s="277" t="s">
        <v>5006</v>
      </c>
      <c r="AO44" s="277" t="s">
        <v>4182</v>
      </c>
      <c r="AP44" s="277">
        <f t="shared" si="24"/>
        <v>0</v>
      </c>
      <c r="AQ44" s="277">
        <f t="shared" si="25"/>
        <v>0</v>
      </c>
      <c r="AR44" s="277">
        <f t="shared" si="26"/>
        <v>0</v>
      </c>
    </row>
    <row r="45" spans="3:44" ht="19.350000000000001" customHeight="1">
      <c r="C45" s="748" t="s">
        <v>5121</v>
      </c>
      <c r="D45" s="749"/>
      <c r="E45" s="749"/>
      <c r="F45" s="758"/>
      <c r="G45" s="754" t="s">
        <v>5084</v>
      </c>
      <c r="H45" s="755"/>
      <c r="I45" s="1"/>
      <c r="J45" s="1"/>
      <c r="K45" s="1"/>
      <c r="L45" s="1"/>
      <c r="M45" s="1"/>
      <c r="N45" s="1"/>
      <c r="O45" s="319"/>
      <c r="P45"/>
      <c r="Q45"/>
      <c r="R45"/>
      <c r="S45"/>
      <c r="T45" s="381"/>
      <c r="U45" s="222"/>
      <c r="V45" s="449" t="str">
        <f>'計算シート（基準年度）'!Q18</f>
        <v/>
      </c>
      <c r="W45" s="453" t="str">
        <f>'計算シート（基準年度）'!Q19</f>
        <v/>
      </c>
      <c r="X45" s="220"/>
      <c r="Y45" s="221"/>
      <c r="Z45" s="449" t="str">
        <f t="shared" si="27"/>
        <v/>
      </c>
      <c r="AA45" s="449" t="str">
        <f t="shared" si="28"/>
        <v/>
      </c>
      <c r="AB45" s="312"/>
      <c r="AC45" s="312"/>
      <c r="AM45" s="277">
        <v>42</v>
      </c>
      <c r="AN45" s="277" t="s">
        <v>5007</v>
      </c>
      <c r="AO45" s="277" t="s">
        <v>4182</v>
      </c>
      <c r="AP45" s="277">
        <f t="shared" si="24"/>
        <v>0</v>
      </c>
      <c r="AQ45" s="277">
        <f t="shared" si="25"/>
        <v>0</v>
      </c>
      <c r="AR45" s="277">
        <f t="shared" si="26"/>
        <v>0</v>
      </c>
    </row>
    <row r="46" spans="3:44" ht="19.350000000000001" customHeight="1" thickBot="1">
      <c r="C46" s="776"/>
      <c r="D46" s="777"/>
      <c r="E46" s="777"/>
      <c r="F46" s="778"/>
      <c r="G46" s="774"/>
      <c r="H46" s="775"/>
      <c r="N46" s="1"/>
      <c r="O46" s="319"/>
      <c r="P46"/>
      <c r="Q46"/>
      <c r="R46"/>
      <c r="S46"/>
      <c r="T46" s="1"/>
      <c r="U46" s="223"/>
      <c r="V46" s="449" t="str">
        <f>'計算シート（基準年度）'!Q20</f>
        <v/>
      </c>
      <c r="W46" s="453" t="str">
        <f>'計算シート（基準年度）'!Q21</f>
        <v/>
      </c>
      <c r="X46" s="220"/>
      <c r="Y46" s="221"/>
      <c r="Z46" s="449" t="str">
        <f t="shared" si="27"/>
        <v/>
      </c>
      <c r="AA46" s="449" t="str">
        <f t="shared" si="28"/>
        <v/>
      </c>
      <c r="AB46" s="312"/>
      <c r="AC46" s="312"/>
      <c r="AM46" s="277">
        <v>43</v>
      </c>
      <c r="AN46" s="277" t="s">
        <v>5008</v>
      </c>
      <c r="AO46" s="277" t="s">
        <v>4182</v>
      </c>
      <c r="AP46" s="277">
        <f t="shared" si="24"/>
        <v>0</v>
      </c>
      <c r="AQ46" s="277">
        <f t="shared" si="25"/>
        <v>0</v>
      </c>
      <c r="AR46" s="277">
        <f t="shared" si="26"/>
        <v>0</v>
      </c>
    </row>
    <row r="47" spans="3:44" ht="19.350000000000001" customHeight="1" thickTop="1">
      <c r="C47" s="454" t="s">
        <v>5122</v>
      </c>
      <c r="D47" s="454"/>
      <c r="E47" s="302"/>
      <c r="F47" s="302"/>
      <c r="G47" s="767"/>
      <c r="H47" s="768"/>
      <c r="N47" s="1"/>
      <c r="O47" s="319"/>
      <c r="P47"/>
      <c r="Q47"/>
      <c r="R47"/>
      <c r="S47"/>
      <c r="T47" s="1"/>
      <c r="U47" s="455" t="s">
        <v>106</v>
      </c>
      <c r="V47" s="456" t="str">
        <f>IF(COUNTBLANK(V42:V46)=5,"",SUM(V42:V46))</f>
        <v/>
      </c>
      <c r="W47" s="456" t="str">
        <f>IF(COUNTBLANK(W42:W46)=5,"",SUM(W42:W46))</f>
        <v/>
      </c>
      <c r="X47" s="457">
        <f>IF(SUM(V47,W47)=0,0,SUM(SUMPRODUCT(V42:V46,X42:X46),SUMPRODUCT(W42:W46,X42:X46))/SUM(V47,W47))</f>
        <v>0</v>
      </c>
      <c r="Y47" s="458"/>
      <c r="Z47" s="459">
        <f>SUM(Z42:Z46)</f>
        <v>0</v>
      </c>
      <c r="AA47" s="459">
        <f>SUM(AA42:AA46)</f>
        <v>0</v>
      </c>
      <c r="AB47" s="312"/>
      <c r="AC47" s="312"/>
      <c r="AM47" s="277">
        <v>44</v>
      </c>
      <c r="AN47" s="277" t="s">
        <v>5011</v>
      </c>
      <c r="AO47" s="277" t="s">
        <v>4182</v>
      </c>
      <c r="AP47" s="277">
        <f t="shared" si="24"/>
        <v>0</v>
      </c>
      <c r="AQ47" s="277">
        <f t="shared" si="25"/>
        <v>0</v>
      </c>
      <c r="AR47" s="277">
        <f t="shared" si="26"/>
        <v>0</v>
      </c>
    </row>
    <row r="48" spans="3:44" ht="19.350000000000001" customHeight="1">
      <c r="C48" s="454" t="s">
        <v>5123</v>
      </c>
      <c r="D48" s="454"/>
      <c r="E48" s="302"/>
      <c r="F48" s="302"/>
      <c r="G48" s="710"/>
      <c r="H48" s="711"/>
      <c r="O48" s="319"/>
      <c r="P48"/>
      <c r="Q48"/>
      <c r="R48"/>
      <c r="S48"/>
      <c r="T48" s="1"/>
      <c r="U48" s="461"/>
      <c r="V48" s="462"/>
      <c r="W48" s="462"/>
      <c r="X48" s="463"/>
      <c r="Y48" s="462"/>
      <c r="Z48" s="464"/>
      <c r="AA48" s="464"/>
      <c r="AB48" s="312"/>
      <c r="AC48" s="312"/>
      <c r="AM48" s="277">
        <v>45</v>
      </c>
      <c r="AN48" s="277" t="s">
        <v>5013</v>
      </c>
      <c r="AO48" s="277" t="s">
        <v>4181</v>
      </c>
      <c r="AP48" s="277">
        <f t="shared" si="24"/>
        <v>0</v>
      </c>
      <c r="AQ48" s="277">
        <f t="shared" si="25"/>
        <v>0</v>
      </c>
      <c r="AR48" s="277">
        <f t="shared" si="26"/>
        <v>0</v>
      </c>
    </row>
    <row r="49" spans="3:44" ht="19.350000000000001" customHeight="1">
      <c r="C49" s="454" t="s">
        <v>5124</v>
      </c>
      <c r="D49" s="454"/>
      <c r="E49" s="302"/>
      <c r="F49" s="302"/>
      <c r="G49" s="710"/>
      <c r="H49" s="711"/>
      <c r="N49" s="1"/>
      <c r="O49" s="319"/>
      <c r="P49"/>
      <c r="Q49"/>
      <c r="R49"/>
      <c r="S49"/>
      <c r="T49" s="1"/>
      <c r="U49" s="678" t="s">
        <v>5116</v>
      </c>
      <c r="V49" s="679"/>
      <c r="W49" s="659" t="s">
        <v>3096</v>
      </c>
      <c r="X49" s="659" t="s">
        <v>5134</v>
      </c>
      <c r="Y49" s="659" t="s">
        <v>5155</v>
      </c>
      <c r="Z49" s="659" t="s">
        <v>5158</v>
      </c>
      <c r="AA49" s="659" t="s">
        <v>3094</v>
      </c>
      <c r="AB49" s="690" t="s">
        <v>5117</v>
      </c>
      <c r="AC49" s="312"/>
      <c r="AM49" s="277">
        <v>46</v>
      </c>
      <c r="AN49" s="277" t="s">
        <v>5014</v>
      </c>
      <c r="AO49" s="277" t="s">
        <v>5002</v>
      </c>
      <c r="AP49" s="277">
        <f t="shared" si="24"/>
        <v>0</v>
      </c>
      <c r="AQ49" s="277">
        <f t="shared" si="25"/>
        <v>0</v>
      </c>
      <c r="AR49" s="277">
        <f t="shared" si="26"/>
        <v>0</v>
      </c>
    </row>
    <row r="50" spans="3:44" ht="19.350000000000001" customHeight="1">
      <c r="C50" s="454" t="s">
        <v>123</v>
      </c>
      <c r="D50" s="454"/>
      <c r="E50" s="302"/>
      <c r="F50" s="302"/>
      <c r="G50" s="710"/>
      <c r="H50" s="711"/>
      <c r="N50" s="1"/>
      <c r="O50" s="319"/>
      <c r="P50"/>
      <c r="Q50"/>
      <c r="R50"/>
      <c r="S50"/>
      <c r="T50" s="1"/>
      <c r="U50" s="680"/>
      <c r="V50" s="681"/>
      <c r="W50" s="660"/>
      <c r="X50" s="660"/>
      <c r="Y50" s="660"/>
      <c r="Z50" s="660"/>
      <c r="AA50" s="660"/>
      <c r="AB50" s="691"/>
      <c r="AC50" s="312"/>
      <c r="AM50" s="277">
        <v>47</v>
      </c>
      <c r="AN50" s="277" t="s">
        <v>5015</v>
      </c>
      <c r="AO50" s="277" t="s">
        <v>4182</v>
      </c>
      <c r="AP50" s="277">
        <f t="shared" si="24"/>
        <v>0</v>
      </c>
      <c r="AQ50" s="277">
        <f t="shared" si="25"/>
        <v>0</v>
      </c>
      <c r="AR50" s="277">
        <f t="shared" si="26"/>
        <v>0</v>
      </c>
    </row>
    <row r="51" spans="3:44" ht="19.350000000000001" customHeight="1">
      <c r="C51" s="454" t="s">
        <v>124</v>
      </c>
      <c r="D51" s="454"/>
      <c r="E51" s="302"/>
      <c r="F51" s="302"/>
      <c r="G51" s="710"/>
      <c r="H51" s="711"/>
      <c r="N51" s="1"/>
      <c r="O51" s="319"/>
      <c r="P51"/>
      <c r="Q51"/>
      <c r="R51"/>
      <c r="S51"/>
      <c r="T51" s="1"/>
      <c r="U51" s="465" t="s">
        <v>5118</v>
      </c>
      <c r="V51" s="466"/>
      <c r="W51" s="224"/>
      <c r="X51" s="467">
        <v>1</v>
      </c>
      <c r="Y51" s="468"/>
      <c r="Z51" s="453" t="str">
        <f>IF(W51="","",W51*Y51)</f>
        <v/>
      </c>
      <c r="AA51" s="469">
        <v>3.6</v>
      </c>
      <c r="AB51" s="449" t="str">
        <f>IF(W51="","",W51*AA51)</f>
        <v/>
      </c>
      <c r="AC51" s="312"/>
      <c r="AM51" s="277">
        <v>48</v>
      </c>
      <c r="AN51" s="277" t="s">
        <v>5016</v>
      </c>
      <c r="AO51" s="277" t="s">
        <v>4182</v>
      </c>
      <c r="AP51" s="277">
        <f t="shared" si="24"/>
        <v>0</v>
      </c>
      <c r="AQ51" s="277">
        <f t="shared" si="25"/>
        <v>0</v>
      </c>
      <c r="AR51" s="277">
        <f t="shared" si="26"/>
        <v>0</v>
      </c>
    </row>
    <row r="52" spans="3:44" ht="19.350000000000001" customHeight="1">
      <c r="C52" s="454" t="s">
        <v>5125</v>
      </c>
      <c r="D52" s="454"/>
      <c r="E52" s="302"/>
      <c r="F52" s="302"/>
      <c r="G52" s="710"/>
      <c r="H52" s="711"/>
      <c r="N52" s="1"/>
      <c r="O52" s="319"/>
      <c r="P52"/>
      <c r="Q52"/>
      <c r="R52"/>
      <c r="S52"/>
      <c r="T52" s="1"/>
      <c r="U52" s="692" t="s">
        <v>5119</v>
      </c>
      <c r="V52" s="693"/>
      <c r="W52" s="224"/>
      <c r="X52" s="467">
        <v>1</v>
      </c>
      <c r="Y52" s="468"/>
      <c r="Z52" s="453" t="str">
        <f>IF(W52="","",W52*Y52)</f>
        <v/>
      </c>
      <c r="AA52" s="469">
        <v>3.6</v>
      </c>
      <c r="AB52" s="449" t="str">
        <f t="shared" ref="AB52:AB53" si="29">IF(W52="","",W52*AA52)</f>
        <v/>
      </c>
      <c r="AC52" s="312"/>
      <c r="AM52" s="277">
        <v>49</v>
      </c>
      <c r="AN52" s="277" t="s">
        <v>5017</v>
      </c>
      <c r="AO52" s="277" t="s">
        <v>4182</v>
      </c>
      <c r="AP52" s="277">
        <f t="shared" si="24"/>
        <v>0</v>
      </c>
      <c r="AQ52" s="277">
        <f t="shared" si="25"/>
        <v>0</v>
      </c>
      <c r="AR52" s="277">
        <f t="shared" si="26"/>
        <v>0</v>
      </c>
    </row>
    <row r="53" spans="3:44" ht="19.350000000000001" customHeight="1" thickBot="1">
      <c r="C53" s="470" t="s">
        <v>5126</v>
      </c>
      <c r="D53" s="470"/>
      <c r="E53" s="471"/>
      <c r="F53" s="471"/>
      <c r="G53" s="717"/>
      <c r="H53" s="718"/>
      <c r="N53" s="1"/>
      <c r="O53" s="319"/>
      <c r="P53"/>
      <c r="Q53"/>
      <c r="R53"/>
      <c r="S53"/>
      <c r="T53" s="1"/>
      <c r="U53" s="472" t="s">
        <v>5120</v>
      </c>
      <c r="V53" s="466"/>
      <c r="W53" s="225"/>
      <c r="X53" s="220"/>
      <c r="Y53" s="217"/>
      <c r="Z53" s="453" t="str">
        <f>IF(W53="","",W53*Y53)</f>
        <v/>
      </c>
      <c r="AA53" s="469">
        <v>8.64</v>
      </c>
      <c r="AB53" s="449" t="str">
        <f t="shared" si="29"/>
        <v/>
      </c>
      <c r="AC53" s="312"/>
      <c r="AM53" s="277">
        <v>50</v>
      </c>
      <c r="AN53" s="277" t="s">
        <v>5130</v>
      </c>
      <c r="AO53" s="277" t="s">
        <v>115</v>
      </c>
      <c r="AP53" s="277">
        <f t="shared" si="24"/>
        <v>0</v>
      </c>
      <c r="AQ53" s="277">
        <f t="shared" si="25"/>
        <v>0</v>
      </c>
      <c r="AR53" s="277">
        <f t="shared" si="26"/>
        <v>0</v>
      </c>
    </row>
    <row r="54" spans="3:44" ht="19.350000000000001" customHeight="1" thickTop="1" thickBot="1">
      <c r="C54" s="714" t="s">
        <v>126</v>
      </c>
      <c r="D54" s="715"/>
      <c r="E54" s="715"/>
      <c r="F54" s="716"/>
      <c r="G54" s="769" t="str">
        <f t="shared" ref="G54" si="30">IF(COUNTBLANK(G47:G53)=7,"",SUM(G47:G53))</f>
        <v/>
      </c>
      <c r="H54" s="770"/>
      <c r="I54" s="1"/>
      <c r="J54" s="1"/>
      <c r="K54" s="1"/>
      <c r="L54" s="1"/>
      <c r="M54" s="1"/>
      <c r="N54" s="1"/>
      <c r="O54" s="319"/>
      <c r="P54"/>
      <c r="Q54"/>
      <c r="R54"/>
      <c r="S54"/>
      <c r="T54" s="381"/>
      <c r="U54" s="473"/>
      <c r="V54" s="474"/>
      <c r="W54" s="475"/>
      <c r="X54" s="476"/>
      <c r="Y54" s="477"/>
      <c r="Z54" s="475"/>
      <c r="AA54" s="475"/>
      <c r="AB54" s="478"/>
      <c r="AC54" s="484"/>
      <c r="AM54" s="277">
        <v>51</v>
      </c>
      <c r="AN54" s="277" t="s">
        <v>5024</v>
      </c>
      <c r="AO54" s="277" t="s">
        <v>115</v>
      </c>
      <c r="AP54" s="277">
        <f t="shared" si="24"/>
        <v>0</v>
      </c>
      <c r="AQ54" s="277">
        <f t="shared" si="25"/>
        <v>0</v>
      </c>
      <c r="AR54" s="277">
        <f t="shared" si="26"/>
        <v>0</v>
      </c>
    </row>
    <row r="55" spans="3:44" ht="19.350000000000001" customHeight="1">
      <c r="I55" s="1"/>
      <c r="J55" s="1"/>
      <c r="K55" s="1"/>
      <c r="L55" s="1"/>
      <c r="M55" s="1"/>
      <c r="N55" s="1"/>
      <c r="O55" s="319"/>
      <c r="P55"/>
      <c r="Q55"/>
      <c r="R55"/>
      <c r="S55"/>
      <c r="T55" s="381"/>
      <c r="U55" s="479"/>
      <c r="V55" s="694" t="s">
        <v>73</v>
      </c>
      <c r="W55" s="659" t="s">
        <v>3096</v>
      </c>
      <c r="X55" s="659" t="s">
        <v>5134</v>
      </c>
      <c r="Y55" s="659" t="s">
        <v>5155</v>
      </c>
      <c r="Z55" s="659" t="s">
        <v>5158</v>
      </c>
      <c r="AA55" s="659" t="s">
        <v>3094</v>
      </c>
      <c r="AB55" s="690" t="s">
        <v>5117</v>
      </c>
      <c r="AC55" s="312"/>
      <c r="AM55" s="277">
        <v>52</v>
      </c>
      <c r="AN55" s="277" t="s">
        <v>5025</v>
      </c>
      <c r="AO55" s="277" t="s">
        <v>115</v>
      </c>
      <c r="AP55" s="277">
        <f t="shared" si="24"/>
        <v>0</v>
      </c>
      <c r="AQ55" s="277">
        <f t="shared" si="25"/>
        <v>0</v>
      </c>
      <c r="AR55" s="277">
        <f t="shared" si="26"/>
        <v>0</v>
      </c>
    </row>
    <row r="56" spans="3:44" ht="19.350000000000001" customHeight="1" thickBot="1">
      <c r="C56" s="339" t="s">
        <v>127</v>
      </c>
      <c r="D56" s="339"/>
      <c r="E56" s="381"/>
      <c r="F56" s="381"/>
      <c r="G56" s="381"/>
      <c r="H56" s="381"/>
      <c r="I56" s="381"/>
      <c r="J56" s="381"/>
      <c r="K56" s="381"/>
      <c r="L56" s="381"/>
      <c r="M56" s="381"/>
      <c r="N56" s="381"/>
      <c r="O56" s="319"/>
      <c r="P56"/>
      <c r="Q56"/>
      <c r="R56"/>
      <c r="S56"/>
      <c r="T56" s="381"/>
      <c r="U56" s="479" t="s">
        <v>111</v>
      </c>
      <c r="V56" s="695"/>
      <c r="W56" s="660"/>
      <c r="X56" s="660"/>
      <c r="Y56" s="660"/>
      <c r="Z56" s="660"/>
      <c r="AA56" s="660"/>
      <c r="AB56" s="691"/>
      <c r="AC56" s="312"/>
      <c r="AM56" s="277">
        <v>53</v>
      </c>
      <c r="AN56" s="277" t="s">
        <v>5026</v>
      </c>
      <c r="AO56" s="277" t="s">
        <v>116</v>
      </c>
      <c r="AP56" s="277">
        <f t="shared" si="24"/>
        <v>0</v>
      </c>
      <c r="AQ56" s="277">
        <f t="shared" si="25"/>
        <v>0</v>
      </c>
      <c r="AR56" s="277">
        <f t="shared" si="26"/>
        <v>0</v>
      </c>
    </row>
    <row r="57" spans="3:44" ht="19.350000000000001" customHeight="1">
      <c r="C57" s="748" t="s">
        <v>5131</v>
      </c>
      <c r="D57" s="749"/>
      <c r="E57" s="749"/>
      <c r="F57" s="758"/>
      <c r="G57" s="754" t="s">
        <v>5084</v>
      </c>
      <c r="H57" s="755"/>
      <c r="I57" s="381"/>
      <c r="J57" s="381"/>
      <c r="K57" s="381"/>
      <c r="L57" s="381"/>
      <c r="M57" s="381"/>
      <c r="N57" s="381"/>
      <c r="O57" s="319"/>
      <c r="P57"/>
      <c r="Q57"/>
      <c r="R57"/>
      <c r="S57"/>
      <c r="T57" s="381"/>
      <c r="U57" s="480"/>
      <c r="V57" s="225"/>
      <c r="W57" s="225"/>
      <c r="X57" s="220"/>
      <c r="Y57" s="221"/>
      <c r="Z57" s="449" t="str">
        <f>IF(W57="","",W57*Y57)</f>
        <v/>
      </c>
      <c r="AA57" s="469">
        <v>8.64</v>
      </c>
      <c r="AB57" s="481">
        <f>W57*AA57</f>
        <v>0</v>
      </c>
      <c r="AC57" s="377"/>
      <c r="AM57" s="277">
        <v>54</v>
      </c>
      <c r="AN57" s="277" t="s">
        <v>5029</v>
      </c>
      <c r="AO57" s="277" t="s">
        <v>116</v>
      </c>
      <c r="AP57" s="277">
        <f t="shared" si="24"/>
        <v>0</v>
      </c>
      <c r="AQ57" s="277">
        <f t="shared" si="25"/>
        <v>0</v>
      </c>
      <c r="AR57" s="277">
        <f t="shared" si="26"/>
        <v>0</v>
      </c>
    </row>
    <row r="58" spans="3:44" ht="19.350000000000001" customHeight="1" thickBot="1">
      <c r="C58" s="759"/>
      <c r="D58" s="760"/>
      <c r="E58" s="760"/>
      <c r="F58" s="761"/>
      <c r="G58" s="756"/>
      <c r="H58" s="757"/>
      <c r="I58" s="381"/>
      <c r="J58" s="381"/>
      <c r="K58" s="381"/>
      <c r="L58" s="381"/>
      <c r="M58" s="381"/>
      <c r="N58" s="381"/>
      <c r="O58" s="319"/>
      <c r="P58"/>
      <c r="Q58"/>
      <c r="R58"/>
      <c r="S58"/>
      <c r="T58" s="381"/>
      <c r="U58" s="482"/>
      <c r="V58" s="225"/>
      <c r="W58" s="225"/>
      <c r="X58" s="220"/>
      <c r="Y58" s="221"/>
      <c r="Z58" s="449" t="str">
        <f>IF(W58="","",W58*Y58)</f>
        <v/>
      </c>
      <c r="AA58" s="469">
        <v>8.64</v>
      </c>
      <c r="AB58" s="483">
        <f t="shared" ref="AB58" si="31">W58*AA58</f>
        <v>0</v>
      </c>
      <c r="AC58" s="312"/>
      <c r="AM58" s="277">
        <v>55</v>
      </c>
      <c r="AN58" s="277" t="s">
        <v>5030</v>
      </c>
      <c r="AO58" s="277" t="s">
        <v>116</v>
      </c>
      <c r="AP58" s="277">
        <f t="shared" si="24"/>
        <v>0</v>
      </c>
      <c r="AQ58" s="277">
        <f t="shared" si="25"/>
        <v>0</v>
      </c>
      <c r="AR58" s="277">
        <f t="shared" si="26"/>
        <v>0</v>
      </c>
    </row>
    <row r="59" spans="3:44" ht="19.350000000000001" customHeight="1" thickTop="1">
      <c r="C59" s="764"/>
      <c r="D59" s="765"/>
      <c r="E59" s="765"/>
      <c r="F59" s="766"/>
      <c r="G59" s="762"/>
      <c r="H59" s="763"/>
      <c r="I59" s="381"/>
      <c r="J59" s="381"/>
      <c r="K59" s="381"/>
      <c r="L59" s="381"/>
      <c r="M59" s="381"/>
      <c r="N59" s="381"/>
      <c r="O59" s="319"/>
      <c r="P59"/>
      <c r="Q59"/>
      <c r="R59"/>
      <c r="S59"/>
      <c r="T59" s="1"/>
      <c r="U59" s="455" t="s">
        <v>106</v>
      </c>
      <c r="V59" s="458"/>
      <c r="W59" s="456">
        <f>SUM(W51:W53,W57:W58)</f>
        <v>0</v>
      </c>
      <c r="X59" s="457">
        <f>IF(W59=0,0,(SUMPRODUCT(W57:W58,X57:X58)+SUMPRODUCT(X51:X53,W51:W53))/W59)</f>
        <v>0</v>
      </c>
      <c r="Y59" s="458"/>
      <c r="Z59" s="456">
        <f>SUM(Z51:Z53,Z57:Z58)</f>
        <v>0</v>
      </c>
      <c r="AA59" s="458"/>
      <c r="AB59" s="456">
        <f>SUM(AB51:AB53,AB57:AB58)</f>
        <v>0</v>
      </c>
      <c r="AC59" s="312"/>
      <c r="AM59" s="277">
        <v>56</v>
      </c>
      <c r="AN59" s="277" t="s">
        <v>5031</v>
      </c>
      <c r="AO59" s="277" t="s">
        <v>116</v>
      </c>
      <c r="AP59" s="277">
        <f t="shared" si="24"/>
        <v>0</v>
      </c>
      <c r="AQ59" s="277">
        <f t="shared" si="25"/>
        <v>0</v>
      </c>
      <c r="AR59" s="277">
        <f t="shared" si="26"/>
        <v>0</v>
      </c>
    </row>
    <row r="60" spans="3:44" ht="19.350000000000001" customHeight="1">
      <c r="C60" s="707"/>
      <c r="D60" s="708"/>
      <c r="E60" s="708"/>
      <c r="F60" s="709"/>
      <c r="G60" s="710"/>
      <c r="H60" s="711"/>
      <c r="I60" s="381"/>
      <c r="J60" s="381"/>
      <c r="K60" s="381"/>
      <c r="L60" s="381"/>
      <c r="M60" s="381"/>
      <c r="N60" s="381"/>
      <c r="O60" s="319"/>
      <c r="P60"/>
      <c r="Q60"/>
      <c r="R60"/>
      <c r="S60"/>
      <c r="T60" s="1"/>
      <c r="U60" s="377"/>
      <c r="V60" s="377"/>
      <c r="W60" s="377"/>
      <c r="X60" s="377"/>
      <c r="Y60" s="484"/>
      <c r="Z60" s="312"/>
      <c r="AA60" s="312"/>
      <c r="AB60" s="312"/>
      <c r="AC60" s="312"/>
      <c r="AM60" s="277">
        <v>57</v>
      </c>
      <c r="AN60" s="277" t="s">
        <v>5032</v>
      </c>
      <c r="AO60" s="277" t="s">
        <v>116</v>
      </c>
      <c r="AP60" s="277">
        <f t="shared" si="24"/>
        <v>0</v>
      </c>
      <c r="AQ60" s="277">
        <f t="shared" si="25"/>
        <v>0</v>
      </c>
      <c r="AR60" s="277">
        <f t="shared" si="26"/>
        <v>0</v>
      </c>
    </row>
    <row r="61" spans="3:44" ht="19.350000000000001" customHeight="1">
      <c r="C61" s="707"/>
      <c r="D61" s="708"/>
      <c r="E61" s="708"/>
      <c r="F61" s="709"/>
      <c r="G61" s="710"/>
      <c r="H61" s="711"/>
      <c r="I61" s="381"/>
      <c r="J61" s="381"/>
      <c r="K61" s="381"/>
      <c r="L61" s="381"/>
      <c r="M61" s="381"/>
      <c r="N61" s="381"/>
      <c r="O61" s="319"/>
      <c r="P61"/>
      <c r="Q61"/>
      <c r="R61"/>
      <c r="S61"/>
      <c r="T61" s="1"/>
      <c r="U61" s="686"/>
      <c r="V61" s="659" t="s">
        <v>3095</v>
      </c>
      <c r="W61" s="659" t="s">
        <v>3094</v>
      </c>
      <c r="X61" s="659" t="s">
        <v>5155</v>
      </c>
      <c r="Y61" s="659" t="s">
        <v>5159</v>
      </c>
      <c r="Z61" s="312"/>
      <c r="AA61" s="312"/>
      <c r="AB61" s="312"/>
      <c r="AC61" s="312"/>
      <c r="AD61" s="381"/>
    </row>
    <row r="62" spans="3:44" ht="19.350000000000001" customHeight="1">
      <c r="C62" s="707"/>
      <c r="D62" s="708"/>
      <c r="E62" s="708"/>
      <c r="F62" s="709"/>
      <c r="G62" s="710"/>
      <c r="H62" s="711"/>
      <c r="I62" s="381"/>
      <c r="J62" s="381"/>
      <c r="K62" s="381"/>
      <c r="L62" s="381"/>
      <c r="M62" s="381"/>
      <c r="N62" s="381"/>
      <c r="O62" s="319"/>
      <c r="P62"/>
      <c r="Q62"/>
      <c r="R62"/>
      <c r="S62"/>
      <c r="T62" s="1"/>
      <c r="U62" s="687"/>
      <c r="V62" s="660"/>
      <c r="W62" s="660"/>
      <c r="X62" s="660"/>
      <c r="Y62" s="660"/>
      <c r="Z62" s="312"/>
      <c r="AA62" s="312"/>
      <c r="AB62" s="312"/>
      <c r="AC62" s="312"/>
      <c r="AD62" s="381"/>
    </row>
    <row r="63" spans="3:44" ht="19.350000000000001" customHeight="1">
      <c r="C63" s="707"/>
      <c r="D63" s="708"/>
      <c r="E63" s="708"/>
      <c r="F63" s="709"/>
      <c r="G63" s="710"/>
      <c r="H63" s="711"/>
      <c r="I63" s="381"/>
      <c r="J63" s="381"/>
      <c r="K63" s="381"/>
      <c r="L63" s="381"/>
      <c r="M63" s="381"/>
      <c r="N63" s="381"/>
      <c r="O63" s="381"/>
      <c r="P63"/>
      <c r="Q63"/>
      <c r="R63"/>
      <c r="S63"/>
      <c r="T63" s="1"/>
      <c r="U63" s="485" t="s">
        <v>5127</v>
      </c>
      <c r="V63" s="224"/>
      <c r="W63" s="217"/>
      <c r="X63" s="218"/>
      <c r="Y63" s="449" t="str">
        <f>IF(V63="","",V63*X63)</f>
        <v/>
      </c>
      <c r="Z63" s="312"/>
      <c r="AA63" s="312"/>
      <c r="AB63" s="312"/>
      <c r="AC63" s="312"/>
      <c r="AD63" s="381"/>
    </row>
    <row r="64" spans="3:44" ht="19.350000000000001" customHeight="1">
      <c r="C64" s="707"/>
      <c r="D64" s="708"/>
      <c r="E64" s="708"/>
      <c r="F64" s="709"/>
      <c r="G64" s="710"/>
      <c r="H64" s="711"/>
      <c r="I64" s="381"/>
      <c r="J64" s="381"/>
      <c r="K64" s="381"/>
      <c r="L64" s="381"/>
      <c r="M64" s="381"/>
      <c r="N64" s="381"/>
      <c r="O64" s="381"/>
      <c r="P64"/>
      <c r="Q64"/>
      <c r="R64"/>
      <c r="S64"/>
      <c r="T64" s="1"/>
      <c r="U64" s="377"/>
      <c r="V64" s="377"/>
      <c r="W64" s="377"/>
      <c r="X64" s="377"/>
      <c r="Y64" s="484"/>
      <c r="Z64" s="312"/>
      <c r="AA64" s="312"/>
      <c r="AB64" s="484"/>
      <c r="AC64" s="312"/>
      <c r="AD64" s="381"/>
    </row>
    <row r="65" spans="3:43" ht="19.350000000000001" customHeight="1" thickBot="1">
      <c r="C65" s="719"/>
      <c r="D65" s="720"/>
      <c r="E65" s="720"/>
      <c r="F65" s="721"/>
      <c r="G65" s="717"/>
      <c r="H65" s="718"/>
      <c r="I65" s="381"/>
      <c r="J65" s="381"/>
      <c r="K65" s="381"/>
      <c r="L65" s="381"/>
      <c r="M65" s="381"/>
      <c r="N65" s="381"/>
      <c r="O65" s="381"/>
      <c r="P65"/>
      <c r="Q65"/>
      <c r="R65"/>
      <c r="S65"/>
      <c r="T65" s="1"/>
      <c r="U65" s="686" t="s">
        <v>5128</v>
      </c>
      <c r="V65" s="688" t="s">
        <v>5129</v>
      </c>
      <c r="W65" s="659" t="s">
        <v>3094</v>
      </c>
      <c r="X65" s="312"/>
      <c r="Y65" s="312"/>
      <c r="Z65" s="312"/>
      <c r="AA65" s="312"/>
      <c r="AB65" s="312"/>
      <c r="AC65" s="312"/>
      <c r="AD65" s="381"/>
    </row>
    <row r="66" spans="3:43" ht="19.350000000000001" customHeight="1" thickTop="1" thickBot="1">
      <c r="C66" s="714" t="s">
        <v>126</v>
      </c>
      <c r="D66" s="715"/>
      <c r="E66" s="715"/>
      <c r="F66" s="716"/>
      <c r="G66" s="712" t="str">
        <f t="shared" ref="G66" si="32">IF(COUNTBLANK(G59:G65)=7,"",SUM(G59:G65))</f>
        <v/>
      </c>
      <c r="H66" s="713"/>
      <c r="I66" s="381"/>
      <c r="J66" s="381"/>
      <c r="K66" s="381"/>
      <c r="L66" s="381"/>
      <c r="M66" s="381"/>
      <c r="N66" s="381"/>
      <c r="O66" s="381"/>
      <c r="P66"/>
      <c r="Q66"/>
      <c r="R66"/>
      <c r="S66"/>
      <c r="T66" s="1"/>
      <c r="U66" s="687"/>
      <c r="V66" s="689"/>
      <c r="W66" s="660"/>
      <c r="X66" s="312"/>
      <c r="Y66" s="312"/>
      <c r="Z66" s="312"/>
      <c r="AA66" s="312"/>
      <c r="AB66" s="312"/>
      <c r="AC66" s="312"/>
      <c r="AD66" s="381"/>
    </row>
    <row r="67" spans="3:43" ht="19.350000000000001" customHeight="1">
      <c r="C67" s="381"/>
      <c r="D67" s="381"/>
      <c r="E67" s="381"/>
      <c r="F67" s="381"/>
      <c r="G67" s="381"/>
      <c r="H67" s="381"/>
      <c r="I67" s="381"/>
      <c r="J67" s="381"/>
      <c r="K67" s="381"/>
      <c r="L67" s="381"/>
      <c r="M67" s="381"/>
      <c r="N67" s="381"/>
      <c r="O67" s="381"/>
      <c r="P67"/>
      <c r="Q67"/>
      <c r="R67"/>
      <c r="S67"/>
      <c r="T67" s="1"/>
      <c r="U67" s="486" t="s">
        <v>5064</v>
      </c>
      <c r="V67" s="224"/>
      <c r="W67" s="487">
        <v>3.6</v>
      </c>
      <c r="X67" s="312"/>
      <c r="Y67" s="312"/>
      <c r="Z67" s="312"/>
      <c r="AA67" s="312"/>
      <c r="AB67" s="312"/>
      <c r="AC67" s="312"/>
      <c r="AD67" s="381"/>
    </row>
    <row r="68" spans="3:43" ht="19.350000000000001" customHeight="1" thickBot="1">
      <c r="C68" s="339" t="s">
        <v>129</v>
      </c>
      <c r="D68" s="339"/>
      <c r="E68" s="381"/>
      <c r="F68" s="381"/>
      <c r="G68" s="381"/>
      <c r="H68" s="381"/>
      <c r="I68" s="381"/>
      <c r="J68" s="381"/>
      <c r="K68" s="381"/>
      <c r="L68" s="381"/>
      <c r="M68" s="381"/>
      <c r="N68" s="381"/>
      <c r="O68" s="381"/>
      <c r="P68"/>
      <c r="Q68"/>
      <c r="R68"/>
      <c r="S68"/>
      <c r="T68" s="1"/>
      <c r="U68" s="486" t="s">
        <v>5069</v>
      </c>
      <c r="V68" s="224"/>
      <c r="W68" s="487">
        <v>3.6</v>
      </c>
      <c r="X68" s="312"/>
      <c r="Y68" s="312"/>
      <c r="Z68" s="312"/>
      <c r="AA68" s="312"/>
      <c r="AB68" s="312"/>
      <c r="AC68" s="312"/>
      <c r="AD68" s="381"/>
    </row>
    <row r="69" spans="3:43" ht="19.350000000000001" customHeight="1">
      <c r="C69" s="748" t="s">
        <v>128</v>
      </c>
      <c r="D69" s="749"/>
      <c r="E69" s="749"/>
      <c r="F69" s="749"/>
      <c r="G69" s="749"/>
      <c r="H69" s="750"/>
      <c r="I69" s="381"/>
      <c r="J69" s="381"/>
      <c r="K69" s="381"/>
      <c r="L69" s="381"/>
      <c r="M69" s="381"/>
      <c r="N69" s="381"/>
      <c r="O69" s="381"/>
      <c r="P69"/>
      <c r="Q69"/>
      <c r="R69"/>
      <c r="S69"/>
      <c r="T69" s="1"/>
      <c r="U69" s="486" t="s">
        <v>5066</v>
      </c>
      <c r="V69" s="224"/>
      <c r="W69" s="487">
        <v>3.6</v>
      </c>
      <c r="X69" s="312"/>
      <c r="Y69" s="484"/>
      <c r="Z69" s="312"/>
      <c r="AA69" s="312"/>
      <c r="AB69" s="312"/>
      <c r="AC69" s="312"/>
    </row>
    <row r="70" spans="3:43" ht="19.350000000000001" customHeight="1" thickBot="1">
      <c r="C70" s="751"/>
      <c r="D70" s="752"/>
      <c r="E70" s="752"/>
      <c r="F70" s="752"/>
      <c r="G70" s="752"/>
      <c r="H70" s="753"/>
      <c r="I70" s="381"/>
      <c r="J70" s="381"/>
      <c r="K70" s="381"/>
      <c r="L70" s="381"/>
      <c r="M70" s="381"/>
      <c r="N70" s="381"/>
      <c r="O70" s="381"/>
      <c r="P70"/>
      <c r="Q70"/>
      <c r="R70"/>
      <c r="S70"/>
      <c r="T70" s="1"/>
      <c r="U70" s="486" t="s">
        <v>5132</v>
      </c>
      <c r="V70" s="224"/>
      <c r="W70" s="487">
        <v>3.6</v>
      </c>
      <c r="X70" s="312"/>
      <c r="Y70" s="484"/>
      <c r="Z70" s="312"/>
      <c r="AA70" s="312"/>
      <c r="AB70" s="312"/>
      <c r="AC70" s="312"/>
    </row>
    <row r="71" spans="3:43" ht="19.350000000000001" customHeight="1" thickTop="1">
      <c r="C71" s="745" t="s">
        <v>71</v>
      </c>
      <c r="D71" s="746"/>
      <c r="E71" s="746"/>
      <c r="F71" s="747"/>
      <c r="G71" s="722"/>
      <c r="H71" s="723"/>
      <c r="I71" s="381"/>
      <c r="J71" s="381"/>
      <c r="K71" s="381"/>
      <c r="L71" s="381"/>
      <c r="M71" s="381"/>
      <c r="N71" s="381"/>
      <c r="O71" s="381"/>
      <c r="P71"/>
      <c r="Q71"/>
      <c r="R71"/>
      <c r="S71"/>
      <c r="T71" s="1"/>
      <c r="U71" s="455" t="s">
        <v>106</v>
      </c>
      <c r="V71" s="456">
        <f>SUM(V67:V70)</f>
        <v>0</v>
      </c>
      <c r="W71" s="458"/>
      <c r="X71" s="312"/>
      <c r="Y71" s="484"/>
      <c r="Z71" s="312"/>
      <c r="AA71" s="312"/>
      <c r="AB71" s="312"/>
      <c r="AC71" s="312"/>
    </row>
    <row r="72" spans="3:43" ht="19.350000000000001" customHeight="1">
      <c r="C72" s="727" t="s">
        <v>147</v>
      </c>
      <c r="D72" s="728"/>
      <c r="E72" s="728"/>
      <c r="F72" s="729"/>
      <c r="G72" s="705"/>
      <c r="H72" s="706"/>
      <c r="I72" s="381"/>
      <c r="J72" s="381"/>
      <c r="K72" s="381"/>
      <c r="L72" s="381"/>
      <c r="M72" s="381"/>
      <c r="N72" s="1"/>
      <c r="O72" s="381"/>
      <c r="P72"/>
      <c r="Q72"/>
      <c r="R72"/>
      <c r="S72"/>
      <c r="T72" s="1"/>
      <c r="U72" s="312"/>
      <c r="V72" s="312"/>
      <c r="W72" s="312"/>
      <c r="X72" s="312"/>
      <c r="Y72" s="312"/>
      <c r="Z72" s="312"/>
      <c r="AA72" s="312"/>
      <c r="AB72" s="312"/>
      <c r="AC72" s="312"/>
    </row>
    <row r="73" spans="3:43" ht="19.350000000000001" customHeight="1" thickBot="1">
      <c r="C73" s="724" t="s">
        <v>146</v>
      </c>
      <c r="D73" s="725"/>
      <c r="E73" s="725"/>
      <c r="F73" s="726"/>
      <c r="G73" s="703"/>
      <c r="H73" s="704"/>
      <c r="I73" s="381"/>
      <c r="J73" s="381"/>
      <c r="K73" s="381"/>
      <c r="L73" s="1"/>
      <c r="M73" s="1"/>
      <c r="N73" s="1"/>
      <c r="O73" s="381"/>
      <c r="P73"/>
      <c r="Q73"/>
      <c r="R73"/>
      <c r="S73"/>
      <c r="T73" s="1"/>
      <c r="U73" s="312"/>
      <c r="V73" s="312"/>
      <c r="W73" s="312"/>
      <c r="X73" s="312"/>
      <c r="Y73" s="312"/>
      <c r="Z73" s="312"/>
      <c r="AA73" s="312"/>
      <c r="AB73" s="312"/>
      <c r="AC73" s="312"/>
    </row>
    <row r="74" spans="3:43" ht="19.350000000000001" customHeight="1">
      <c r="I74" s="1"/>
      <c r="J74" s="1"/>
      <c r="K74" s="1"/>
      <c r="L74" s="1"/>
      <c r="M74" s="1"/>
      <c r="N74" s="1"/>
      <c r="O74" s="381"/>
      <c r="P74"/>
      <c r="Q74"/>
      <c r="R74"/>
      <c r="S74"/>
      <c r="T74" s="1"/>
      <c r="AH74" s="12"/>
      <c r="AI74" s="12"/>
      <c r="AJ74" s="12"/>
    </row>
    <row r="75" spans="3:43" ht="19.350000000000001" customHeight="1">
      <c r="I75" s="1"/>
      <c r="J75" s="1"/>
      <c r="K75" s="1"/>
      <c r="L75" s="1"/>
      <c r="M75" s="1"/>
      <c r="N75" s="1"/>
      <c r="O75" s="1"/>
      <c r="T75" s="1"/>
      <c r="AG75" s="12"/>
      <c r="AH75" s="12"/>
      <c r="AI75" s="12"/>
      <c r="AJ75" s="12"/>
    </row>
    <row r="76" spans="3:43" ht="19.350000000000001" customHeight="1">
      <c r="I76" s="1"/>
      <c r="J76" s="1"/>
      <c r="K76" s="1"/>
      <c r="L76" s="1"/>
      <c r="M76" s="1"/>
      <c r="N76" s="1"/>
      <c r="O76" s="1"/>
      <c r="T76" s="1"/>
      <c r="AG76" s="12"/>
    </row>
    <row r="77" spans="3:43" ht="19.350000000000001" customHeight="1">
      <c r="I77" s="1"/>
      <c r="J77" s="1"/>
      <c r="K77" s="1"/>
      <c r="L77" s="1"/>
      <c r="M77" s="1"/>
      <c r="N77" s="1"/>
      <c r="O77" s="1"/>
      <c r="T77" s="1"/>
      <c r="AK77" s="12"/>
    </row>
    <row r="78" spans="3:43" ht="19.350000000000001" customHeight="1">
      <c r="I78" s="1"/>
      <c r="J78" s="1"/>
      <c r="K78" s="1"/>
      <c r="L78" s="1"/>
      <c r="M78" s="1"/>
      <c r="N78" s="1"/>
      <c r="O78" s="1"/>
      <c r="T78" s="1"/>
      <c r="AK78" s="12"/>
      <c r="AL78" s="12"/>
    </row>
    <row r="79" spans="3:43" ht="19.350000000000001" customHeight="1">
      <c r="I79" s="1"/>
      <c r="J79" s="1"/>
      <c r="K79" s="1"/>
      <c r="L79" s="1"/>
      <c r="M79" s="1"/>
      <c r="N79" s="1"/>
      <c r="O79" s="1"/>
      <c r="T79" s="1"/>
      <c r="AL79" s="12"/>
      <c r="AQ79" s="12"/>
    </row>
    <row r="80" spans="3:43" ht="23.25" customHeight="1">
      <c r="I80" s="1"/>
      <c r="J80" s="1"/>
      <c r="K80" s="1"/>
      <c r="L80" s="1"/>
      <c r="M80" s="1"/>
      <c r="N80" s="1"/>
      <c r="O80" s="1"/>
      <c r="T80" s="1"/>
      <c r="AQ80" s="12"/>
    </row>
    <row r="81" spans="1:50" ht="23.25" customHeight="1">
      <c r="I81" s="1"/>
      <c r="J81" s="1"/>
      <c r="K81" s="1"/>
      <c r="L81" s="1"/>
      <c r="M81" s="1"/>
      <c r="N81" s="1"/>
      <c r="O81" s="1"/>
      <c r="T81" s="1"/>
      <c r="AR81" s="12"/>
    </row>
    <row r="82" spans="1:50" ht="23.25" customHeight="1">
      <c r="I82" s="1"/>
      <c r="J82" s="1"/>
      <c r="K82" s="1"/>
      <c r="L82" s="1"/>
      <c r="M82" s="1"/>
      <c r="N82" s="1"/>
      <c r="O82" s="1"/>
      <c r="T82" s="1"/>
      <c r="AH82" s="12"/>
      <c r="AI82" s="12"/>
      <c r="AJ82" s="12"/>
      <c r="AR82" s="12"/>
    </row>
    <row r="83" spans="1:50" ht="23.25" customHeight="1">
      <c r="I83" s="1"/>
      <c r="J83" s="1"/>
      <c r="K83" s="1"/>
      <c r="L83" s="1"/>
      <c r="M83" s="1"/>
      <c r="N83" s="1"/>
      <c r="O83" s="1"/>
      <c r="T83" s="1"/>
      <c r="AG83" s="12"/>
      <c r="AM83" s="12"/>
      <c r="AN83" s="12"/>
      <c r="AO83" s="12"/>
      <c r="AP83" s="12"/>
    </row>
    <row r="84" spans="1:50" ht="23.25" customHeight="1">
      <c r="I84" s="1"/>
      <c r="J84" s="1"/>
      <c r="K84" s="1"/>
      <c r="L84" s="1"/>
      <c r="M84" s="1"/>
      <c r="N84" s="1"/>
      <c r="O84" s="1"/>
      <c r="T84" s="1"/>
      <c r="AM84" s="12"/>
      <c r="AN84" s="12"/>
      <c r="AO84" s="12"/>
      <c r="AP84" s="12"/>
    </row>
    <row r="85" spans="1:50" ht="19.5" customHeight="1">
      <c r="I85" s="1"/>
      <c r="J85" s="1"/>
      <c r="K85" s="1"/>
      <c r="L85" s="1"/>
      <c r="M85" s="1"/>
      <c r="N85" s="1"/>
      <c r="O85" s="1"/>
      <c r="T85" s="1"/>
      <c r="U85" s="1"/>
      <c r="V85" s="1"/>
      <c r="AF85" s="12"/>
      <c r="AK85" s="12"/>
    </row>
    <row r="86" spans="1:50" s="12" customFormat="1" ht="27.6" customHeight="1">
      <c r="A86" s="277"/>
      <c r="B86" s="277"/>
      <c r="C86" s="277"/>
      <c r="D86" s="277"/>
      <c r="E86" s="277"/>
      <c r="F86" s="277"/>
      <c r="G86" s="277"/>
      <c r="H86" s="277"/>
      <c r="I86" s="1"/>
      <c r="J86" s="1"/>
      <c r="K86" s="1"/>
      <c r="L86" s="1"/>
      <c r="M86" s="1"/>
      <c r="N86" s="1"/>
      <c r="O86" s="1"/>
      <c r="P86" s="277"/>
      <c r="Q86" s="277"/>
      <c r="R86" s="277"/>
      <c r="S86" s="277"/>
      <c r="T86" s="1"/>
      <c r="U86" s="1"/>
      <c r="V86" s="1"/>
      <c r="W86" s="277"/>
      <c r="X86" s="277"/>
      <c r="Y86" s="277"/>
      <c r="Z86" s="277"/>
      <c r="AA86" s="277"/>
      <c r="AB86" s="277"/>
      <c r="AC86" s="277"/>
      <c r="AD86" s="277"/>
      <c r="AE86" s="277"/>
      <c r="AG86" s="277"/>
      <c r="AH86" s="277"/>
      <c r="AI86" s="277"/>
      <c r="AJ86" s="277"/>
      <c r="AK86" s="277"/>
      <c r="AM86" s="277"/>
      <c r="AN86" s="277"/>
      <c r="AO86" s="277"/>
      <c r="AP86" s="277"/>
      <c r="AQ86" s="277"/>
      <c r="AR86" s="277"/>
      <c r="AS86" s="277"/>
      <c r="AT86" s="277"/>
      <c r="AU86" s="277"/>
      <c r="AV86" s="277"/>
      <c r="AW86" s="277"/>
      <c r="AX86" s="277"/>
    </row>
    <row r="87" spans="1:50" s="12" customFormat="1" ht="27" customHeight="1">
      <c r="A87" s="277"/>
      <c r="B87" s="277"/>
      <c r="C87" s="277"/>
      <c r="D87" s="277"/>
      <c r="E87" s="277"/>
      <c r="F87" s="277"/>
      <c r="G87" s="277"/>
      <c r="H87" s="277"/>
      <c r="I87" s="1"/>
      <c r="J87" s="1"/>
      <c r="K87" s="1"/>
      <c r="L87" s="1"/>
      <c r="M87" s="1"/>
      <c r="N87" s="1"/>
      <c r="O87" s="1"/>
      <c r="P87" s="277"/>
      <c r="Q87" s="277"/>
      <c r="R87" s="277"/>
      <c r="S87" s="277"/>
      <c r="T87" s="1"/>
      <c r="U87" s="1"/>
      <c r="V87" s="1"/>
      <c r="W87" s="277"/>
      <c r="X87" s="277"/>
      <c r="Y87" s="277"/>
      <c r="Z87" s="277"/>
      <c r="AA87" s="277"/>
      <c r="AB87" s="277"/>
      <c r="AD87" s="277"/>
      <c r="AE87" s="277"/>
      <c r="AG87" s="277"/>
      <c r="AH87" s="277"/>
      <c r="AI87" s="277"/>
      <c r="AJ87" s="277"/>
      <c r="AK87" s="277"/>
      <c r="AL87" s="277"/>
      <c r="AM87" s="277"/>
      <c r="AN87" s="277"/>
      <c r="AO87" s="277"/>
      <c r="AP87" s="277"/>
      <c r="AR87" s="277"/>
      <c r="AS87" s="277"/>
      <c r="AT87" s="277"/>
    </row>
    <row r="88" spans="1:50" ht="22.5" customHeight="1">
      <c r="I88" s="1"/>
      <c r="J88" s="1"/>
      <c r="K88" s="1"/>
      <c r="L88" s="1"/>
      <c r="M88" s="1"/>
      <c r="N88" s="1"/>
      <c r="O88" s="1"/>
      <c r="T88" s="1"/>
      <c r="U88" s="1"/>
      <c r="V88" s="1"/>
      <c r="AC88" s="12"/>
      <c r="AF88" s="12"/>
      <c r="AT88" s="12"/>
      <c r="AU88" s="12"/>
      <c r="AV88" s="12"/>
      <c r="AW88" s="12"/>
      <c r="AX88" s="12"/>
    </row>
    <row r="89" spans="1:50" ht="22.5" customHeight="1">
      <c r="I89" s="1"/>
      <c r="J89" s="1"/>
      <c r="K89" s="1"/>
      <c r="L89" s="1"/>
      <c r="M89" s="1"/>
      <c r="N89" s="1"/>
      <c r="O89" s="1"/>
      <c r="T89" s="1"/>
      <c r="U89" s="489"/>
      <c r="V89" s="1"/>
      <c r="AD89" s="12"/>
      <c r="AE89" s="12"/>
      <c r="AR89" s="12"/>
      <c r="AS89" s="12"/>
      <c r="AT89" s="12"/>
    </row>
    <row r="90" spans="1:50" ht="22.5" customHeight="1">
      <c r="I90" s="1"/>
      <c r="J90" s="1"/>
      <c r="K90" s="1"/>
      <c r="N90" s="1"/>
      <c r="O90" s="1"/>
      <c r="T90" s="1"/>
      <c r="U90" s="1"/>
      <c r="AD90" s="12"/>
      <c r="AE90" s="12"/>
      <c r="AS90" s="12"/>
    </row>
    <row r="91" spans="1:50" ht="22.5" customHeight="1">
      <c r="N91" s="1"/>
      <c r="O91" s="1"/>
      <c r="T91" s="1"/>
      <c r="U91" s="1"/>
      <c r="V91" s="1"/>
      <c r="AM91" s="12"/>
      <c r="AN91" s="12"/>
      <c r="AO91" s="12"/>
      <c r="AP91" s="12"/>
    </row>
    <row r="92" spans="1:50" ht="22.5" customHeight="1">
      <c r="N92" s="1"/>
      <c r="O92" s="1"/>
      <c r="T92" s="1"/>
      <c r="U92" s="1"/>
      <c r="V92" s="1"/>
    </row>
    <row r="93" spans="1:50" ht="22.5" customHeight="1">
      <c r="A93" s="12"/>
      <c r="B93" s="12"/>
      <c r="N93" s="1"/>
      <c r="O93" s="1"/>
      <c r="T93" s="1"/>
      <c r="U93" s="1"/>
      <c r="V93" s="1"/>
    </row>
    <row r="94" spans="1:50" s="12" customFormat="1" ht="22.5" customHeight="1">
      <c r="C94" s="277"/>
      <c r="D94" s="277"/>
      <c r="E94" s="277"/>
      <c r="F94" s="277"/>
      <c r="G94" s="277"/>
      <c r="H94" s="277"/>
      <c r="I94" s="277"/>
      <c r="J94" s="277"/>
      <c r="K94" s="277"/>
      <c r="L94" s="277"/>
      <c r="M94" s="277"/>
      <c r="N94" s="1"/>
      <c r="O94" s="1"/>
      <c r="P94" s="277"/>
      <c r="Q94" s="277"/>
      <c r="R94" s="277"/>
      <c r="S94" s="277"/>
      <c r="T94" s="1"/>
      <c r="U94" s="1"/>
      <c r="V94" s="1"/>
      <c r="W94" s="277"/>
      <c r="X94" s="277"/>
      <c r="Y94" s="277"/>
      <c r="Z94" s="277"/>
      <c r="AA94" s="277"/>
      <c r="AB94" s="277"/>
      <c r="AC94" s="277"/>
      <c r="AD94" s="277"/>
      <c r="AE94" s="277"/>
      <c r="AF94" s="277"/>
      <c r="AG94" s="277"/>
      <c r="AH94" s="277"/>
      <c r="AI94" s="277"/>
      <c r="AJ94" s="277"/>
      <c r="AK94" s="277"/>
      <c r="AL94" s="277"/>
      <c r="AM94" s="277"/>
      <c r="AN94" s="277"/>
      <c r="AO94" s="277"/>
      <c r="AP94" s="277"/>
      <c r="AQ94" s="277"/>
      <c r="AR94" s="277"/>
      <c r="AS94" s="277"/>
      <c r="AT94" s="277"/>
      <c r="AU94" s="277"/>
      <c r="AV94" s="277"/>
      <c r="AW94" s="277"/>
      <c r="AX94" s="277"/>
    </row>
    <row r="95" spans="1:50" ht="22.5" customHeight="1">
      <c r="N95" s="1"/>
      <c r="O95" s="1"/>
      <c r="T95" s="1"/>
      <c r="U95" s="1"/>
      <c r="V95" s="1"/>
      <c r="AB95" s="12"/>
      <c r="AF95" s="12"/>
      <c r="AU95" s="12"/>
      <c r="AV95" s="12"/>
      <c r="AW95" s="12"/>
      <c r="AX95" s="12"/>
    </row>
    <row r="96" spans="1:50" ht="21" customHeight="1">
      <c r="N96" s="1"/>
      <c r="O96" s="1"/>
      <c r="T96" s="1"/>
      <c r="U96" s="1"/>
      <c r="V96" s="1"/>
      <c r="AC96" s="12"/>
      <c r="AT96" s="12"/>
    </row>
    <row r="97" spans="1:45" ht="21" customHeight="1">
      <c r="N97" s="1"/>
      <c r="O97" s="1"/>
      <c r="T97" s="1"/>
      <c r="U97" s="1"/>
      <c r="V97" s="1"/>
      <c r="AD97" s="12"/>
      <c r="AE97" s="12"/>
      <c r="AS97" s="12"/>
    </row>
    <row r="98" spans="1:45" ht="22.5" customHeight="1">
      <c r="N98" s="1"/>
      <c r="O98" s="1"/>
      <c r="T98" s="1"/>
      <c r="U98" s="1"/>
      <c r="V98" s="1"/>
    </row>
    <row r="99" spans="1:45" ht="22.5" customHeight="1">
      <c r="N99" s="1"/>
      <c r="O99" s="1"/>
      <c r="T99" s="1"/>
      <c r="U99" s="1"/>
      <c r="V99" s="1"/>
      <c r="Z99" s="12"/>
    </row>
    <row r="100" spans="1:45" ht="22.5" customHeight="1">
      <c r="N100" s="1"/>
      <c r="O100" s="1"/>
      <c r="T100" s="1"/>
      <c r="U100" s="1"/>
      <c r="V100" s="1"/>
      <c r="W100" s="12"/>
      <c r="X100" s="12"/>
      <c r="Y100" s="12"/>
      <c r="Z100" s="12"/>
    </row>
    <row r="101" spans="1:45" ht="22.5" customHeight="1">
      <c r="A101" s="12"/>
      <c r="B101" s="12"/>
      <c r="N101" s="1"/>
      <c r="O101" s="1"/>
      <c r="T101" s="1"/>
      <c r="U101" s="1"/>
      <c r="V101" s="1"/>
      <c r="W101" s="12"/>
      <c r="X101" s="12"/>
      <c r="Y101" s="12"/>
      <c r="AA101" s="12"/>
    </row>
    <row r="102" spans="1:45" ht="23.25" customHeight="1">
      <c r="N102" s="1"/>
      <c r="O102" s="1"/>
      <c r="T102" s="1"/>
      <c r="U102" s="1"/>
      <c r="V102" s="1"/>
      <c r="AA102" s="12"/>
    </row>
    <row r="103" spans="1:45" ht="27.75" customHeight="1">
      <c r="N103" s="1"/>
      <c r="O103" s="1"/>
      <c r="T103" s="1"/>
      <c r="U103" s="1"/>
      <c r="V103" s="1"/>
    </row>
    <row r="104" spans="1:45" ht="21" customHeight="1">
      <c r="N104" s="1"/>
      <c r="O104" s="1"/>
      <c r="T104" s="1"/>
      <c r="U104" s="1"/>
      <c r="V104" s="1"/>
    </row>
    <row r="105" spans="1:45" ht="21" customHeight="1">
      <c r="N105" s="1"/>
      <c r="O105" s="1"/>
      <c r="T105" s="1"/>
      <c r="U105" s="1"/>
      <c r="V105" s="1"/>
    </row>
    <row r="106" spans="1:45" ht="21" customHeight="1">
      <c r="N106" s="1"/>
      <c r="O106" s="1"/>
      <c r="T106" s="1"/>
      <c r="U106" s="1"/>
      <c r="V106" s="1"/>
    </row>
    <row r="107" spans="1:45" ht="21" customHeight="1">
      <c r="N107" s="1"/>
      <c r="O107" s="1"/>
      <c r="T107" s="1"/>
      <c r="U107" s="1"/>
      <c r="V107" s="1"/>
      <c r="Z107" s="12"/>
    </row>
    <row r="108" spans="1:45" ht="21" customHeight="1">
      <c r="N108" s="1"/>
      <c r="O108" s="1"/>
      <c r="T108" s="1"/>
      <c r="U108" s="1"/>
      <c r="V108" s="1"/>
      <c r="W108" s="12"/>
      <c r="X108" s="12"/>
      <c r="Y108" s="12"/>
    </row>
    <row r="109" spans="1:45" ht="21" customHeight="1">
      <c r="N109" s="1"/>
      <c r="O109" s="1"/>
      <c r="T109" s="1"/>
      <c r="U109" s="1"/>
      <c r="V109" s="1"/>
      <c r="AA109" s="12"/>
    </row>
    <row r="110" spans="1:45" ht="21" customHeight="1">
      <c r="O110" s="1"/>
      <c r="T110" s="1"/>
      <c r="U110" s="1"/>
      <c r="V110" s="1"/>
    </row>
    <row r="111" spans="1:45" ht="22.5" customHeight="1">
      <c r="O111" s="1"/>
      <c r="T111" s="1"/>
      <c r="U111" s="1"/>
      <c r="V111" s="1"/>
    </row>
    <row r="112" spans="1:45" ht="22.5" customHeight="1">
      <c r="O112" s="1"/>
      <c r="T112" s="1"/>
      <c r="U112" s="1"/>
      <c r="V112" s="1"/>
    </row>
    <row r="113" spans="15:22" ht="22.5" customHeight="1">
      <c r="O113" s="1"/>
      <c r="T113" s="1"/>
      <c r="U113" s="1"/>
      <c r="V113" s="1"/>
    </row>
    <row r="114" spans="15:22" ht="27.75" customHeight="1">
      <c r="O114" s="1"/>
      <c r="T114" s="1"/>
      <c r="U114" s="1"/>
      <c r="V114" s="1"/>
    </row>
    <row r="115" spans="15:22" ht="21" customHeight="1">
      <c r="O115" s="1"/>
      <c r="T115" s="1"/>
      <c r="U115" s="1"/>
      <c r="V115" s="1"/>
    </row>
    <row r="116" spans="15:22" ht="21" customHeight="1">
      <c r="O116" s="1"/>
      <c r="T116" s="1"/>
      <c r="U116" s="1"/>
      <c r="V116" s="1"/>
    </row>
    <row r="117" spans="15:22" ht="21" customHeight="1">
      <c r="O117" s="1"/>
      <c r="T117" s="1"/>
      <c r="U117" s="1"/>
      <c r="V117" s="1"/>
    </row>
    <row r="118" spans="15:22" ht="21" customHeight="1">
      <c r="O118" s="1"/>
      <c r="T118" s="1"/>
      <c r="U118" s="1"/>
      <c r="V118" s="1"/>
    </row>
    <row r="119" spans="15:22" ht="21" customHeight="1">
      <c r="O119" s="1"/>
      <c r="T119" s="1"/>
      <c r="U119" s="1"/>
      <c r="V119" s="1"/>
    </row>
    <row r="120" spans="15:22" ht="21" customHeight="1">
      <c r="O120" s="1"/>
      <c r="T120" s="1"/>
      <c r="U120" s="1"/>
      <c r="V120" s="1"/>
    </row>
    <row r="121" spans="15:22" ht="21" customHeight="1">
      <c r="O121" s="1"/>
      <c r="T121" s="1"/>
      <c r="U121" s="1"/>
      <c r="V121" s="1"/>
    </row>
    <row r="122" spans="15:22" ht="23.25" customHeight="1">
      <c r="O122" s="1"/>
      <c r="T122" s="1"/>
      <c r="U122" s="1"/>
      <c r="V122" s="1"/>
    </row>
    <row r="123" spans="15:22" ht="22.5" customHeight="1">
      <c r="O123" s="1"/>
      <c r="T123" s="1"/>
      <c r="U123" s="1"/>
      <c r="V123" s="1"/>
    </row>
    <row r="124" spans="15:22" ht="22.5" customHeight="1">
      <c r="O124" s="1"/>
      <c r="T124" s="1"/>
      <c r="U124" s="1"/>
      <c r="V124" s="1"/>
    </row>
    <row r="125" spans="15:22" ht="27" customHeight="1">
      <c r="T125" s="1"/>
      <c r="U125" s="702"/>
      <c r="V125" s="702"/>
    </row>
    <row r="126" spans="15:22" ht="21" customHeight="1">
      <c r="T126" s="1"/>
      <c r="U126" s="702"/>
      <c r="V126" s="702"/>
    </row>
    <row r="127" spans="15:22" ht="21" customHeight="1">
      <c r="U127" s="1"/>
      <c r="V127" s="1"/>
    </row>
    <row r="128" spans="15:22" ht="21" customHeight="1">
      <c r="U128" s="1"/>
      <c r="V128" s="1"/>
    </row>
    <row r="129" spans="21:22" ht="22.5" customHeight="1">
      <c r="U129" s="1"/>
      <c r="V129" s="1"/>
    </row>
    <row r="130" spans="21:22" ht="17.399999999999999">
      <c r="U130" s="1"/>
      <c r="V130" s="1"/>
    </row>
    <row r="131" spans="21:22" ht="17.399999999999999">
      <c r="U131" s="1"/>
      <c r="V131" s="1"/>
    </row>
    <row r="132" spans="21:22" ht="17.399999999999999">
      <c r="U132" s="1"/>
      <c r="V132" s="1"/>
    </row>
    <row r="133" spans="21:22" ht="17.399999999999999">
      <c r="U133" s="1"/>
      <c r="V133" s="1"/>
    </row>
    <row r="134" spans="21:22" ht="17.399999999999999">
      <c r="U134" s="1"/>
      <c r="V134" s="1"/>
    </row>
    <row r="135" spans="21:22" ht="17.399999999999999">
      <c r="U135" s="1"/>
      <c r="V135" s="1"/>
    </row>
    <row r="136" spans="21:22" ht="17.399999999999999">
      <c r="U136" s="1"/>
      <c r="V136" s="1"/>
    </row>
    <row r="137" spans="21:22" ht="17.399999999999999">
      <c r="U137" s="1"/>
      <c r="V137" s="1"/>
    </row>
  </sheetData>
  <sheetProtection algorithmName="SHA-512" hashValue="O0lx3HOyFUr3QXEZwN1nDOSu5SDX9MImlNJKPavPE8LCdX2qDKLduavRYHCnZjXDEn2fELlqqsJfUx5QmPOJFA==" saltValue="5NzCywD/vD4q4bBHogrULg==" spinCount="100000" sheet="1" objects="1" scenarios="1" selectLockedCells="1"/>
  <mergeCells count="110">
    <mergeCell ref="C71:F71"/>
    <mergeCell ref="C69:H70"/>
    <mergeCell ref="E16:H16"/>
    <mergeCell ref="E17:H17"/>
    <mergeCell ref="G57:H58"/>
    <mergeCell ref="C57:F58"/>
    <mergeCell ref="G60:H60"/>
    <mergeCell ref="G59:H59"/>
    <mergeCell ref="C60:F60"/>
    <mergeCell ref="C59:F59"/>
    <mergeCell ref="C54:F54"/>
    <mergeCell ref="G47:H47"/>
    <mergeCell ref="G48:H48"/>
    <mergeCell ref="G49:H49"/>
    <mergeCell ref="G50:H50"/>
    <mergeCell ref="G51:H51"/>
    <mergeCell ref="G52:H52"/>
    <mergeCell ref="G54:H54"/>
    <mergeCell ref="G53:H53"/>
    <mergeCell ref="C42:H42"/>
    <mergeCell ref="G45:H46"/>
    <mergeCell ref="C45:F46"/>
    <mergeCell ref="D28:H28"/>
    <mergeCell ref="C30:H30"/>
    <mergeCell ref="C22:H22"/>
    <mergeCell ref="F35:H35"/>
    <mergeCell ref="F34:H34"/>
    <mergeCell ref="C23:C29"/>
    <mergeCell ref="D24:H24"/>
    <mergeCell ref="D23:H23"/>
    <mergeCell ref="D25:H25"/>
    <mergeCell ref="D26:H26"/>
    <mergeCell ref="D27:H27"/>
    <mergeCell ref="C31:H32"/>
    <mergeCell ref="E13:H13"/>
    <mergeCell ref="E14:H14"/>
    <mergeCell ref="E15:H15"/>
    <mergeCell ref="E19:H19"/>
    <mergeCell ref="E20:H20"/>
    <mergeCell ref="E18:H18"/>
    <mergeCell ref="U125:V126"/>
    <mergeCell ref="G73:H73"/>
    <mergeCell ref="G72:H72"/>
    <mergeCell ref="C62:F62"/>
    <mergeCell ref="G62:H62"/>
    <mergeCell ref="C63:F63"/>
    <mergeCell ref="G63:H63"/>
    <mergeCell ref="C64:F64"/>
    <mergeCell ref="G64:H64"/>
    <mergeCell ref="G66:H66"/>
    <mergeCell ref="C66:F66"/>
    <mergeCell ref="G65:H65"/>
    <mergeCell ref="C65:F65"/>
    <mergeCell ref="G71:H71"/>
    <mergeCell ref="C73:F73"/>
    <mergeCell ref="C72:F72"/>
    <mergeCell ref="C61:F61"/>
    <mergeCell ref="G61:H61"/>
    <mergeCell ref="U65:U66"/>
    <mergeCell ref="V65:V66"/>
    <mergeCell ref="W65:W66"/>
    <mergeCell ref="V61:V62"/>
    <mergeCell ref="Y61:Y62"/>
    <mergeCell ref="W61:W62"/>
    <mergeCell ref="U61:U62"/>
    <mergeCell ref="X61:X62"/>
    <mergeCell ref="AB49:AB50"/>
    <mergeCell ref="U52:V52"/>
    <mergeCell ref="V55:V56"/>
    <mergeCell ref="W55:W56"/>
    <mergeCell ref="X55:X56"/>
    <mergeCell ref="Y55:Y56"/>
    <mergeCell ref="Z55:Z56"/>
    <mergeCell ref="Z49:Z50"/>
    <mergeCell ref="AA55:AA56"/>
    <mergeCell ref="AB55:AB56"/>
    <mergeCell ref="AA49:AA50"/>
    <mergeCell ref="Z40:Z41"/>
    <mergeCell ref="AA40:AA41"/>
    <mergeCell ref="U49:V50"/>
    <mergeCell ref="W49:W50"/>
    <mergeCell ref="X49:X50"/>
    <mergeCell ref="Y49:Y50"/>
    <mergeCell ref="W27:X27"/>
    <mergeCell ref="U40:U41"/>
    <mergeCell ref="V40:V41"/>
    <mergeCell ref="C4:H5"/>
    <mergeCell ref="J1:K1"/>
    <mergeCell ref="I4:I5"/>
    <mergeCell ref="J4:J5"/>
    <mergeCell ref="K4:K5"/>
    <mergeCell ref="I31:I32"/>
    <mergeCell ref="J31:J32"/>
    <mergeCell ref="W40:W41"/>
    <mergeCell ref="X40:X41"/>
    <mergeCell ref="K31:K32"/>
    <mergeCell ref="L31:L32"/>
    <mergeCell ref="M31:M32"/>
    <mergeCell ref="N31:N32"/>
    <mergeCell ref="M4:M5"/>
    <mergeCell ref="N4:N5"/>
    <mergeCell ref="L4:L5"/>
    <mergeCell ref="U8:U9"/>
    <mergeCell ref="V8:W9"/>
    <mergeCell ref="X9:Y9"/>
    <mergeCell ref="X10:Y10"/>
    <mergeCell ref="U14:U15"/>
    <mergeCell ref="V14:W15"/>
    <mergeCell ref="X15:Y15"/>
    <mergeCell ref="Y40:Y41"/>
  </mergeCells>
  <phoneticPr fontId="1"/>
  <conditionalFormatting sqref="AA51:AA53">
    <cfRule type="expression" dxfId="61" priority="2">
      <formula>$AX$1=2022</formula>
    </cfRule>
  </conditionalFormatting>
  <dataValidations count="4">
    <dataValidation imeMode="hiragana" allowBlank="1" showInputMessage="1" showErrorMessage="1" sqref="U67:U70 V57:V58 U35 U38 V55 G71:G72 U42:U46 C59:C65 U30:U32" xr:uid="{62215E1B-BF5F-4EDB-82EA-4F688F125B5E}"/>
    <dataValidation imeMode="halfAlpha" allowBlank="1" showInputMessage="1" showErrorMessage="1" sqref="G73 Y51:Y53 V35:W35 W57:X58 G47:G53 V38 V30:W32 I13:I21 J6:J21 V67:W70 G59:G65 L21:M21 V42:X46 V63:X63 W51:X54" xr:uid="{BC35D2D4-E947-48E7-8DEB-D6A387A5C425}"/>
    <dataValidation type="list" allowBlank="1" showInputMessage="1" showErrorMessage="1" sqref="E13:E17" xr:uid="{B7358329-23E6-4B89-AB8F-7FF3E856B72E}">
      <formula1>INDIRECT($AW$1)</formula1>
    </dataValidation>
    <dataValidation type="list" allowBlank="1" showInputMessage="1" showErrorMessage="1" sqref="D23:D28" xr:uid="{FA09E587-FA86-4B60-A69D-5CA90C11C731}">
      <formula1>INDIRECT($AX$1)</formula1>
    </dataValidation>
  </dataValidations>
  <pageMargins left="0.70866141732283472" right="0.51181102362204722" top="0.55118110236220474" bottom="0.55118110236220474" header="0.31496062992125984" footer="0.31496062992125984"/>
  <pageSetup paperSize="8" scale="49" orientation="portrait" r:id="rId1"/>
  <headerFooter>
    <oddHeader>&amp;L様式第１号</oddHeader>
    <oddFooter>&amp;R&amp;8（一般事業所等用）</oddFooter>
  </headerFooter>
  <rowBreaks count="1" manualBreakCount="1">
    <brk id="92" min="2" max="33" man="1"/>
  </row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 id="{AB2E3DC8-551D-436D-BB5B-A8CB868E0AEC}">
            <xm:f>はじめに!$S$3=TRUE</xm:f>
            <x14:dxf>
              <fill>
                <patternFill>
                  <bgColor theme="9" tint="0.59996337778862885"/>
                </patternFill>
              </fill>
            </x14:dxf>
          </x14:cfRule>
          <xm:sqref>J6:J21 E13:H17 I13:I21 N18:N20 L21:N21 D23:J28 I29:J29 L29:M29 W30:W32 U35:W35 U38:V38 U42:U46 X42:Y46 G47:H53 W51:W53 X53:Y53 V57:Y58 C59:H65 V63:X63 V67:V70 G71:H73</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tabColor rgb="FF00B0F0"/>
  </sheetPr>
  <dimension ref="A1:Q47"/>
  <sheetViews>
    <sheetView showGridLines="0" view="pageBreakPreview" topLeftCell="A2" zoomScaleNormal="100" zoomScaleSheetLayoutView="100" workbookViewId="0">
      <selection activeCell="A2" sqref="A2"/>
    </sheetView>
  </sheetViews>
  <sheetFormatPr defaultColWidth="8.88671875" defaultRowHeight="17.399999999999999"/>
  <cols>
    <col min="1" max="8" width="5.6640625" style="1" customWidth="1"/>
    <col min="9" max="9" width="0.88671875" style="1" customWidth="1"/>
    <col min="10" max="38" width="5.6640625" style="1" customWidth="1"/>
    <col min="39" max="16384" width="8.88671875" style="1"/>
  </cols>
  <sheetData>
    <row r="1" spans="1:17" ht="27.75" hidden="1" customHeight="1"/>
    <row r="2" spans="1:17" ht="20.25" customHeight="1"/>
    <row r="3" spans="1:17" ht="25.5" customHeight="1">
      <c r="B3" s="638" t="s">
        <v>4081</v>
      </c>
      <c r="C3" s="638"/>
      <c r="D3" s="638"/>
      <c r="E3" s="638"/>
      <c r="F3" s="638"/>
      <c r="G3" s="638"/>
      <c r="H3" s="638"/>
      <c r="I3" s="638"/>
      <c r="J3" s="638"/>
      <c r="K3" s="638"/>
      <c r="L3" s="638"/>
      <c r="M3" s="638"/>
      <c r="N3" s="638"/>
      <c r="O3" s="638"/>
      <c r="P3" s="638"/>
    </row>
    <row r="4" spans="1:17" s="12" customFormat="1" ht="16.2"/>
    <row r="5" spans="1:17" s="12" customFormat="1" ht="16.2">
      <c r="L5" s="12" t="str">
        <f>IF(はじめに!E5="","",はじめに!E5)</f>
        <v/>
      </c>
      <c r="M5" s="19" t="s">
        <v>2</v>
      </c>
      <c r="N5" s="12" t="str">
        <f>IF(はじめに!G5="","",はじめに!G5)</f>
        <v/>
      </c>
      <c r="O5" s="19" t="s">
        <v>1</v>
      </c>
      <c r="P5" s="12" t="str">
        <f>IF(はじめに!I5="","",はじめに!I5)</f>
        <v/>
      </c>
      <c r="Q5" s="19" t="s">
        <v>0</v>
      </c>
    </row>
    <row r="6" spans="1:17" s="12" customFormat="1" ht="16.2">
      <c r="A6" s="12" t="s">
        <v>3</v>
      </c>
    </row>
    <row r="7" spans="1:17" s="12" customFormat="1" ht="16.2"/>
    <row r="8" spans="1:17" s="12" customFormat="1" ht="27" customHeight="1">
      <c r="G8" s="794" t="s">
        <v>4</v>
      </c>
      <c r="H8" s="794"/>
      <c r="J8" s="780" t="str">
        <f>IF(はじめに!E7="","",はじめに!E7)</f>
        <v/>
      </c>
      <c r="K8" s="780"/>
      <c r="L8" s="780"/>
      <c r="M8" s="780"/>
      <c r="N8" s="780"/>
      <c r="O8" s="780"/>
      <c r="P8" s="780"/>
    </row>
    <row r="9" spans="1:17" s="12" customFormat="1" ht="27" customHeight="1">
      <c r="G9" s="794" t="s">
        <v>37</v>
      </c>
      <c r="H9" s="794"/>
      <c r="J9" s="780" t="str">
        <f>IF(はじめに!E6="","",はじめに!E6)</f>
        <v/>
      </c>
      <c r="K9" s="780"/>
      <c r="L9" s="780"/>
      <c r="M9" s="780"/>
      <c r="N9" s="780"/>
      <c r="O9" s="780"/>
      <c r="P9" s="780"/>
    </row>
    <row r="10" spans="1:17" s="12" customFormat="1" ht="27" customHeight="1">
      <c r="G10" s="794" t="s">
        <v>38</v>
      </c>
      <c r="H10" s="794"/>
      <c r="J10" s="780" t="str">
        <f>IF(はじめに!E8="","",はじめに!E8)</f>
        <v/>
      </c>
      <c r="K10" s="780"/>
      <c r="L10" s="780"/>
      <c r="M10" s="780"/>
      <c r="N10" s="780"/>
      <c r="O10" s="780"/>
      <c r="P10" s="780"/>
      <c r="Q10" s="525"/>
    </row>
    <row r="11" spans="1:17" s="12" customFormat="1" ht="16.2"/>
    <row r="12" spans="1:17" s="12" customFormat="1" ht="16.350000000000001" customHeight="1">
      <c r="A12" s="779" t="s">
        <v>4175</v>
      </c>
      <c r="B12" s="779"/>
      <c r="C12" s="779"/>
      <c r="D12" s="779"/>
      <c r="E12" s="779"/>
      <c r="F12" s="779"/>
      <c r="G12" s="779"/>
      <c r="H12" s="779"/>
      <c r="I12" s="779"/>
      <c r="J12" s="779"/>
      <c r="K12" s="779"/>
      <c r="L12" s="779"/>
      <c r="M12" s="779"/>
      <c r="N12" s="779"/>
      <c r="O12" s="779"/>
      <c r="P12" s="779"/>
      <c r="Q12" s="779"/>
    </row>
    <row r="13" spans="1:17" s="12" customFormat="1" ht="16.2">
      <c r="A13" s="779"/>
      <c r="B13" s="779"/>
      <c r="C13" s="779"/>
      <c r="D13" s="779"/>
      <c r="E13" s="779"/>
      <c r="F13" s="779"/>
      <c r="G13" s="779"/>
      <c r="H13" s="779"/>
      <c r="I13" s="779"/>
      <c r="J13" s="779"/>
      <c r="K13" s="779"/>
      <c r="L13" s="779"/>
      <c r="M13" s="779"/>
      <c r="N13" s="779"/>
      <c r="O13" s="779"/>
      <c r="P13" s="779"/>
      <c r="Q13" s="779"/>
    </row>
    <row r="14" spans="1:17" s="12" customFormat="1" ht="16.2"/>
    <row r="15" spans="1:17" s="12" customFormat="1" ht="27" customHeight="1">
      <c r="A15" s="781" t="s">
        <v>5</v>
      </c>
      <c r="B15" s="782"/>
      <c r="C15" s="783"/>
      <c r="D15" s="640" t="str">
        <f>IF(J9="","",J9)</f>
        <v/>
      </c>
      <c r="E15" s="640"/>
      <c r="F15" s="640"/>
      <c r="G15" s="640"/>
      <c r="H15" s="640"/>
      <c r="I15" s="640"/>
      <c r="J15" s="640"/>
      <c r="K15" s="640"/>
      <c r="L15" s="640"/>
      <c r="M15" s="640"/>
      <c r="N15" s="640"/>
      <c r="O15" s="640"/>
      <c r="P15" s="640"/>
      <c r="Q15" s="640"/>
    </row>
    <row r="16" spans="1:17" s="12" customFormat="1" ht="27" customHeight="1">
      <c r="A16" s="781" t="s">
        <v>6</v>
      </c>
      <c r="B16" s="782"/>
      <c r="C16" s="783"/>
      <c r="D16" s="640" t="str">
        <f>IF(はじめに!E14="","",はじめに!E14)</f>
        <v/>
      </c>
      <c r="E16" s="640"/>
      <c r="F16" s="640"/>
      <c r="G16" s="640"/>
      <c r="H16" s="640"/>
      <c r="I16" s="640"/>
      <c r="J16" s="640"/>
      <c r="K16" s="640"/>
      <c r="L16" s="640"/>
      <c r="M16" s="640"/>
      <c r="N16" s="640"/>
      <c r="O16" s="640"/>
      <c r="P16" s="640"/>
      <c r="Q16" s="640"/>
    </row>
    <row r="17" spans="1:17" s="12" customFormat="1" ht="27" customHeight="1">
      <c r="A17" s="781" t="s">
        <v>7</v>
      </c>
      <c r="B17" s="782"/>
      <c r="C17" s="783"/>
      <c r="D17" s="640" t="str">
        <f>IF(はじめに!E16="","",はじめに!E16)</f>
        <v/>
      </c>
      <c r="E17" s="640"/>
      <c r="F17" s="640"/>
      <c r="G17" s="640"/>
      <c r="H17" s="640"/>
      <c r="I17" s="640"/>
      <c r="J17" s="640"/>
      <c r="K17" s="640"/>
      <c r="L17" s="640"/>
      <c r="M17" s="640"/>
      <c r="N17" s="640"/>
      <c r="O17" s="640"/>
      <c r="P17" s="640"/>
      <c r="Q17" s="640"/>
    </row>
    <row r="18" spans="1:17" s="12" customFormat="1" ht="18.75" customHeight="1">
      <c r="A18" s="527"/>
      <c r="B18" s="527"/>
      <c r="C18" s="527"/>
      <c r="D18" s="526"/>
      <c r="E18" s="526"/>
      <c r="F18" s="526"/>
      <c r="G18" s="526"/>
      <c r="H18" s="526"/>
      <c r="I18" s="526"/>
      <c r="J18" s="526"/>
      <c r="K18" s="526"/>
      <c r="L18" s="526"/>
      <c r="M18" s="526"/>
      <c r="N18" s="526"/>
      <c r="O18" s="526"/>
      <c r="P18" s="526"/>
    </row>
    <row r="19" spans="1:17" s="12" customFormat="1" ht="33" customHeight="1">
      <c r="A19" s="621" t="s">
        <v>3097</v>
      </c>
      <c r="B19" s="622"/>
      <c r="C19" s="623"/>
      <c r="D19" s="15" t="str">
        <f>IF(はじめに!S10=TRUE,"〇","")</f>
        <v/>
      </c>
      <c r="E19" s="640" t="s">
        <v>4048</v>
      </c>
      <c r="F19" s="640"/>
      <c r="G19" s="640"/>
      <c r="H19" s="640"/>
      <c r="I19" s="640"/>
      <c r="J19" s="640"/>
      <c r="K19" s="640"/>
      <c r="L19" s="640"/>
      <c r="M19" s="640"/>
      <c r="N19" s="640"/>
      <c r="O19" s="640"/>
      <c r="P19" s="640"/>
      <c r="Q19" s="640"/>
    </row>
    <row r="20" spans="1:17" s="12" customFormat="1" ht="33" customHeight="1">
      <c r="A20" s="784"/>
      <c r="B20" s="785"/>
      <c r="C20" s="786"/>
      <c r="D20" s="15" t="str">
        <f>IF(はじめに!S11=TRUE,"〇","")</f>
        <v/>
      </c>
      <c r="E20" s="640" t="s">
        <v>4955</v>
      </c>
      <c r="F20" s="640"/>
      <c r="G20" s="640"/>
      <c r="H20" s="640"/>
      <c r="I20" s="640"/>
      <c r="J20" s="640"/>
      <c r="K20" s="640"/>
      <c r="L20" s="640"/>
      <c r="M20" s="640"/>
      <c r="N20" s="640"/>
      <c r="O20" s="640"/>
      <c r="P20" s="640"/>
      <c r="Q20" s="640"/>
    </row>
    <row r="21" spans="1:17" s="12" customFormat="1" ht="33" customHeight="1">
      <c r="A21" s="784"/>
      <c r="B21" s="785"/>
      <c r="C21" s="786"/>
      <c r="D21" s="15" t="str">
        <f>IF(はじめに!S12=TRUE,"〇","")</f>
        <v/>
      </c>
      <c r="E21" s="640" t="s">
        <v>4049</v>
      </c>
      <c r="F21" s="640"/>
      <c r="G21" s="640"/>
      <c r="H21" s="640"/>
      <c r="I21" s="640"/>
      <c r="J21" s="640"/>
      <c r="K21" s="640"/>
      <c r="L21" s="640"/>
      <c r="M21" s="640"/>
      <c r="N21" s="640"/>
      <c r="O21" s="640"/>
      <c r="P21" s="640"/>
      <c r="Q21" s="640"/>
    </row>
    <row r="22" spans="1:17" s="12" customFormat="1" ht="33" customHeight="1">
      <c r="A22" s="624"/>
      <c r="B22" s="625"/>
      <c r="C22" s="626"/>
      <c r="D22" s="15" t="str">
        <f>IF(はじめに!S13=TRUE,"〇","")</f>
        <v>〇</v>
      </c>
      <c r="E22" s="640" t="s">
        <v>4050</v>
      </c>
      <c r="F22" s="640"/>
      <c r="G22" s="640"/>
      <c r="H22" s="640"/>
      <c r="I22" s="640"/>
      <c r="J22" s="640"/>
      <c r="K22" s="640"/>
      <c r="L22" s="640"/>
      <c r="M22" s="640"/>
      <c r="N22" s="640"/>
      <c r="O22" s="640"/>
      <c r="P22" s="640"/>
      <c r="Q22" s="640"/>
    </row>
    <row r="23" spans="1:17" s="12" customFormat="1" ht="18.75" customHeight="1"/>
    <row r="24" spans="1:17" s="12" customFormat="1" ht="27" customHeight="1">
      <c r="A24" s="799" t="s">
        <v>8</v>
      </c>
      <c r="B24" s="800"/>
      <c r="C24" s="801"/>
      <c r="D24" s="790" t="s">
        <v>12</v>
      </c>
      <c r="E24" s="791"/>
      <c r="F24" s="789" t="s">
        <v>13</v>
      </c>
      <c r="G24" s="618"/>
      <c r="H24" s="640" t="str">
        <f>IF(はじめに!E21="","",はじめに!E21)</f>
        <v/>
      </c>
      <c r="I24" s="640"/>
      <c r="J24" s="640"/>
      <c r="K24" s="640"/>
      <c r="L24" s="640"/>
      <c r="M24" s="640"/>
      <c r="N24" s="640"/>
      <c r="O24" s="640"/>
      <c r="P24" s="640"/>
      <c r="Q24" s="640"/>
    </row>
    <row r="25" spans="1:17" s="12" customFormat="1" ht="27" customHeight="1">
      <c r="A25" s="802"/>
      <c r="B25" s="803"/>
      <c r="C25" s="804"/>
      <c r="D25" s="792"/>
      <c r="E25" s="793"/>
      <c r="F25" s="789" t="s">
        <v>14</v>
      </c>
      <c r="G25" s="618"/>
      <c r="H25" s="640" t="str">
        <f>IF(はじめに!E24="","",はじめに!E24)</f>
        <v/>
      </c>
      <c r="I25" s="640"/>
      <c r="J25" s="640"/>
      <c r="K25" s="640"/>
      <c r="L25" s="640"/>
      <c r="M25" s="640"/>
      <c r="N25" s="640"/>
      <c r="O25" s="640"/>
      <c r="P25" s="640"/>
      <c r="Q25" s="640"/>
    </row>
    <row r="26" spans="1:17" s="12" customFormat="1" ht="27" customHeight="1">
      <c r="A26" s="802"/>
      <c r="B26" s="803"/>
      <c r="C26" s="804"/>
      <c r="D26" s="789" t="s">
        <v>3106</v>
      </c>
      <c r="E26" s="617"/>
      <c r="F26" s="617"/>
      <c r="G26" s="618"/>
      <c r="H26" s="640" t="str">
        <f>IF(はじめに!F22="","",はじめに!F22 &amp; "-")  &amp; IF(はじめに!H22="","",はじめに!H22)</f>
        <v/>
      </c>
      <c r="I26" s="640"/>
      <c r="J26" s="640"/>
      <c r="K26" s="640"/>
      <c r="L26" s="640"/>
      <c r="M26" s="640"/>
      <c r="N26" s="640"/>
      <c r="O26" s="640"/>
      <c r="P26" s="640"/>
      <c r="Q26" s="640"/>
    </row>
    <row r="27" spans="1:17" s="12" customFormat="1" ht="27" customHeight="1">
      <c r="A27" s="802"/>
      <c r="B27" s="803"/>
      <c r="C27" s="804"/>
      <c r="D27" s="789" t="s">
        <v>4041</v>
      </c>
      <c r="E27" s="617"/>
      <c r="F27" s="617"/>
      <c r="G27" s="618"/>
      <c r="H27" s="640" t="str">
        <f>IF(はじめに!E23="","",はじめに!E23)</f>
        <v/>
      </c>
      <c r="I27" s="640"/>
      <c r="J27" s="640"/>
      <c r="K27" s="640"/>
      <c r="L27" s="640"/>
      <c r="M27" s="640"/>
      <c r="N27" s="640"/>
      <c r="O27" s="640"/>
      <c r="P27" s="640"/>
      <c r="Q27" s="640"/>
    </row>
    <row r="28" spans="1:17" s="12" customFormat="1" ht="27" customHeight="1">
      <c r="A28" s="802"/>
      <c r="B28" s="803"/>
      <c r="C28" s="804"/>
      <c r="D28" s="789" t="s">
        <v>9</v>
      </c>
      <c r="E28" s="617"/>
      <c r="F28" s="617"/>
      <c r="G28" s="618"/>
      <c r="H28" s="640" t="str">
        <f>IF(はじめに!E25="","",はじめに!E25)</f>
        <v/>
      </c>
      <c r="I28" s="640"/>
      <c r="J28" s="640"/>
      <c r="K28" s="640"/>
      <c r="L28" s="640"/>
      <c r="M28" s="640"/>
      <c r="N28" s="640"/>
      <c r="O28" s="640"/>
      <c r="P28" s="640"/>
      <c r="Q28" s="640"/>
    </row>
    <row r="29" spans="1:17" s="12" customFormat="1" ht="27" customHeight="1">
      <c r="A29" s="802"/>
      <c r="B29" s="803"/>
      <c r="C29" s="804"/>
      <c r="D29" s="789" t="s">
        <v>10</v>
      </c>
      <c r="E29" s="617"/>
      <c r="F29" s="617"/>
      <c r="G29" s="618"/>
      <c r="H29" s="640" t="str">
        <f>IF(はじめに!E26="","",はじめに!E26)</f>
        <v/>
      </c>
      <c r="I29" s="640"/>
      <c r="J29" s="640"/>
      <c r="K29" s="640"/>
      <c r="L29" s="640"/>
      <c r="M29" s="640"/>
      <c r="N29" s="640"/>
      <c r="O29" s="640"/>
      <c r="P29" s="640"/>
      <c r="Q29" s="640"/>
    </row>
    <row r="30" spans="1:17" s="12" customFormat="1" ht="27" customHeight="1">
      <c r="A30" s="805"/>
      <c r="B30" s="806"/>
      <c r="C30" s="807"/>
      <c r="D30" s="789" t="s">
        <v>11</v>
      </c>
      <c r="E30" s="617"/>
      <c r="F30" s="617"/>
      <c r="G30" s="618"/>
      <c r="H30" s="640" t="str">
        <f>IF(はじめに!E27="","",はじめに!E27)</f>
        <v/>
      </c>
      <c r="I30" s="640"/>
      <c r="J30" s="640"/>
      <c r="K30" s="640"/>
      <c r="L30" s="640"/>
      <c r="M30" s="640"/>
      <c r="N30" s="640"/>
      <c r="O30" s="640"/>
      <c r="P30" s="640"/>
      <c r="Q30" s="640"/>
    </row>
    <row r="31" spans="1:17" s="12" customFormat="1" ht="16.2"/>
    <row r="32" spans="1:17" s="12" customFormat="1" ht="16.2"/>
    <row r="33" spans="1:17" s="12" customFormat="1" ht="55.5" customHeight="1">
      <c r="A33" s="795" t="s">
        <v>15</v>
      </c>
      <c r="B33" s="790"/>
      <c r="C33" s="797"/>
      <c r="D33" s="797"/>
      <c r="E33" s="791"/>
      <c r="F33" s="787" t="s">
        <v>16</v>
      </c>
      <c r="G33" s="788"/>
      <c r="H33" s="808"/>
      <c r="I33" s="808"/>
      <c r="J33" s="808"/>
      <c r="K33" s="808"/>
      <c r="L33" s="808"/>
      <c r="M33" s="808"/>
      <c r="N33" s="808"/>
      <c r="O33" s="808"/>
      <c r="P33" s="808"/>
      <c r="Q33" s="808"/>
    </row>
    <row r="34" spans="1:17" s="12" customFormat="1" ht="55.5" customHeight="1">
      <c r="A34" s="796"/>
      <c r="B34" s="792"/>
      <c r="C34" s="798"/>
      <c r="D34" s="798"/>
      <c r="E34" s="793"/>
      <c r="F34" s="789" t="s">
        <v>17</v>
      </c>
      <c r="G34" s="618"/>
      <c r="H34" s="809"/>
      <c r="I34" s="809"/>
      <c r="J34" s="809"/>
      <c r="K34" s="809"/>
      <c r="L34" s="809"/>
      <c r="M34" s="809"/>
      <c r="N34" s="809"/>
      <c r="O34" s="809"/>
      <c r="P34" s="809"/>
      <c r="Q34" s="809"/>
    </row>
    <row r="35" spans="1:17" s="12" customFormat="1" ht="16.2"/>
    <row r="36" spans="1:17" s="12" customFormat="1" ht="16.2"/>
    <row r="37" spans="1:17" s="12" customFormat="1" ht="16.2"/>
    <row r="38" spans="1:17" s="12" customFormat="1" ht="16.2"/>
    <row r="39" spans="1:17" s="12" customFormat="1" ht="16.2"/>
    <row r="40" spans="1:17" s="12" customFormat="1" ht="16.2"/>
    <row r="41" spans="1:17" s="12" customFormat="1" ht="16.2"/>
    <row r="42" spans="1:17" s="12" customFormat="1" ht="16.2"/>
    <row r="43" spans="1:17" s="12" customFormat="1" ht="16.2"/>
    <row r="44" spans="1:17" s="12" customFormat="1" ht="16.2"/>
    <row r="45" spans="1:17" s="12" customFormat="1" ht="16.2"/>
    <row r="46" spans="1:17" s="12" customFormat="1" ht="16.2"/>
    <row r="47" spans="1:17" s="12" customFormat="1" ht="16.2"/>
  </sheetData>
  <sheetProtection algorithmName="SHA-512" hashValue="OePd9mEKqLHVGugLxU+/fInGz1WOJTEB/1WWP/DUFCjolmuSVuHsG/OOS3STso8E3vLq9JQtF8Qrye7NVpxlbg==" saltValue="7ZrLgtRgwyi5vAS6BS8hGQ==" spinCount="100000" sheet="1" objects="1" scenarios="1" selectLockedCells="1"/>
  <mergeCells count="41">
    <mergeCell ref="B33:E34"/>
    <mergeCell ref="A24:C30"/>
    <mergeCell ref="F34:G34"/>
    <mergeCell ref="D26:G26"/>
    <mergeCell ref="H33:Q33"/>
    <mergeCell ref="H34:Q34"/>
    <mergeCell ref="H30:Q30"/>
    <mergeCell ref="H24:Q24"/>
    <mergeCell ref="H25:Q25"/>
    <mergeCell ref="H26:Q26"/>
    <mergeCell ref="H27:Q27"/>
    <mergeCell ref="B3:P3"/>
    <mergeCell ref="H28:Q28"/>
    <mergeCell ref="H29:Q29"/>
    <mergeCell ref="F33:G33"/>
    <mergeCell ref="D30:G30"/>
    <mergeCell ref="F25:G25"/>
    <mergeCell ref="D24:E25"/>
    <mergeCell ref="D28:G28"/>
    <mergeCell ref="D29:G29"/>
    <mergeCell ref="D27:G27"/>
    <mergeCell ref="F24:G24"/>
    <mergeCell ref="A15:C15"/>
    <mergeCell ref="G10:H10"/>
    <mergeCell ref="G8:H8"/>
    <mergeCell ref="G9:H9"/>
    <mergeCell ref="A33:A34"/>
    <mergeCell ref="E21:Q21"/>
    <mergeCell ref="A12:Q13"/>
    <mergeCell ref="D15:Q15"/>
    <mergeCell ref="D16:Q16"/>
    <mergeCell ref="J8:P8"/>
    <mergeCell ref="J9:P9"/>
    <mergeCell ref="J10:P10"/>
    <mergeCell ref="A16:C16"/>
    <mergeCell ref="A17:C17"/>
    <mergeCell ref="D17:Q17"/>
    <mergeCell ref="E19:Q19"/>
    <mergeCell ref="E20:Q20"/>
    <mergeCell ref="A19:C22"/>
    <mergeCell ref="E22:Q22"/>
  </mergeCells>
  <phoneticPr fontId="1"/>
  <printOptions horizontalCentered="1" verticalCentered="1"/>
  <pageMargins left="0.70866141732283472" right="0.51181102362204722" top="0.55118110236220474" bottom="0.55118110236220474" header="0.31496062992125984" footer="0.31496062992125984"/>
  <pageSetup paperSize="9" scale="97" orientation="portrait" r:id="rId1"/>
  <headerFooter>
    <oddHeader>&amp;L様式第３号</oddHeader>
    <oddFooter>&amp;R&amp;8（一般事業所等用）</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1">
    <tabColor rgb="FF00B0F0"/>
  </sheetPr>
  <dimension ref="A1:V40"/>
  <sheetViews>
    <sheetView showGridLines="0" view="pageBreakPreview" topLeftCell="A2" zoomScaleNormal="100" zoomScaleSheetLayoutView="100" workbookViewId="0">
      <selection activeCell="A2" sqref="A2"/>
    </sheetView>
  </sheetViews>
  <sheetFormatPr defaultColWidth="8.88671875" defaultRowHeight="17.399999999999999"/>
  <cols>
    <col min="1" max="4" width="4.6640625" style="1" customWidth="1"/>
    <col min="5" max="12" width="5.6640625" style="1" customWidth="1"/>
    <col min="13" max="13" width="6.33203125" style="1" bestFit="1" customWidth="1"/>
    <col min="14" max="15" width="7.44140625" style="1" customWidth="1"/>
    <col min="16" max="16" width="6" style="1" customWidth="1"/>
    <col min="17" max="17" width="4.88671875" style="1" customWidth="1"/>
    <col min="18" max="18" width="5" style="1" customWidth="1"/>
    <col min="19" max="38" width="5.6640625" style="1" customWidth="1"/>
    <col min="39" max="16384" width="8.88671875" style="1"/>
  </cols>
  <sheetData>
    <row r="1" spans="1:17" ht="31.5" hidden="1" customHeight="1"/>
    <row r="2" spans="1:17" ht="33" customHeight="1"/>
    <row r="3" spans="1:17" ht="25.5" customHeight="1">
      <c r="B3" s="638" t="s">
        <v>5165</v>
      </c>
      <c r="C3" s="638"/>
      <c r="D3" s="638"/>
      <c r="E3" s="638"/>
      <c r="F3" s="638"/>
      <c r="G3" s="638"/>
      <c r="H3" s="638"/>
      <c r="I3" s="638"/>
      <c r="J3" s="638"/>
      <c r="K3" s="638"/>
      <c r="L3" s="638"/>
      <c r="M3" s="638"/>
      <c r="N3" s="638"/>
      <c r="O3" s="638"/>
      <c r="P3" s="638"/>
    </row>
    <row r="4" spans="1:17" s="12" customFormat="1" ht="16.2"/>
    <row r="5" spans="1:17" s="12" customFormat="1" ht="17.25" customHeight="1">
      <c r="A5" s="61" t="s">
        <v>75</v>
      </c>
    </row>
    <row r="6" spans="1:17" s="12" customFormat="1" ht="19.5" customHeight="1">
      <c r="A6" s="822" t="s">
        <v>5</v>
      </c>
      <c r="B6" s="822"/>
      <c r="C6" s="822"/>
      <c r="D6" s="822"/>
      <c r="E6" s="640" t="str">
        <f>IF(計画書提出書!D15="","",計画書提出書!D15)</f>
        <v/>
      </c>
      <c r="F6" s="640"/>
      <c r="G6" s="640"/>
      <c r="H6" s="640"/>
      <c r="I6" s="640"/>
      <c r="J6" s="640"/>
      <c r="K6" s="640"/>
      <c r="L6" s="640"/>
      <c r="M6" s="640"/>
      <c r="N6" s="640"/>
      <c r="O6" s="640"/>
      <c r="P6" s="640"/>
      <c r="Q6" s="640"/>
    </row>
    <row r="7" spans="1:17" s="12" customFormat="1" ht="19.5" customHeight="1">
      <c r="A7" s="822" t="s">
        <v>6</v>
      </c>
      <c r="B7" s="822"/>
      <c r="C7" s="822"/>
      <c r="D7" s="822"/>
      <c r="E7" s="640" t="str">
        <f>IF(計画書提出書!D16="","",計画書提出書!D16)</f>
        <v/>
      </c>
      <c r="F7" s="640"/>
      <c r="G7" s="640"/>
      <c r="H7" s="640"/>
      <c r="I7" s="640"/>
      <c r="J7" s="640"/>
      <c r="K7" s="640"/>
      <c r="L7" s="640"/>
      <c r="M7" s="640"/>
      <c r="N7" s="640"/>
      <c r="O7" s="640"/>
      <c r="P7" s="640"/>
      <c r="Q7" s="640"/>
    </row>
    <row r="8" spans="1:17" s="12" customFormat="1" ht="19.5" customHeight="1">
      <c r="A8" s="822" t="s">
        <v>7</v>
      </c>
      <c r="B8" s="822"/>
      <c r="C8" s="822"/>
      <c r="D8" s="822"/>
      <c r="E8" s="640" t="str">
        <f>IF(計画書提出書!D17="","",計画書提出書!D17)</f>
        <v/>
      </c>
      <c r="F8" s="640"/>
      <c r="G8" s="640"/>
      <c r="H8" s="640"/>
      <c r="I8" s="640"/>
      <c r="J8" s="640"/>
      <c r="K8" s="640"/>
      <c r="L8" s="640"/>
      <c r="M8" s="640"/>
      <c r="N8" s="640"/>
      <c r="O8" s="640"/>
      <c r="P8" s="640"/>
      <c r="Q8" s="640"/>
    </row>
    <row r="9" spans="1:17" s="12" customFormat="1" ht="19.5" customHeight="1">
      <c r="A9" s="834" t="s">
        <v>149</v>
      </c>
      <c r="B9" s="835"/>
      <c r="C9" s="835"/>
      <c r="D9" s="836"/>
      <c r="E9" s="810" t="str">
        <f>IF(はじめに!S17="","",はじめに!S17)</f>
        <v/>
      </c>
      <c r="F9" s="810"/>
      <c r="G9" s="810"/>
      <c r="H9" s="810"/>
      <c r="I9" s="810"/>
      <c r="J9" s="810"/>
      <c r="K9" s="810"/>
      <c r="L9" s="810"/>
      <c r="M9" s="810"/>
      <c r="N9" s="810"/>
      <c r="O9" s="810"/>
      <c r="P9" s="810"/>
      <c r="Q9" s="810"/>
    </row>
    <row r="10" spans="1:17" s="12" customFormat="1" ht="19.5" customHeight="1">
      <c r="A10" s="823" t="s">
        <v>4064</v>
      </c>
      <c r="B10" s="824"/>
      <c r="C10" s="824"/>
      <c r="D10" s="825"/>
      <c r="E10" s="22" t="str">
        <f>IF(計画書提出書!D19="","",計画書提出書!D19)</f>
        <v/>
      </c>
      <c r="F10" s="811" t="s">
        <v>4062</v>
      </c>
      <c r="G10" s="812"/>
      <c r="H10" s="812"/>
      <c r="I10" s="812"/>
      <c r="J10" s="812"/>
      <c r="K10" s="812"/>
      <c r="L10" s="812"/>
      <c r="M10" s="812"/>
      <c r="N10" s="812"/>
      <c r="O10" s="812"/>
      <c r="P10" s="812"/>
      <c r="Q10" s="813"/>
    </row>
    <row r="11" spans="1:17" s="12" customFormat="1" ht="19.5" customHeight="1">
      <c r="A11" s="826"/>
      <c r="B11" s="827"/>
      <c r="C11" s="827"/>
      <c r="D11" s="828"/>
      <c r="E11" s="22" t="str">
        <f>IF(計画書提出書!D20="","",計画書提出書!D20)</f>
        <v/>
      </c>
      <c r="F11" s="811" t="s">
        <v>4065</v>
      </c>
      <c r="G11" s="812"/>
      <c r="H11" s="812"/>
      <c r="I11" s="812"/>
      <c r="J11" s="812"/>
      <c r="K11" s="812"/>
      <c r="L11" s="812"/>
      <c r="M11" s="812"/>
      <c r="N11" s="812"/>
      <c r="O11" s="812"/>
      <c r="P11" s="812"/>
      <c r="Q11" s="813"/>
    </row>
    <row r="12" spans="1:17" s="12" customFormat="1" ht="19.5" customHeight="1">
      <c r="A12" s="826"/>
      <c r="B12" s="827"/>
      <c r="C12" s="827"/>
      <c r="D12" s="828"/>
      <c r="E12" s="22" t="str">
        <f>IF(計画書提出書!D21="","",計画書提出書!D21)</f>
        <v/>
      </c>
      <c r="F12" s="811" t="s">
        <v>4066</v>
      </c>
      <c r="G12" s="812"/>
      <c r="H12" s="812"/>
      <c r="I12" s="812"/>
      <c r="J12" s="812"/>
      <c r="K12" s="812"/>
      <c r="L12" s="812"/>
      <c r="M12" s="812"/>
      <c r="N12" s="812"/>
      <c r="O12" s="812"/>
      <c r="P12" s="812"/>
      <c r="Q12" s="813"/>
    </row>
    <row r="13" spans="1:17" s="12" customFormat="1" ht="19.5" customHeight="1">
      <c r="A13" s="829"/>
      <c r="B13" s="830"/>
      <c r="C13" s="830"/>
      <c r="D13" s="831"/>
      <c r="E13" s="22" t="str">
        <f>IF(計画書提出書!D22="","",計画書提出書!D22)</f>
        <v>〇</v>
      </c>
      <c r="F13" s="811" t="s">
        <v>4063</v>
      </c>
      <c r="G13" s="812"/>
      <c r="H13" s="812"/>
      <c r="I13" s="812"/>
      <c r="J13" s="812"/>
      <c r="K13" s="812"/>
      <c r="L13" s="812"/>
      <c r="M13" s="812"/>
      <c r="N13" s="812"/>
      <c r="O13" s="812"/>
      <c r="P13" s="812"/>
      <c r="Q13" s="813"/>
    </row>
    <row r="14" spans="1:17" s="12" customFormat="1" ht="8.25" customHeight="1">
      <c r="A14" s="74"/>
      <c r="B14" s="74"/>
      <c r="C14" s="74"/>
      <c r="D14" s="74"/>
      <c r="E14" s="75"/>
      <c r="F14" s="75"/>
      <c r="G14" s="75"/>
      <c r="H14" s="75"/>
      <c r="I14" s="75"/>
      <c r="J14" s="75"/>
      <c r="K14" s="75"/>
      <c r="L14" s="75"/>
      <c r="M14" s="75"/>
      <c r="N14" s="75"/>
      <c r="O14" s="75"/>
      <c r="P14" s="75"/>
    </row>
    <row r="15" spans="1:17" s="12" customFormat="1" ht="17.25" customHeight="1">
      <c r="A15" s="61" t="s">
        <v>3090</v>
      </c>
    </row>
    <row r="16" spans="1:17" s="12" customFormat="1" ht="19.5" customHeight="1">
      <c r="A16" s="837" t="s">
        <v>4044</v>
      </c>
      <c r="B16" s="838"/>
      <c r="C16" s="838"/>
      <c r="D16" s="839"/>
      <c r="E16" s="851" t="s">
        <v>77</v>
      </c>
      <c r="F16" s="853"/>
      <c r="G16" s="76" t="str">
        <f>IF(はじめに!E4="","",はじめに!E4)</f>
        <v/>
      </c>
      <c r="H16" s="77" t="s">
        <v>85</v>
      </c>
      <c r="I16" s="820" t="s">
        <v>4045</v>
      </c>
      <c r="J16" s="821"/>
      <c r="K16" s="832" t="str">
        <f>IF('計画書①（事業所概要・目標）'!H24="","",'計画書①（事業所概要・目標）'!H24)</f>
        <v/>
      </c>
      <c r="L16" s="833"/>
      <c r="M16" s="78" t="s">
        <v>4956</v>
      </c>
      <c r="N16" s="820" t="s">
        <v>4047</v>
      </c>
      <c r="O16" s="821"/>
      <c r="P16" s="818" t="str">
        <f>IF('計画書①（事業所概要・目標）'!M24="","",'計画書①（事業所概要・目標）'!M24)</f>
        <v/>
      </c>
      <c r="Q16" s="819"/>
    </row>
    <row r="17" spans="1:22" s="12" customFormat="1" ht="38.1" customHeight="1">
      <c r="A17" s="840"/>
      <c r="B17" s="841"/>
      <c r="C17" s="841"/>
      <c r="D17" s="842"/>
      <c r="E17" s="860" t="s">
        <v>150</v>
      </c>
      <c r="F17" s="861"/>
      <c r="G17" s="866">
        <f>IF(はじめに!H3="","",はじめに!H3)</f>
        <v>2025</v>
      </c>
      <c r="H17" s="846" t="s">
        <v>85</v>
      </c>
      <c r="I17" s="820" t="s">
        <v>4046</v>
      </c>
      <c r="J17" s="821"/>
      <c r="K17" s="832" t="str">
        <f>IF('計画書①（事業所概要・目標）'!H25="","",'計画書①（事業所概要・目標）'!H25)</f>
        <v/>
      </c>
      <c r="L17" s="833"/>
      <c r="M17" s="78" t="s">
        <v>4956</v>
      </c>
      <c r="N17" s="820" t="s">
        <v>156</v>
      </c>
      <c r="O17" s="821"/>
      <c r="P17" s="818" t="str">
        <f>IF('計画書①（事業所概要・目標）'!M25="","",'計画書①（事業所概要・目標）'!M25)</f>
        <v/>
      </c>
      <c r="Q17" s="819"/>
    </row>
    <row r="18" spans="1:22" s="12" customFormat="1" ht="38.1" customHeight="1">
      <c r="A18" s="840"/>
      <c r="B18" s="841"/>
      <c r="C18" s="841"/>
      <c r="D18" s="842"/>
      <c r="E18" s="862"/>
      <c r="F18" s="863"/>
      <c r="G18" s="867"/>
      <c r="H18" s="847"/>
      <c r="I18" s="851" t="s">
        <v>4043</v>
      </c>
      <c r="J18" s="854"/>
      <c r="K18" s="816" t="str">
        <f>IF('計画書①（事業所概要・目標）'!H26="","",'計画書①（事業所概要・目標）'!H26)</f>
        <v/>
      </c>
      <c r="L18" s="817"/>
      <c r="M18" s="73" t="s">
        <v>151</v>
      </c>
      <c r="N18" s="851" t="s">
        <v>4043</v>
      </c>
      <c r="O18" s="854"/>
      <c r="P18" s="80" t="str">
        <f>IF('計画書①（事業所概要・目標）'!M26="","",'計画書①（事業所概要・目標）'!M26)</f>
        <v/>
      </c>
      <c r="Q18" s="79" t="s">
        <v>151</v>
      </c>
    </row>
    <row r="19" spans="1:22" s="12" customFormat="1" ht="36.6" customHeight="1">
      <c r="A19" s="840"/>
      <c r="B19" s="841"/>
      <c r="C19" s="841"/>
      <c r="D19" s="842"/>
      <c r="E19" s="864"/>
      <c r="F19" s="865"/>
      <c r="G19" s="868"/>
      <c r="H19" s="848"/>
      <c r="I19" s="849" t="s">
        <v>5163</v>
      </c>
      <c r="J19" s="850"/>
      <c r="K19" s="858" t="str">
        <f>IF('計画書①（事業所概要・目標）'!H27="","",'計画書①（事業所概要・目標）'!H27)</f>
        <v/>
      </c>
      <c r="L19" s="859"/>
      <c r="M19" s="232" t="s">
        <v>151</v>
      </c>
      <c r="N19" s="849" t="s">
        <v>5164</v>
      </c>
      <c r="O19" s="850"/>
      <c r="P19" s="233" t="str">
        <f>IF('計画書①（事業所概要・目標）'!M27="","",'計画書①（事業所概要・目標）'!M27)</f>
        <v/>
      </c>
      <c r="Q19" s="234" t="s">
        <v>151</v>
      </c>
      <c r="V19" s="75"/>
    </row>
    <row r="20" spans="1:22" s="12" customFormat="1" ht="58.35" customHeight="1">
      <c r="A20" s="843"/>
      <c r="B20" s="844"/>
      <c r="C20" s="844"/>
      <c r="D20" s="845"/>
      <c r="E20" s="851" t="s">
        <v>152</v>
      </c>
      <c r="F20" s="852"/>
      <c r="G20" s="813" t="str">
        <f>IF('計画書①（事業所概要・目標）'!C28="","",'計画書①（事業所概要・目標）'!C28)</f>
        <v/>
      </c>
      <c r="H20" s="810"/>
      <c r="I20" s="810"/>
      <c r="J20" s="810"/>
      <c r="K20" s="810"/>
      <c r="L20" s="810"/>
      <c r="M20" s="810"/>
      <c r="N20" s="810"/>
      <c r="O20" s="810"/>
      <c r="P20" s="810"/>
      <c r="Q20" s="810"/>
    </row>
    <row r="21" spans="1:22" s="12" customFormat="1" ht="17.25" customHeight="1"/>
    <row r="22" spans="1:22" s="12" customFormat="1" ht="30.75" customHeight="1">
      <c r="A22" s="61" t="s">
        <v>3100</v>
      </c>
    </row>
    <row r="23" spans="1:22" s="12" customFormat="1" ht="22.5" customHeight="1">
      <c r="A23" s="834" t="s">
        <v>4039</v>
      </c>
      <c r="B23" s="835"/>
      <c r="C23" s="835"/>
      <c r="D23" s="836"/>
      <c r="E23" s="820" t="s">
        <v>3103</v>
      </c>
      <c r="F23" s="852"/>
      <c r="G23" s="852"/>
      <c r="H23" s="869" t="str">
        <f>IF('計画書② (取組）'!J9="","",'計画書② (取組）'!J9*100)</f>
        <v/>
      </c>
      <c r="I23" s="869"/>
      <c r="J23" s="81" t="s">
        <v>151</v>
      </c>
      <c r="K23" s="820" t="s">
        <v>3104</v>
      </c>
      <c r="L23" s="852"/>
      <c r="M23" s="852"/>
      <c r="N23" s="869" t="str">
        <f>IF('計画書② (取組）'!J10="","",'計画書② (取組）'!J10*100)</f>
        <v/>
      </c>
      <c r="O23" s="869"/>
      <c r="P23" s="812" t="s">
        <v>151</v>
      </c>
      <c r="Q23" s="813"/>
    </row>
    <row r="24" spans="1:22" s="12" customFormat="1" ht="22.5" customHeight="1">
      <c r="A24" s="823" t="s">
        <v>3101</v>
      </c>
      <c r="B24" s="824"/>
      <c r="C24" s="824"/>
      <c r="D24" s="825"/>
      <c r="E24" s="815" t="s">
        <v>3102</v>
      </c>
      <c r="F24" s="815"/>
      <c r="G24" s="815"/>
      <c r="H24" s="815"/>
      <c r="I24" s="815"/>
      <c r="J24" s="815"/>
      <c r="K24" s="815"/>
      <c r="L24" s="815"/>
      <c r="M24" s="815"/>
      <c r="N24" s="815"/>
      <c r="O24" s="815"/>
      <c r="P24" s="815" t="s">
        <v>3105</v>
      </c>
      <c r="Q24" s="814"/>
    </row>
    <row r="25" spans="1:22" s="12" customFormat="1" ht="22.5" customHeight="1">
      <c r="A25" s="826"/>
      <c r="B25" s="827"/>
      <c r="C25" s="827"/>
      <c r="D25" s="828"/>
      <c r="E25" s="810" t="str">
        <f>IF('計画書② (取組）'!C39="","",'計画書② (取組）'!C39)</f>
        <v/>
      </c>
      <c r="F25" s="810"/>
      <c r="G25" s="810"/>
      <c r="H25" s="810"/>
      <c r="I25" s="810"/>
      <c r="J25" s="810"/>
      <c r="K25" s="810"/>
      <c r="L25" s="810"/>
      <c r="M25" s="810"/>
      <c r="N25" s="810"/>
      <c r="O25" s="810"/>
      <c r="P25" s="808" t="str">
        <f>IF('計画書（公表用）'!E25="","",IF('計画書② (取組）'!E39="実施済",'計画書② (取組）'!E39,'計画書② (取組）'!F39))</f>
        <v/>
      </c>
      <c r="Q25" s="808"/>
    </row>
    <row r="26" spans="1:22" s="12" customFormat="1" ht="22.5" customHeight="1">
      <c r="A26" s="826"/>
      <c r="B26" s="827"/>
      <c r="C26" s="827"/>
      <c r="D26" s="828"/>
      <c r="E26" s="810" t="str">
        <f>IF('計画書② (取組）'!C40="","",'計画書② (取組）'!C40)</f>
        <v/>
      </c>
      <c r="F26" s="810"/>
      <c r="G26" s="810"/>
      <c r="H26" s="810"/>
      <c r="I26" s="810"/>
      <c r="J26" s="810"/>
      <c r="K26" s="810"/>
      <c r="L26" s="810"/>
      <c r="M26" s="810"/>
      <c r="N26" s="810"/>
      <c r="O26" s="810"/>
      <c r="P26" s="808" t="str">
        <f>IF('計画書（公表用）'!E26="","",IF('計画書② (取組）'!E40="実施済",'計画書② (取組）'!E40,'計画書② (取組）'!F40))</f>
        <v/>
      </c>
      <c r="Q26" s="808"/>
    </row>
    <row r="27" spans="1:22" s="12" customFormat="1" ht="22.5" customHeight="1">
      <c r="A27" s="826"/>
      <c r="B27" s="827"/>
      <c r="C27" s="827"/>
      <c r="D27" s="828"/>
      <c r="E27" s="810" t="str">
        <f>IF('計画書② (取組）'!C41="","",'計画書② (取組）'!C41)</f>
        <v/>
      </c>
      <c r="F27" s="810"/>
      <c r="G27" s="810"/>
      <c r="H27" s="810"/>
      <c r="I27" s="810"/>
      <c r="J27" s="810"/>
      <c r="K27" s="810"/>
      <c r="L27" s="810"/>
      <c r="M27" s="810"/>
      <c r="N27" s="810"/>
      <c r="O27" s="810"/>
      <c r="P27" s="808" t="str">
        <f>IF('計画書（公表用）'!E27="","",IF('計画書② (取組）'!E41="実施済",'計画書② (取組）'!E41,'計画書② (取組）'!F41))</f>
        <v/>
      </c>
      <c r="Q27" s="808"/>
    </row>
    <row r="28" spans="1:22" s="12" customFormat="1" ht="22.5" customHeight="1">
      <c r="A28" s="826"/>
      <c r="B28" s="827"/>
      <c r="C28" s="827"/>
      <c r="D28" s="828"/>
      <c r="E28" s="810" t="str">
        <f>IF('計画書② (取組）'!C42="","",'計画書② (取組）'!C42)</f>
        <v/>
      </c>
      <c r="F28" s="810"/>
      <c r="G28" s="810"/>
      <c r="H28" s="810"/>
      <c r="I28" s="810"/>
      <c r="J28" s="810"/>
      <c r="K28" s="810"/>
      <c r="L28" s="810"/>
      <c r="M28" s="810"/>
      <c r="N28" s="810"/>
      <c r="O28" s="810"/>
      <c r="P28" s="808" t="str">
        <f>IF('計画書（公表用）'!E28="","",IF('計画書② (取組）'!E42="実施済",'計画書② (取組）'!E42,'計画書② (取組）'!F42))</f>
        <v/>
      </c>
      <c r="Q28" s="808"/>
    </row>
    <row r="29" spans="1:22" s="12" customFormat="1" ht="22.5" customHeight="1">
      <c r="A29" s="829"/>
      <c r="B29" s="830"/>
      <c r="C29" s="830"/>
      <c r="D29" s="831"/>
      <c r="E29" s="810" t="str">
        <f>IF('計画書② (取組）'!C43="","",'計画書② (取組）'!C43)</f>
        <v/>
      </c>
      <c r="F29" s="810"/>
      <c r="G29" s="810"/>
      <c r="H29" s="810"/>
      <c r="I29" s="810"/>
      <c r="J29" s="810"/>
      <c r="K29" s="810"/>
      <c r="L29" s="810"/>
      <c r="M29" s="810"/>
      <c r="N29" s="810"/>
      <c r="O29" s="810"/>
      <c r="P29" s="808" t="str">
        <f>IF('計画書（公表用）'!E29="","",IF('計画書② (取組）'!E43="実施済",'計画書② (取組）'!E43,'計画書② (取組）'!F43))</f>
        <v/>
      </c>
      <c r="Q29" s="808"/>
    </row>
    <row r="30" spans="1:22" s="12" customFormat="1" ht="42" customHeight="1">
      <c r="A30" s="823" t="s">
        <v>4067</v>
      </c>
      <c r="B30" s="824"/>
      <c r="C30" s="824"/>
      <c r="D30" s="825"/>
      <c r="E30" s="814" t="s">
        <v>3102</v>
      </c>
      <c r="F30" s="814"/>
      <c r="G30" s="814"/>
      <c r="H30" s="814"/>
      <c r="I30" s="855" t="s">
        <v>4897</v>
      </c>
      <c r="J30" s="856"/>
      <c r="K30" s="856"/>
      <c r="L30" s="856"/>
      <c r="M30" s="856"/>
      <c r="N30" s="856"/>
      <c r="O30" s="857"/>
      <c r="P30" s="815" t="s">
        <v>3105</v>
      </c>
      <c r="Q30" s="815"/>
    </row>
    <row r="31" spans="1:22" s="12" customFormat="1" ht="42" customHeight="1">
      <c r="A31" s="826"/>
      <c r="B31" s="827"/>
      <c r="C31" s="827"/>
      <c r="D31" s="828"/>
      <c r="E31" s="810" t="str">
        <f>IF('計画書② (取組）'!C63="","",'計画書② (取組）'!C63)</f>
        <v/>
      </c>
      <c r="F31" s="810"/>
      <c r="G31" s="810"/>
      <c r="H31" s="810"/>
      <c r="I31" s="810" t="str">
        <f>IF('計画書② (取組）'!D63="","",'計画書② (取組）'!D63)</f>
        <v/>
      </c>
      <c r="J31" s="810"/>
      <c r="K31" s="810"/>
      <c r="L31" s="810"/>
      <c r="M31" s="810"/>
      <c r="N31" s="810"/>
      <c r="O31" s="810"/>
      <c r="P31" s="808" t="str">
        <f>IF(I31="","",IF('計画書② (取組）'!E63="実施済",'計画書② (取組）'!E63,'計画書② (取組）'!F63))</f>
        <v/>
      </c>
      <c r="Q31" s="808"/>
    </row>
    <row r="32" spans="1:22" s="12" customFormat="1" ht="42" customHeight="1">
      <c r="A32" s="826"/>
      <c r="B32" s="827"/>
      <c r="C32" s="827"/>
      <c r="D32" s="828"/>
      <c r="E32" s="810" t="str">
        <f>IF('計画書② (取組）'!C64="","",'計画書② (取組）'!C64)</f>
        <v/>
      </c>
      <c r="F32" s="810"/>
      <c r="G32" s="810"/>
      <c r="H32" s="810"/>
      <c r="I32" s="810" t="str">
        <f>IF('計画書② (取組）'!D64="","",'計画書② (取組）'!D64)</f>
        <v/>
      </c>
      <c r="J32" s="810"/>
      <c r="K32" s="810"/>
      <c r="L32" s="810"/>
      <c r="M32" s="810"/>
      <c r="N32" s="810"/>
      <c r="O32" s="810"/>
      <c r="P32" s="808" t="str">
        <f>IF(I32="","",IF('計画書② (取組）'!E64="実施済",'計画書② (取組）'!E64,'計画書② (取組）'!F64))</f>
        <v/>
      </c>
      <c r="Q32" s="808"/>
    </row>
    <row r="33" spans="1:17" s="12" customFormat="1" ht="42" customHeight="1">
      <c r="A33" s="826"/>
      <c r="B33" s="827"/>
      <c r="C33" s="827"/>
      <c r="D33" s="828"/>
      <c r="E33" s="810" t="str">
        <f>IF('計画書② (取組）'!C65="","",'計画書② (取組）'!C65)</f>
        <v/>
      </c>
      <c r="F33" s="810"/>
      <c r="G33" s="810"/>
      <c r="H33" s="810"/>
      <c r="I33" s="810" t="str">
        <f>IF('計画書② (取組）'!D65="","",'計画書② (取組）'!D65)</f>
        <v/>
      </c>
      <c r="J33" s="810"/>
      <c r="K33" s="810"/>
      <c r="L33" s="810"/>
      <c r="M33" s="810"/>
      <c r="N33" s="810"/>
      <c r="O33" s="810"/>
      <c r="P33" s="808" t="str">
        <f>IF(I33="","",IF('計画書② (取組）'!E65="実施済",'計画書② (取組）'!E65,'計画書② (取組）'!F65))</f>
        <v/>
      </c>
      <c r="Q33" s="808"/>
    </row>
    <row r="34" spans="1:17" s="12" customFormat="1" ht="42" customHeight="1">
      <c r="A34" s="826"/>
      <c r="B34" s="827"/>
      <c r="C34" s="827"/>
      <c r="D34" s="828"/>
      <c r="E34" s="810" t="str">
        <f>IF('計画書② (取組）'!C66="","",'計画書② (取組）'!C66)</f>
        <v/>
      </c>
      <c r="F34" s="810"/>
      <c r="G34" s="810"/>
      <c r="H34" s="810"/>
      <c r="I34" s="810" t="str">
        <f>IF('計画書② (取組）'!D66="","",'計画書② (取組）'!D66)</f>
        <v/>
      </c>
      <c r="J34" s="810"/>
      <c r="K34" s="810"/>
      <c r="L34" s="810"/>
      <c r="M34" s="810"/>
      <c r="N34" s="810"/>
      <c r="O34" s="810"/>
      <c r="P34" s="808" t="str">
        <f>IF(I34="","",IF('計画書② (取組）'!E66="実施済",'計画書② (取組）'!E66,'計画書② (取組）'!F66))</f>
        <v/>
      </c>
      <c r="Q34" s="808"/>
    </row>
    <row r="35" spans="1:17" s="12" customFormat="1" ht="42" customHeight="1">
      <c r="A35" s="829"/>
      <c r="B35" s="830"/>
      <c r="C35" s="830"/>
      <c r="D35" s="831"/>
      <c r="E35" s="810" t="str">
        <f>IF('計画書② (取組）'!C67="","",'計画書② (取組）'!C67)</f>
        <v/>
      </c>
      <c r="F35" s="810"/>
      <c r="G35" s="810"/>
      <c r="H35" s="810"/>
      <c r="I35" s="811" t="str">
        <f>IF('計画書② (取組）'!D67="","",'計画書② (取組）'!D67)</f>
        <v/>
      </c>
      <c r="J35" s="812"/>
      <c r="K35" s="812"/>
      <c r="L35" s="812"/>
      <c r="M35" s="812"/>
      <c r="N35" s="812"/>
      <c r="O35" s="813"/>
      <c r="P35" s="808" t="str">
        <f>IF(I35="","",IF('計画書② (取組）'!E67="実施済",'計画書② (取組）'!E67,'計画書② (取組）'!F67))</f>
        <v/>
      </c>
      <c r="Q35" s="808"/>
    </row>
    <row r="36" spans="1:17" s="12" customFormat="1" ht="22.5" customHeight="1"/>
    <row r="37" spans="1:17" s="12" customFormat="1" ht="22.5" customHeight="1"/>
    <row r="38" spans="1:17" s="12" customFormat="1" ht="22.5" customHeight="1"/>
    <row r="39" spans="1:17" ht="22.5" customHeight="1">
      <c r="A39" s="12"/>
      <c r="B39" s="12"/>
      <c r="C39" s="12"/>
      <c r="D39" s="12"/>
      <c r="E39" s="12"/>
      <c r="F39" s="12"/>
      <c r="G39" s="12"/>
      <c r="H39" s="12"/>
      <c r="I39" s="12"/>
      <c r="J39" s="12"/>
      <c r="K39" s="12"/>
      <c r="L39" s="12"/>
      <c r="M39" s="12"/>
      <c r="N39" s="12"/>
      <c r="O39" s="12"/>
      <c r="P39" s="12"/>
      <c r="Q39" s="12"/>
    </row>
    <row r="40" spans="1:17" ht="22.5" customHeight="1"/>
  </sheetData>
  <sheetProtection algorithmName="SHA-512" hashValue="aAeOeyO9w2hjB1rHWww6gCO0V5wcJHTaLIhsEmNsiQmIIR/KEEKqcf1RKGGvft3Xj45JnMgr4o3GYD/0QwZaYw==" saltValue="C6UxLuoySGc5rt8TbVdp6g==" spinCount="100000" sheet="1" objects="1" scenarios="1" selectLockedCells="1"/>
  <mergeCells count="73">
    <mergeCell ref="A23:D23"/>
    <mergeCell ref="A24:D29"/>
    <mergeCell ref="A30:D35"/>
    <mergeCell ref="G20:Q20"/>
    <mergeCell ref="I33:O33"/>
    <mergeCell ref="I34:O34"/>
    <mergeCell ref="E33:H33"/>
    <mergeCell ref="P29:Q29"/>
    <mergeCell ref="P24:Q24"/>
    <mergeCell ref="P25:Q25"/>
    <mergeCell ref="E23:G23"/>
    <mergeCell ref="H23:I23"/>
    <mergeCell ref="K23:M23"/>
    <mergeCell ref="N23:O23"/>
    <mergeCell ref="E27:O27"/>
    <mergeCell ref="E28:O28"/>
    <mergeCell ref="I32:O32"/>
    <mergeCell ref="E20:F20"/>
    <mergeCell ref="E16:F16"/>
    <mergeCell ref="I18:J18"/>
    <mergeCell ref="I30:O30"/>
    <mergeCell ref="I31:O31"/>
    <mergeCell ref="I16:J16"/>
    <mergeCell ref="I17:J17"/>
    <mergeCell ref="E29:O29"/>
    <mergeCell ref="E25:O25"/>
    <mergeCell ref="N17:O17"/>
    <mergeCell ref="N18:O18"/>
    <mergeCell ref="K19:L19"/>
    <mergeCell ref="N19:O19"/>
    <mergeCell ref="E17:F19"/>
    <mergeCell ref="G17:G19"/>
    <mergeCell ref="F12:Q12"/>
    <mergeCell ref="E7:Q7"/>
    <mergeCell ref="E8:Q8"/>
    <mergeCell ref="A9:D9"/>
    <mergeCell ref="K16:L16"/>
    <mergeCell ref="F13:Q13"/>
    <mergeCell ref="A16:D20"/>
    <mergeCell ref="H17:H19"/>
    <mergeCell ref="I19:J19"/>
    <mergeCell ref="E32:H32"/>
    <mergeCell ref="P32:Q32"/>
    <mergeCell ref="B3:P3"/>
    <mergeCell ref="E9:Q9"/>
    <mergeCell ref="K18:L18"/>
    <mergeCell ref="P16:Q16"/>
    <mergeCell ref="N16:O16"/>
    <mergeCell ref="P17:Q17"/>
    <mergeCell ref="A8:D8"/>
    <mergeCell ref="A6:D6"/>
    <mergeCell ref="A7:D7"/>
    <mergeCell ref="E6:Q6"/>
    <mergeCell ref="A10:D13"/>
    <mergeCell ref="F10:Q10"/>
    <mergeCell ref="K17:L17"/>
    <mergeCell ref="F11:Q11"/>
    <mergeCell ref="P23:Q23"/>
    <mergeCell ref="E30:H30"/>
    <mergeCell ref="E26:O26"/>
    <mergeCell ref="P30:Q30"/>
    <mergeCell ref="E31:H31"/>
    <mergeCell ref="P31:Q31"/>
    <mergeCell ref="P27:Q27"/>
    <mergeCell ref="P28:Q28"/>
    <mergeCell ref="P26:Q26"/>
    <mergeCell ref="E24:O24"/>
    <mergeCell ref="E35:H35"/>
    <mergeCell ref="P35:Q35"/>
    <mergeCell ref="I35:O35"/>
    <mergeCell ref="P34:Q34"/>
    <mergeCell ref="P33:Q33"/>
    <mergeCell ref="E34:H34"/>
  </mergeCells>
  <phoneticPr fontId="1"/>
  <printOptions horizontalCentered="1" verticalCentered="1"/>
  <pageMargins left="0.70866141732283472" right="0.51181102362204722" top="0.55118110236220474" bottom="0.55118110236220474" header="0.31496062992125984" footer="0.31496062992125984"/>
  <pageSetup paperSize="9" scale="89" orientation="portrait" r:id="rId1"/>
  <headerFooter>
    <oddHeader>&amp;L様式第１号別紙１</oddHeader>
    <oddFooter>&amp;R&amp;8（一般事業所等用）</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tabColor rgb="FF00B050"/>
  </sheetPr>
  <dimension ref="A3:AJ43"/>
  <sheetViews>
    <sheetView showGridLines="0" view="pageBreakPreview" zoomScaleNormal="100" zoomScaleSheetLayoutView="100" workbookViewId="0">
      <selection activeCell="C29" sqref="C29:P29"/>
    </sheetView>
  </sheetViews>
  <sheetFormatPr defaultColWidth="8.88671875" defaultRowHeight="19.2"/>
  <cols>
    <col min="1" max="9" width="5.6640625" style="1" customWidth="1"/>
    <col min="10" max="10" width="6.33203125" style="1" bestFit="1" customWidth="1"/>
    <col min="11" max="14" width="5.6640625" style="1" customWidth="1"/>
    <col min="15" max="15" width="7.33203125" style="1" bestFit="1" customWidth="1"/>
    <col min="16" max="16" width="5.6640625" style="1" customWidth="1"/>
    <col min="17" max="17" width="5.6640625" style="539" customWidth="1"/>
    <col min="18" max="20" width="5.6640625" style="1" hidden="1" customWidth="1"/>
    <col min="21" max="26" width="7" style="1" hidden="1" customWidth="1"/>
    <col min="27" max="36" width="5.6640625" style="1" hidden="1" customWidth="1"/>
    <col min="37" max="38" width="5.6640625" style="1" customWidth="1"/>
    <col min="39" max="16384" width="8.88671875" style="1"/>
  </cols>
  <sheetData>
    <row r="3" spans="1:17" ht="25.5" customHeight="1">
      <c r="C3" s="638" t="s">
        <v>4909</v>
      </c>
      <c r="D3" s="638"/>
      <c r="E3" s="638"/>
      <c r="F3" s="638"/>
      <c r="G3" s="638"/>
      <c r="H3" s="638"/>
      <c r="I3" s="638"/>
      <c r="J3" s="638"/>
      <c r="K3" s="638"/>
      <c r="L3" s="638"/>
      <c r="M3" s="272" t="str">
        <f>" 第 "&amp;はじめに!F29&amp;" 年度分"</f>
        <v xml:space="preserve"> 第  年度分</v>
      </c>
      <c r="O3" s="272"/>
      <c r="P3" s="272"/>
    </row>
    <row r="4" spans="1:17" s="12" customFormat="1" ht="16.2">
      <c r="Q4" s="13"/>
    </row>
    <row r="5" spans="1:17" s="12" customFormat="1" ht="17.25" customHeight="1">
      <c r="A5" s="61" t="s">
        <v>75</v>
      </c>
      <c r="Q5" s="13"/>
    </row>
    <row r="6" spans="1:17" s="12" customFormat="1" ht="27" customHeight="1">
      <c r="A6" s="639" t="s">
        <v>5</v>
      </c>
      <c r="B6" s="639"/>
      <c r="C6" s="639"/>
      <c r="D6" s="639"/>
      <c r="E6" s="896" t="str">
        <f>IF(はじめに!E6="","",はじめに!E6)</f>
        <v/>
      </c>
      <c r="F6" s="897"/>
      <c r="G6" s="897"/>
      <c r="H6" s="897"/>
      <c r="I6" s="897"/>
      <c r="J6" s="897"/>
      <c r="K6" s="897"/>
      <c r="L6" s="897"/>
      <c r="M6" s="897"/>
      <c r="N6" s="897"/>
      <c r="O6" s="897"/>
      <c r="P6" s="898"/>
      <c r="Q6" s="13"/>
    </row>
    <row r="7" spans="1:17" s="12" customFormat="1" ht="27" customHeight="1">
      <c r="A7" s="639" t="s">
        <v>6</v>
      </c>
      <c r="B7" s="639"/>
      <c r="C7" s="639"/>
      <c r="D7" s="639"/>
      <c r="E7" s="896" t="str">
        <f>IF(はじめに!E14="","",はじめに!E14)</f>
        <v/>
      </c>
      <c r="F7" s="897"/>
      <c r="G7" s="897"/>
      <c r="H7" s="897"/>
      <c r="I7" s="897"/>
      <c r="J7" s="897"/>
      <c r="K7" s="897"/>
      <c r="L7" s="897"/>
      <c r="M7" s="897"/>
      <c r="N7" s="897"/>
      <c r="O7" s="897"/>
      <c r="P7" s="898"/>
      <c r="Q7" s="13"/>
    </row>
    <row r="8" spans="1:17" s="12" customFormat="1" ht="27" customHeight="1">
      <c r="A8" s="639" t="s">
        <v>7</v>
      </c>
      <c r="B8" s="639"/>
      <c r="C8" s="639"/>
      <c r="D8" s="639"/>
      <c r="E8" s="896" t="str">
        <f>IF(はじめに!E16="","",はじめに!E16)</f>
        <v/>
      </c>
      <c r="F8" s="897"/>
      <c r="G8" s="897"/>
      <c r="H8" s="897"/>
      <c r="I8" s="897"/>
      <c r="J8" s="897"/>
      <c r="K8" s="897"/>
      <c r="L8" s="897"/>
      <c r="M8" s="897"/>
      <c r="N8" s="897"/>
      <c r="O8" s="897"/>
      <c r="P8" s="898"/>
      <c r="Q8" s="13"/>
    </row>
    <row r="9" spans="1:17" s="12" customFormat="1" ht="27" customHeight="1">
      <c r="A9" s="639" t="s">
        <v>158</v>
      </c>
      <c r="B9" s="639"/>
      <c r="C9" s="639"/>
      <c r="D9" s="639"/>
      <c r="E9" s="896" t="str">
        <f>IF(はじめに!E18="","",はじめに!E18)</f>
        <v/>
      </c>
      <c r="F9" s="897"/>
      <c r="G9" s="897"/>
      <c r="H9" s="897"/>
      <c r="I9" s="897"/>
      <c r="J9" s="897"/>
      <c r="K9" s="897"/>
      <c r="L9" s="897"/>
      <c r="M9" s="897"/>
      <c r="N9" s="897"/>
      <c r="O9" s="897"/>
      <c r="P9" s="898"/>
      <c r="Q9" s="13"/>
    </row>
    <row r="10" spans="1:17" s="12" customFormat="1" ht="7.35" customHeight="1">
      <c r="Q10" s="13"/>
    </row>
    <row r="11" spans="1:17" s="12" customFormat="1" ht="7.35" customHeight="1">
      <c r="Q11" s="13"/>
    </row>
    <row r="12" spans="1:17" s="12" customFormat="1" ht="7.35" hidden="1" customHeight="1">
      <c r="Q12" s="13"/>
    </row>
    <row r="13" spans="1:17" s="12" customFormat="1" ht="7.35" hidden="1" customHeight="1">
      <c r="Q13" s="13"/>
    </row>
    <row r="14" spans="1:17" s="12" customFormat="1" ht="7.35" hidden="1" customHeight="1">
      <c r="Q14" s="13"/>
    </row>
    <row r="15" spans="1:17" s="12" customFormat="1" ht="7.35" hidden="1" customHeight="1">
      <c r="Q15" s="13"/>
    </row>
    <row r="16" spans="1:17" s="12" customFormat="1" ht="7.35" hidden="1" customHeight="1">
      <c r="Q16" s="13"/>
    </row>
    <row r="17" spans="1:35" s="12" customFormat="1" ht="7.35" hidden="1" customHeight="1">
      <c r="Q17" s="13"/>
    </row>
    <row r="18" spans="1:35" s="12" customFormat="1" ht="7.35" hidden="1" customHeight="1">
      <c r="Q18" s="13"/>
    </row>
    <row r="19" spans="1:35" s="12" customFormat="1" ht="7.35" hidden="1" customHeight="1">
      <c r="Q19" s="13"/>
    </row>
    <row r="20" spans="1:35" s="12" customFormat="1" ht="11.4" customHeight="1">
      <c r="Q20" s="13"/>
    </row>
    <row r="21" spans="1:35" s="12" customFormat="1" ht="16.2">
      <c r="A21" s="12" t="s">
        <v>4957</v>
      </c>
      <c r="Q21" s="13"/>
      <c r="AG21" s="27">
        <v>4</v>
      </c>
      <c r="AH21" s="27"/>
      <c r="AI21" s="27">
        <v>50</v>
      </c>
    </row>
    <row r="22" spans="1:35" s="12" customFormat="1" ht="32.4" customHeight="1">
      <c r="A22" s="899" t="s">
        <v>80</v>
      </c>
      <c r="B22" s="900"/>
      <c r="C22" s="781" t="str">
        <f>IF(はじめに!E4="","",はじめに!E4)</f>
        <v/>
      </c>
      <c r="D22" s="782"/>
      <c r="E22" s="540" t="s">
        <v>85</v>
      </c>
      <c r="F22" s="885" t="s">
        <v>81</v>
      </c>
      <c r="G22" s="885"/>
      <c r="H22" s="636" t="str">
        <f>IF('計画書①（事業所概要・目標）'!H24="","",'計画書①（事業所概要・目標）'!H24)</f>
        <v/>
      </c>
      <c r="I22" s="637"/>
      <c r="J22" s="541" t="s">
        <v>4952</v>
      </c>
      <c r="K22" s="885" t="s">
        <v>82</v>
      </c>
      <c r="L22" s="885"/>
      <c r="M22" s="616" t="str">
        <f>IF('計画書①（事業所概要・目標）'!M24="","",'計画書①（事業所概要・目標）'!M24)</f>
        <v/>
      </c>
      <c r="N22" s="620"/>
      <c r="O22" s="542" t="s">
        <v>4953</v>
      </c>
      <c r="P22" s="543" t="str">
        <f>IF('計画書①（事業所概要・目標）'!$P$13="","",'計画書①（事業所概要・目標）'!$P$13)</f>
        <v/>
      </c>
      <c r="Q22" s="13"/>
      <c r="AG22" s="27">
        <v>3</v>
      </c>
      <c r="AH22" s="27">
        <v>4</v>
      </c>
      <c r="AI22" s="27">
        <v>40</v>
      </c>
    </row>
    <row r="23" spans="1:35" s="12" customFormat="1" ht="32.4" customHeight="1">
      <c r="A23" s="888" t="s">
        <v>83</v>
      </c>
      <c r="B23" s="889"/>
      <c r="C23" s="883">
        <f>IF(はじめに!H3="","",はじめに!H3)</f>
        <v>2025</v>
      </c>
      <c r="D23" s="879"/>
      <c r="E23" s="881" t="s">
        <v>85</v>
      </c>
      <c r="F23" s="885" t="s">
        <v>86</v>
      </c>
      <c r="G23" s="885"/>
      <c r="H23" s="636" t="str">
        <f>IF('計画書①（事業所概要・目標）'!H25="","",'計画書①（事業所概要・目標）'!H25)</f>
        <v/>
      </c>
      <c r="I23" s="637"/>
      <c r="J23" s="541" t="s">
        <v>4952</v>
      </c>
      <c r="K23" s="885" t="s">
        <v>84</v>
      </c>
      <c r="L23" s="885"/>
      <c r="M23" s="616" t="str">
        <f>IF('計画書①（事業所概要・目標）'!M25="","",'計画書①（事業所概要・目標）'!M25)</f>
        <v/>
      </c>
      <c r="N23" s="620"/>
      <c r="O23" s="542" t="s">
        <v>4953</v>
      </c>
      <c r="P23" s="543" t="str">
        <f>IF('計画書①（事業所概要・目標）'!$P$13="","",'計画書①（事業所概要・目標）'!$P$13)</f>
        <v/>
      </c>
      <c r="Q23" s="13"/>
      <c r="U23" s="21" t="s">
        <v>4043</v>
      </c>
      <c r="V23" s="21" t="s">
        <v>4113</v>
      </c>
      <c r="W23" s="21" t="s">
        <v>4114</v>
      </c>
      <c r="X23" s="21" t="s">
        <v>4115</v>
      </c>
      <c r="Y23" s="21" t="s">
        <v>4116</v>
      </c>
      <c r="Z23" s="21" t="s">
        <v>4112</v>
      </c>
      <c r="AG23" s="27">
        <v>2</v>
      </c>
      <c r="AH23" s="27">
        <v>3</v>
      </c>
      <c r="AI23" s="27">
        <v>30</v>
      </c>
    </row>
    <row r="24" spans="1:35" s="12" customFormat="1" ht="32.4" customHeight="1">
      <c r="A24" s="890"/>
      <c r="B24" s="891"/>
      <c r="C24" s="884"/>
      <c r="D24" s="880"/>
      <c r="E24" s="882"/>
      <c r="F24" s="885" t="s">
        <v>4117</v>
      </c>
      <c r="G24" s="885"/>
      <c r="H24" s="886" t="str">
        <f>IF('計画書①（事業所概要・目標）'!H26="","",'計画書①（事業所概要・目標）'!H26)</f>
        <v/>
      </c>
      <c r="I24" s="887"/>
      <c r="J24" s="541" t="s">
        <v>87</v>
      </c>
      <c r="K24" s="885" t="s">
        <v>4117</v>
      </c>
      <c r="L24" s="885"/>
      <c r="M24" s="632" t="str">
        <f>IF('計画書①（事業所概要・目標）'!M26="","",'計画書①（事業所概要・目標）'!M26)</f>
        <v/>
      </c>
      <c r="N24" s="633"/>
      <c r="O24" s="542" t="s">
        <v>87</v>
      </c>
      <c r="P24" s="18"/>
      <c r="Q24" s="13"/>
      <c r="U24" s="21" t="s">
        <v>4118</v>
      </c>
      <c r="V24" s="544" t="str">
        <f>IF(H27="","",H27)</f>
        <v/>
      </c>
      <c r="W24" s="544" t="str">
        <f>IF(H30="","",H30)</f>
        <v/>
      </c>
      <c r="X24" s="544" t="str">
        <f>IF(H33="","",H33)</f>
        <v/>
      </c>
      <c r="Y24" s="544" t="str">
        <f>IFERROR(AVERAGE(V24:X24),"")</f>
        <v/>
      </c>
      <c r="Z24" s="545" t="str">
        <f>IF(Y24="","",IF(Y24&gt;=$AG$21,$AI$21,IF(AND(Y24&gt;=$AG$22,Y24&lt;$AH$22),$AI$22,IF(AND(Y24&gt;=$AG$23,Y24&lt;$AH$23),$AI$23,IF(AND(Y24&gt;=$AG$24,Y24&lt;$AH$24),$AI$24,IF(AND(Y24&gt;=$AG$25,Y24&lt;$AH$25),$AI$25,$AI$26))))))</f>
        <v/>
      </c>
      <c r="AG24" s="27">
        <v>1</v>
      </c>
      <c r="AH24" s="27">
        <v>2</v>
      </c>
      <c r="AI24" s="27">
        <v>20</v>
      </c>
    </row>
    <row r="25" spans="1:35" s="12" customFormat="1" ht="51.6" customHeight="1">
      <c r="A25" s="892"/>
      <c r="B25" s="893"/>
      <c r="C25" s="616" t="s">
        <v>4906</v>
      </c>
      <c r="D25" s="617"/>
      <c r="E25" s="618"/>
      <c r="F25" s="619" t="s">
        <v>4907</v>
      </c>
      <c r="G25" s="618"/>
      <c r="H25" s="894" t="str">
        <f>IF('計画書①（事業所概要・目標）'!H27="","",'計画書①（事業所概要・目標）'!H27)</f>
        <v/>
      </c>
      <c r="I25" s="895"/>
      <c r="J25" s="546" t="s">
        <v>87</v>
      </c>
      <c r="K25" s="619" t="s">
        <v>4908</v>
      </c>
      <c r="L25" s="618"/>
      <c r="M25" s="894" t="str">
        <f>IF('計画書①（事業所概要・目標）'!M27="","",'計画書①（事業所概要・目標）'!M27)</f>
        <v/>
      </c>
      <c r="N25" s="895"/>
      <c r="O25" s="546" t="s">
        <v>87</v>
      </c>
      <c r="P25"/>
      <c r="Q25" s="13"/>
      <c r="U25" s="21" t="s">
        <v>4122</v>
      </c>
      <c r="V25" s="544" t="str">
        <f>IF(M27="","",M27)</f>
        <v/>
      </c>
      <c r="W25" s="544" t="str">
        <f>IF(M30="","",M30)</f>
        <v/>
      </c>
      <c r="X25" s="544" t="str">
        <f>IF(M33="","",M33)</f>
        <v/>
      </c>
      <c r="Y25" s="544" t="str">
        <f>IFERROR(AVERAGE(V25:X25),"")</f>
        <v/>
      </c>
      <c r="Z25" s="545" t="str">
        <f>IF(Y25="","",IF(Y25&gt;=$AG$21,$AI$21,IF(AND(Y25&gt;=$AG$22,Y25&lt;$AH$22),$AI$22,IF(AND(Y25&gt;=$AG$23,Y25&lt;$AH$23),$AI$23,IF(AND(Y25&gt;=$AG$24,Y25&lt;$AH$24),$AI$24,IF(AND(Y25&gt;=$AG$25,Y25&lt;$AH$25),$AI$25,$AI$26))))))</f>
        <v/>
      </c>
      <c r="AG25" s="27">
        <v>0</v>
      </c>
      <c r="AH25" s="27">
        <v>1</v>
      </c>
      <c r="AI25" s="27">
        <v>10</v>
      </c>
    </row>
    <row r="26" spans="1:35" s="12" customFormat="1" ht="32.4" customHeight="1">
      <c r="A26" s="873" t="s">
        <v>4119</v>
      </c>
      <c r="B26" s="874"/>
      <c r="C26" s="883" t="str">
        <f>IF(はじめに!E3="","",はじめに!E3)</f>
        <v/>
      </c>
      <c r="D26" s="879"/>
      <c r="E26" s="881" t="s">
        <v>85</v>
      </c>
      <c r="F26" s="627" t="s">
        <v>4120</v>
      </c>
      <c r="G26" s="627"/>
      <c r="H26" s="636" t="str">
        <f>IF('事業所排出量内訳 (第1年度)'!$V$24=0,"",'事業所排出量内訳 (第1年度)'!$V$24)</f>
        <v/>
      </c>
      <c r="I26" s="637"/>
      <c r="J26" s="547" t="s">
        <v>4952</v>
      </c>
      <c r="K26" s="627" t="s">
        <v>4121</v>
      </c>
      <c r="L26" s="627"/>
      <c r="M26" s="616" t="str">
        <f>IF('事業所排出量内訳 (第1年度)'!$V$27=0,"",'事業所排出量内訳 (第1年度)'!$V$27)</f>
        <v/>
      </c>
      <c r="N26" s="620"/>
      <c r="O26" s="546" t="s">
        <v>4953</v>
      </c>
      <c r="P26" s="543" t="str">
        <f>IF('計画書①（事業所概要・目標）'!$P$13="","",'計画書①（事業所概要・目標）'!$P$13)</f>
        <v/>
      </c>
      <c r="Q26" s="13"/>
      <c r="AG26" s="27"/>
      <c r="AH26" s="27">
        <v>0</v>
      </c>
      <c r="AI26" s="27">
        <v>0</v>
      </c>
    </row>
    <row r="27" spans="1:35" s="12" customFormat="1" ht="32.4" customHeight="1">
      <c r="A27" s="875"/>
      <c r="B27" s="876"/>
      <c r="C27" s="884"/>
      <c r="D27" s="880"/>
      <c r="E27" s="882"/>
      <c r="F27" s="627" t="s">
        <v>4042</v>
      </c>
      <c r="G27" s="627"/>
      <c r="H27" s="632" t="str">
        <f>IFERROR(IF(H26="","",INT(($H$22-H26)/$H$22*10000)/100),"")</f>
        <v/>
      </c>
      <c r="I27" s="633" t="str">
        <f>IF($F$7="","",INT(($F$7-I26)/$F$7*100000)/1000)</f>
        <v/>
      </c>
      <c r="J27" s="547" t="s">
        <v>87</v>
      </c>
      <c r="K27" s="627" t="s">
        <v>4042</v>
      </c>
      <c r="L27" s="627"/>
      <c r="M27" s="632" t="str">
        <f>IFERROR(IF(M26="","",INT(($M$22-M26)/$M$22*10000)/100),"")</f>
        <v/>
      </c>
      <c r="N27" s="633" t="str">
        <f>IF($F$7="","",INT(($F$7-N26)/$F$7*100000)/1000)</f>
        <v/>
      </c>
      <c r="O27" s="546" t="s">
        <v>87</v>
      </c>
      <c r="P27" s="18"/>
      <c r="Q27" s="13"/>
    </row>
    <row r="28" spans="1:35" s="12" customFormat="1" ht="51.6" customHeight="1">
      <c r="A28" s="877"/>
      <c r="B28" s="878"/>
      <c r="C28" s="616" t="s">
        <v>4910</v>
      </c>
      <c r="D28" s="617"/>
      <c r="E28" s="618"/>
      <c r="F28" s="619" t="s">
        <v>4907</v>
      </c>
      <c r="G28" s="618"/>
      <c r="H28" s="870" t="str">
        <f>IF(AND('事業所排出量内訳 (第1年度)'!$V$4=0,
                 COUNTBLANK('事業所排出量内訳 (第1年度)'!I21:J21)
                +COUNTBLANK('事業所排出量内訳 (第1年度)'!I29:J29)
                +COUNTBLANK('事業所排出量内訳 (第1年度)'!V63)=5),"",'事業所排出量内訳 (第1年度)'!$Z$16*100)</f>
        <v/>
      </c>
      <c r="I28" s="871"/>
      <c r="J28" s="546" t="s">
        <v>87</v>
      </c>
      <c r="K28" s="619" t="s">
        <v>4908</v>
      </c>
      <c r="L28" s="618"/>
      <c r="M28" s="870" t="str">
        <f>IF(AND('事業所排出量内訳 (第1年度)'!$V$4=0,
                 COUNTBLANK('事業所排出量内訳 (第1年度)'!I21:J21)
                +COUNTBLANK('事業所排出量内訳 (第1年度)'!I29:J29)
                +COUNTBLANK('事業所排出量内訳 (第1年度)'!V63)=5),"",'事業所排出量内訳 (第1年度)'!$Z$12*100)</f>
        <v/>
      </c>
      <c r="N28" s="871"/>
      <c r="O28" s="546" t="s">
        <v>87</v>
      </c>
      <c r="P28" s="528"/>
      <c r="Q28" s="13"/>
    </row>
    <row r="29" spans="1:35" s="12" customFormat="1" ht="72" customHeight="1">
      <c r="A29" s="610" t="s">
        <v>4123</v>
      </c>
      <c r="B29" s="610"/>
      <c r="C29" s="872"/>
      <c r="D29" s="872"/>
      <c r="E29" s="872"/>
      <c r="F29" s="872"/>
      <c r="G29" s="872"/>
      <c r="H29" s="872"/>
      <c r="I29" s="872"/>
      <c r="J29" s="872"/>
      <c r="K29" s="872"/>
      <c r="L29" s="872"/>
      <c r="M29" s="872"/>
      <c r="N29" s="872"/>
      <c r="O29" s="872"/>
      <c r="P29" s="872"/>
      <c r="Q29" s="13"/>
    </row>
    <row r="30" spans="1:35" s="12" customFormat="1" ht="32.4" customHeight="1">
      <c r="A30" s="873" t="s">
        <v>4124</v>
      </c>
      <c r="B30" s="874"/>
      <c r="C30" s="879" t="str">
        <f>IF(はじめに!E3="","",IF(C26+1&gt;2025,"",C26+1))</f>
        <v/>
      </c>
      <c r="D30" s="879"/>
      <c r="E30" s="881" t="s">
        <v>85</v>
      </c>
      <c r="F30" s="627" t="s">
        <v>4120</v>
      </c>
      <c r="G30" s="627"/>
      <c r="H30" s="636" t="str">
        <f>IF('事業所排出量内訳 (第2年度)'!$V$24=0,"",'事業所排出量内訳 (第2年度)'!$V$24)</f>
        <v/>
      </c>
      <c r="I30" s="637"/>
      <c r="J30" s="547" t="s">
        <v>4952</v>
      </c>
      <c r="K30" s="627" t="s">
        <v>4121</v>
      </c>
      <c r="L30" s="627"/>
      <c r="M30" s="901" t="str">
        <f>IF('事業所排出量内訳 (第2年度)'!$V$27=0,"",'事業所排出量内訳 (第2年度)'!$V$27)</f>
        <v/>
      </c>
      <c r="N30" s="902"/>
      <c r="O30" s="546" t="s">
        <v>4953</v>
      </c>
      <c r="P30" s="543" t="str">
        <f>IF('計画書①（事業所概要・目標）'!$P$13="","",'計画書①（事業所概要・目標）'!$P$13)</f>
        <v/>
      </c>
      <c r="Q30" s="13"/>
    </row>
    <row r="31" spans="1:35" s="12" customFormat="1" ht="32.4" customHeight="1">
      <c r="A31" s="875"/>
      <c r="B31" s="876"/>
      <c r="C31" s="880"/>
      <c r="D31" s="880"/>
      <c r="E31" s="882"/>
      <c r="F31" s="627" t="s">
        <v>4042</v>
      </c>
      <c r="G31" s="627"/>
      <c r="H31" s="632" t="str">
        <f>IFERROR(IF(H30="","",INT(($H$22-H30)/$H$22*10000)/100),"")</f>
        <v/>
      </c>
      <c r="I31" s="633" t="str">
        <f>IF($F$7="","",INT(($F$7-I30)/$F$7*100000)/1000)</f>
        <v/>
      </c>
      <c r="J31" s="547" t="s">
        <v>87</v>
      </c>
      <c r="K31" s="627" t="s">
        <v>4042</v>
      </c>
      <c r="L31" s="627"/>
      <c r="M31" s="632" t="str">
        <f>IFERROR(IF(M30="","",INT(($M$22-M30)/$M$22*10000)/100),"")</f>
        <v/>
      </c>
      <c r="N31" s="633" t="str">
        <f>IF($F$7="","",INT(($F$7-N30)/$F$7*100000)/1000)</f>
        <v/>
      </c>
      <c r="O31" s="546" t="s">
        <v>87</v>
      </c>
      <c r="P31" s="18"/>
      <c r="Q31" s="13"/>
    </row>
    <row r="32" spans="1:35" s="12" customFormat="1" ht="51.6" customHeight="1">
      <c r="A32" s="877"/>
      <c r="B32" s="878"/>
      <c r="C32" s="616" t="s">
        <v>4910</v>
      </c>
      <c r="D32" s="617"/>
      <c r="E32" s="618"/>
      <c r="F32" s="619" t="s">
        <v>4907</v>
      </c>
      <c r="G32" s="618"/>
      <c r="H32" s="870" t="str">
        <f>IF(AND('事業所排出量内訳 (第2年度)'!$V$4=0,
                 COUNTBLANK('事業所排出量内訳 (第2年度)'!I21:J21)
                +COUNTBLANK('事業所排出量内訳 (第2年度)'!I29:J29)
                +COUNTBLANK('事業所排出量内訳 (第2年度)'!V63)=5),"",'事業所排出量内訳 (第2年度)'!$Z$16*100)</f>
        <v/>
      </c>
      <c r="I32" s="871"/>
      <c r="J32" s="546" t="s">
        <v>87</v>
      </c>
      <c r="K32" s="619" t="s">
        <v>4908</v>
      </c>
      <c r="L32" s="618"/>
      <c r="M32" s="870" t="str">
        <f>IF(AND('事業所排出量内訳 (第2年度)'!$V$4=0,
                 COUNTBLANK('事業所排出量内訳 (第2年度)'!I21:J21)
                +COUNTBLANK('事業所排出量内訳 (第2年度)'!I29:J29)
                +COUNTBLANK('事業所排出量内訳 (第2年度)'!V63)=5),"",'事業所排出量内訳 (第2年度)'!$Z$12*100)</f>
        <v/>
      </c>
      <c r="N32" s="871"/>
      <c r="O32" s="546" t="s">
        <v>87</v>
      </c>
      <c r="P32" s="528"/>
      <c r="Q32" s="13"/>
    </row>
    <row r="33" spans="1:19" s="12" customFormat="1" ht="72" customHeight="1">
      <c r="A33" s="610" t="s">
        <v>4123</v>
      </c>
      <c r="B33" s="610"/>
      <c r="C33" s="872"/>
      <c r="D33" s="872"/>
      <c r="E33" s="872"/>
      <c r="F33" s="872"/>
      <c r="G33" s="872"/>
      <c r="H33" s="872"/>
      <c r="I33" s="872"/>
      <c r="J33" s="872"/>
      <c r="K33" s="872"/>
      <c r="L33" s="872"/>
      <c r="M33" s="872"/>
      <c r="N33" s="872"/>
      <c r="O33" s="872"/>
      <c r="P33" s="872"/>
      <c r="Q33" s="13"/>
    </row>
    <row r="34" spans="1:19" s="12" customFormat="1" ht="32.4" customHeight="1">
      <c r="A34" s="873" t="s">
        <v>4125</v>
      </c>
      <c r="B34" s="874"/>
      <c r="C34" s="879" t="str">
        <f>IF(C30="","",IF(C30+1&gt;2025,"",C30+1))</f>
        <v/>
      </c>
      <c r="D34" s="879"/>
      <c r="E34" s="881" t="s">
        <v>85</v>
      </c>
      <c r="F34" s="627" t="s">
        <v>4120</v>
      </c>
      <c r="G34" s="627"/>
      <c r="H34" s="636" t="str">
        <f>IF('事業所排出量内訳 (第3年度)'!$V$24=0,"",'事業所排出量内訳 (第3年度)'!$V$24)</f>
        <v/>
      </c>
      <c r="I34" s="637"/>
      <c r="J34" s="547" t="s">
        <v>4952</v>
      </c>
      <c r="K34" s="627" t="s">
        <v>4121</v>
      </c>
      <c r="L34" s="627"/>
      <c r="M34" s="616" t="str">
        <f>IF('事業所排出量内訳 (第3年度)'!$V$27=0,"",'事業所排出量内訳 (第3年度)'!$V$27)</f>
        <v/>
      </c>
      <c r="N34" s="620"/>
      <c r="O34" s="546" t="s">
        <v>4953</v>
      </c>
      <c r="P34" s="543" t="str">
        <f>IF('計画書①（事業所概要・目標）'!$P$13="","",'計画書①（事業所概要・目標）'!$P$13)</f>
        <v/>
      </c>
      <c r="Q34" s="13"/>
    </row>
    <row r="35" spans="1:19" s="12" customFormat="1" ht="32.4" customHeight="1">
      <c r="A35" s="875"/>
      <c r="B35" s="876"/>
      <c r="C35" s="880"/>
      <c r="D35" s="880"/>
      <c r="E35" s="882"/>
      <c r="F35" s="627" t="s">
        <v>4042</v>
      </c>
      <c r="G35" s="627"/>
      <c r="H35" s="632" t="str">
        <f>IFERROR(IF(H34="","",INT(($H$22-H34)/$H$22*10000)/100),"")</f>
        <v/>
      </c>
      <c r="I35" s="633" t="str">
        <f>IF($F$7="","",INT(($F$7-I34)/$F$7*100000)/1000)</f>
        <v/>
      </c>
      <c r="J35" s="547" t="s">
        <v>87</v>
      </c>
      <c r="K35" s="627" t="s">
        <v>4042</v>
      </c>
      <c r="L35" s="627"/>
      <c r="M35" s="632" t="str">
        <f>IFERROR(IF(M34="","",INT(($M$22-M34)/$M$22*10000)/100),"")</f>
        <v/>
      </c>
      <c r="N35" s="633" t="str">
        <f>IF($F$7="","",INT(($F$7-N34)/$F$7*100000)/1000)</f>
        <v/>
      </c>
      <c r="O35" s="546" t="s">
        <v>87</v>
      </c>
      <c r="P35" s="18"/>
      <c r="Q35" s="13"/>
    </row>
    <row r="36" spans="1:19" s="12" customFormat="1" ht="51.6" customHeight="1">
      <c r="A36" s="877"/>
      <c r="B36" s="878"/>
      <c r="C36" s="616" t="s">
        <v>4910</v>
      </c>
      <c r="D36" s="617"/>
      <c r="E36" s="618"/>
      <c r="F36" s="619" t="s">
        <v>4907</v>
      </c>
      <c r="G36" s="618"/>
      <c r="H36" s="870" t="str">
        <f>IF(AND('事業所排出量内訳 (第3年度)'!$V$4=0,
                 COUNTBLANK('事業所排出量内訳 (第3年度)'!I21:J21)
                +COUNTBLANK('事業所排出量内訳 (第3年度)'!I29:J29)
                +COUNTBLANK('事業所排出量内訳 (第3年度)'!V63)=5),"",'事業所排出量内訳 (第3年度)'!$Z$16*100)</f>
        <v/>
      </c>
      <c r="I36" s="871"/>
      <c r="J36" s="546" t="s">
        <v>87</v>
      </c>
      <c r="K36" s="619" t="s">
        <v>4908</v>
      </c>
      <c r="L36" s="618"/>
      <c r="M36" s="870" t="str">
        <f>IF(AND('事業所排出量内訳 (第3年度)'!$V$4=0,
                 COUNTBLANK('事業所排出量内訳 (第3年度)'!I21:J21)
                +COUNTBLANK('事業所排出量内訳 (第3年度)'!I29:J29)
                +COUNTBLANK('事業所排出量内訳 (第3年度)'!V63)=5),"",'事業所排出量内訳 (第3年度)'!$Z$12*100)</f>
        <v/>
      </c>
      <c r="N36" s="871"/>
      <c r="O36" s="546" t="s">
        <v>87</v>
      </c>
      <c r="P36" s="528"/>
      <c r="Q36" s="13"/>
    </row>
    <row r="37" spans="1:19" s="12" customFormat="1" ht="72" customHeight="1">
      <c r="A37" s="610" t="s">
        <v>4123</v>
      </c>
      <c r="B37" s="610"/>
      <c r="C37" s="872"/>
      <c r="D37" s="872"/>
      <c r="E37" s="872"/>
      <c r="F37" s="872"/>
      <c r="G37" s="872"/>
      <c r="H37" s="872"/>
      <c r="I37" s="872"/>
      <c r="J37" s="872"/>
      <c r="K37" s="872"/>
      <c r="L37" s="872"/>
      <c r="M37" s="872"/>
      <c r="N37" s="872"/>
      <c r="O37" s="872"/>
      <c r="P37" s="872"/>
      <c r="Q37" s="13"/>
    </row>
    <row r="38" spans="1:19" s="12" customFormat="1" ht="16.2">
      <c r="Q38" s="13"/>
    </row>
    <row r="39" spans="1:19" s="12" customFormat="1" ht="16.2">
      <c r="Q39" s="13"/>
    </row>
    <row r="40" spans="1:19" s="12" customFormat="1" ht="16.2">
      <c r="Q40" s="13"/>
    </row>
    <row r="41" spans="1:19" s="12" customFormat="1" ht="17.399999999999999">
      <c r="Q41" s="13"/>
      <c r="S41" s="1"/>
    </row>
    <row r="42" spans="1:19" s="12" customFormat="1" ht="17.399999999999999">
      <c r="Q42" s="13"/>
      <c r="S42" s="1"/>
    </row>
    <row r="43" spans="1:19" ht="17.399999999999999">
      <c r="A43" s="12"/>
      <c r="B43" s="12"/>
      <c r="C43" s="12"/>
      <c r="D43" s="12"/>
      <c r="E43" s="12"/>
      <c r="F43" s="12"/>
      <c r="G43" s="12"/>
      <c r="H43" s="12"/>
      <c r="I43" s="12"/>
      <c r="J43" s="12"/>
      <c r="K43" s="12"/>
      <c r="L43" s="12"/>
      <c r="M43" s="12"/>
      <c r="N43" s="12"/>
      <c r="O43" s="12"/>
      <c r="P43" s="12"/>
      <c r="Q43" s="13"/>
      <c r="R43" s="12"/>
    </row>
  </sheetData>
  <sheetProtection algorithmName="SHA-512" hashValue="on/PENnJlRttOFj8p70B715kK0uysVae92fg34necKZDD0iQoxQX+JaSyFbKsC5UAC5I41enEswPWw4L15HVYA==" saltValue="8FehD2GqDaQNbAEnTFHJAA==" spinCount="100000" sheet="1" objects="1" scenarios="1" selectLockedCells="1"/>
  <mergeCells count="85">
    <mergeCell ref="K25:L25"/>
    <mergeCell ref="M25:N25"/>
    <mergeCell ref="M36:N36"/>
    <mergeCell ref="A37:B37"/>
    <mergeCell ref="C37:P37"/>
    <mergeCell ref="C33:P33"/>
    <mergeCell ref="A34:B36"/>
    <mergeCell ref="C34:D35"/>
    <mergeCell ref="E34:E35"/>
    <mergeCell ref="F34:G34"/>
    <mergeCell ref="H34:I34"/>
    <mergeCell ref="K34:L34"/>
    <mergeCell ref="M34:N34"/>
    <mergeCell ref="F35:G35"/>
    <mergeCell ref="H35:I35"/>
    <mergeCell ref="K35:L35"/>
    <mergeCell ref="M35:N35"/>
    <mergeCell ref="C36:E36"/>
    <mergeCell ref="F36:G36"/>
    <mergeCell ref="H36:I36"/>
    <mergeCell ref="K36:L36"/>
    <mergeCell ref="C32:E32"/>
    <mergeCell ref="F30:G30"/>
    <mergeCell ref="H30:I30"/>
    <mergeCell ref="K30:L30"/>
    <mergeCell ref="M30:N30"/>
    <mergeCell ref="A8:D8"/>
    <mergeCell ref="E8:P8"/>
    <mergeCell ref="C3:L3"/>
    <mergeCell ref="A6:D6"/>
    <mergeCell ref="E6:P6"/>
    <mergeCell ref="A7:D7"/>
    <mergeCell ref="E7:P7"/>
    <mergeCell ref="M22:N22"/>
    <mergeCell ref="A9:D9"/>
    <mergeCell ref="E9:P9"/>
    <mergeCell ref="A22:B22"/>
    <mergeCell ref="C22:D22"/>
    <mergeCell ref="F22:G22"/>
    <mergeCell ref="H22:I22"/>
    <mergeCell ref="K22:L22"/>
    <mergeCell ref="C23:D24"/>
    <mergeCell ref="E23:E24"/>
    <mergeCell ref="F23:G23"/>
    <mergeCell ref="H23:I23"/>
    <mergeCell ref="A23:B25"/>
    <mergeCell ref="C25:E25"/>
    <mergeCell ref="F25:G25"/>
    <mergeCell ref="H25:I25"/>
    <mergeCell ref="K23:L23"/>
    <mergeCell ref="M23:N23"/>
    <mergeCell ref="F24:G24"/>
    <mergeCell ref="H24:I24"/>
    <mergeCell ref="K24:L24"/>
    <mergeCell ref="M24:N24"/>
    <mergeCell ref="C26:D27"/>
    <mergeCell ref="E26:E27"/>
    <mergeCell ref="F26:G26"/>
    <mergeCell ref="H26:I26"/>
    <mergeCell ref="A26:B28"/>
    <mergeCell ref="C28:E28"/>
    <mergeCell ref="F28:G28"/>
    <mergeCell ref="H28:I28"/>
    <mergeCell ref="K26:L26"/>
    <mergeCell ref="M26:N26"/>
    <mergeCell ref="F27:G27"/>
    <mergeCell ref="H27:I27"/>
    <mergeCell ref="K27:L27"/>
    <mergeCell ref="M27:N27"/>
    <mergeCell ref="A33:B33"/>
    <mergeCell ref="K28:L28"/>
    <mergeCell ref="M28:N28"/>
    <mergeCell ref="A29:B29"/>
    <mergeCell ref="F32:G32"/>
    <mergeCell ref="H32:I32"/>
    <mergeCell ref="K32:L32"/>
    <mergeCell ref="M32:N32"/>
    <mergeCell ref="C29:P29"/>
    <mergeCell ref="A30:B32"/>
    <mergeCell ref="C30:D31"/>
    <mergeCell ref="E30:E31"/>
    <mergeCell ref="F31:G31"/>
    <mergeCell ref="H31:I31"/>
    <mergeCell ref="K31:L31"/>
    <mergeCell ref="M31:N31"/>
  </mergeCells>
  <phoneticPr fontId="1"/>
  <conditionalFormatting sqref="C29">
    <cfRule type="expression" dxfId="60" priority="11" stopIfTrue="1">
      <formula>$C$29&lt;&gt;""</formula>
    </cfRule>
  </conditionalFormatting>
  <conditionalFormatting sqref="C33">
    <cfRule type="expression" dxfId="59" priority="10" stopIfTrue="1">
      <formula>$C$33&lt;&gt;""</formula>
    </cfRule>
  </conditionalFormatting>
  <conditionalFormatting sqref="C37">
    <cfRule type="expression" dxfId="58" priority="9" stopIfTrue="1">
      <formula>$C$37&lt;&gt;""</formula>
    </cfRule>
  </conditionalFormatting>
  <conditionalFormatting sqref="H25">
    <cfRule type="expression" dxfId="57" priority="1" stopIfTrue="1">
      <formula>$H25&lt;&gt;""</formula>
    </cfRule>
  </conditionalFormatting>
  <conditionalFormatting sqref="H28">
    <cfRule type="expression" dxfId="56" priority="4" stopIfTrue="1">
      <formula>$H28&lt;&gt;""</formula>
    </cfRule>
  </conditionalFormatting>
  <conditionalFormatting sqref="H32">
    <cfRule type="expression" dxfId="55" priority="6" stopIfTrue="1">
      <formula>$H32&lt;&gt;""</formula>
    </cfRule>
  </conditionalFormatting>
  <conditionalFormatting sqref="H36">
    <cfRule type="expression" dxfId="54" priority="8" stopIfTrue="1">
      <formula>$H36&lt;&gt;""</formula>
    </cfRule>
  </conditionalFormatting>
  <conditionalFormatting sqref="M25">
    <cfRule type="expression" dxfId="53" priority="2" stopIfTrue="1">
      <formula>$M25&lt;&gt;""</formula>
    </cfRule>
  </conditionalFormatting>
  <conditionalFormatting sqref="M28">
    <cfRule type="expression" dxfId="52" priority="3" stopIfTrue="1">
      <formula>$H28&lt;&gt;""</formula>
    </cfRule>
  </conditionalFormatting>
  <conditionalFormatting sqref="M32">
    <cfRule type="expression" dxfId="51" priority="5" stopIfTrue="1">
      <formula>$H32&lt;&gt;""</formula>
    </cfRule>
  </conditionalFormatting>
  <conditionalFormatting sqref="M36">
    <cfRule type="expression" dxfId="50" priority="7" stopIfTrue="1">
      <formula>$H36&lt;&gt;""</formula>
    </cfRule>
  </conditionalFormatting>
  <dataValidations count="2">
    <dataValidation imeMode="hiragana" allowBlank="1" showInputMessage="1" showErrorMessage="1" sqref="C37:P37 C33:P33 C29:P29" xr:uid="{7438D9F6-B2EA-4CCC-8FD2-39CA666D95DA}"/>
    <dataValidation imeMode="halfAlpha" allowBlank="1" showInputMessage="1" showErrorMessage="1" sqref="M36 H36 M32 H32 M28 H28 M25 H25" xr:uid="{AB62BE05-A420-4C8D-9DA3-181BFB565E85}"/>
  </dataValidations>
  <pageMargins left="0.70866141732283472" right="0.51181102362204722" top="0.55118110236220474" bottom="0.55118110236220474" header="0.31496062992125984" footer="0.31496062992125984"/>
  <pageSetup paperSize="9" scale="85" orientation="portrait" r:id="rId1"/>
  <headerFooter>
    <oddHeader>&amp;L様式第２号</oddHeader>
    <oddFooter>&amp;R&amp;8（一般事業所等用）</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64</vt:i4>
      </vt:variant>
    </vt:vector>
  </HeadingPairs>
  <TitlesOfParts>
    <vt:vector size="85" baseType="lpstr">
      <vt:lpstr>はじめに</vt:lpstr>
      <vt:lpstr>計画書①（事業所概要・目標）</vt:lpstr>
      <vt:lpstr>計画書② (取組）</vt:lpstr>
      <vt:lpstr>計画書③（任意記載）</vt:lpstr>
      <vt:lpstr>計算シート（基準年度）</vt:lpstr>
      <vt:lpstr>事業所排出量内訳 (基準年度)</vt:lpstr>
      <vt:lpstr>計画書提出書</vt:lpstr>
      <vt:lpstr>計画書（公表用）</vt:lpstr>
      <vt:lpstr>報告書①（事業所概要・実績）</vt:lpstr>
      <vt:lpstr>報告書② 第1年度(取組）</vt:lpstr>
      <vt:lpstr>報告書② 第2年度(取組）</vt:lpstr>
      <vt:lpstr>報告書② 第3年度(取組）</vt:lpstr>
      <vt:lpstr>報告書③（任意記載）</vt:lpstr>
      <vt:lpstr>計算シート（第１～第３年度）</vt:lpstr>
      <vt:lpstr>事業所排出量内訳 (第1年度)</vt:lpstr>
      <vt:lpstr>事業所排出量内訳 (第2年度)</vt:lpstr>
      <vt:lpstr>事業所排出量内訳 (第3年度)</vt:lpstr>
      <vt:lpstr>報告書提出書</vt:lpstr>
      <vt:lpstr>報告書（公表用）</vt:lpstr>
      <vt:lpstr>委任状</vt:lpstr>
      <vt:lpstr>評価点まとめ</vt:lpstr>
      <vt:lpstr>はじめに!Print_Area</vt:lpstr>
      <vt:lpstr>係数!Print_Area</vt:lpstr>
      <vt:lpstr>'計画書（公表用）'!Print_Area</vt:lpstr>
      <vt:lpstr>'計画書①（事業所概要・目標）'!Print_Area</vt:lpstr>
      <vt:lpstr>'計画書② (取組）'!Print_Area</vt:lpstr>
      <vt:lpstr>'計画書③（任意記載）'!Print_Area</vt:lpstr>
      <vt:lpstr>計画書提出書!Print_Area</vt:lpstr>
      <vt:lpstr>'計算シート（基準年度）'!Print_Area</vt:lpstr>
      <vt:lpstr>'計算シート（第１～第３年度）'!Print_Area</vt:lpstr>
      <vt:lpstr>'事業所排出量内訳 (基準年度)'!Print_Area</vt:lpstr>
      <vt:lpstr>'事業所排出量内訳 (第1年度)'!Print_Area</vt:lpstr>
      <vt:lpstr>'事業所排出量内訳 (第2年度)'!Print_Area</vt:lpstr>
      <vt:lpstr>'事業所排出量内訳 (第3年度)'!Print_Area</vt:lpstr>
      <vt:lpstr>'報告書（公表用）'!Print_Area</vt:lpstr>
      <vt:lpstr>'報告書①（事業所概要・実績）'!Print_Area</vt:lpstr>
      <vt:lpstr>'報告書② 第1年度(取組）'!Print_Area</vt:lpstr>
      <vt:lpstr>'報告書② 第2年度(取組）'!Print_Area</vt:lpstr>
      <vt:lpstr>'報告書② 第3年度(取組）'!Print_Area</vt:lpstr>
      <vt:lpstr>'報告書③（任意記載）'!Print_Area</vt:lpstr>
      <vt:lpstr>報告書提出書!Print_Area</vt:lpstr>
      <vt:lpstr>その他対策</vt:lpstr>
      <vt:lpstr>'事業所排出量内訳 (基準年度)'!一般その他化石2022</vt:lpstr>
      <vt:lpstr>'事業所排出量内訳 (第1年度)'!一般その他化石2022</vt:lpstr>
      <vt:lpstr>'事業所排出量内訳 (第2年度)'!一般その他化石2022</vt:lpstr>
      <vt:lpstr>'事業所排出量内訳 (第3年度)'!一般その他化石2022</vt:lpstr>
      <vt:lpstr>'事業所排出量内訳 (基準年度)'!一般その他化石2023</vt:lpstr>
      <vt:lpstr>'事業所排出量内訳 (第1年度)'!一般その他化石2023</vt:lpstr>
      <vt:lpstr>'事業所排出量内訳 (第2年度)'!一般その他化石2023</vt:lpstr>
      <vt:lpstr>'事業所排出量内訳 (第3年度)'!一般その他化石2023</vt:lpstr>
      <vt:lpstr>'事業所排出量内訳 (基準年度)'!一般その他非化石2022</vt:lpstr>
      <vt:lpstr>'事業所排出量内訳 (第1年度)'!一般その他非化石2022</vt:lpstr>
      <vt:lpstr>'事業所排出量内訳 (第2年度)'!一般その他非化石2022</vt:lpstr>
      <vt:lpstr>'事業所排出量内訳 (第3年度)'!一般その他非化石2022</vt:lpstr>
      <vt:lpstr>'事業所排出量内訳 (基準年度)'!一般その他非化石2023</vt:lpstr>
      <vt:lpstr>'事業所排出量内訳 (第1年度)'!一般その他非化石2023</vt:lpstr>
      <vt:lpstr>'事業所排出量内訳 (第2年度)'!一般その他非化石2023</vt:lpstr>
      <vt:lpstr>'事業所排出量内訳 (第3年度)'!一般その他非化石2023</vt:lpstr>
      <vt:lpstr>基本対策</vt:lpstr>
      <vt:lpstr>係数2022</vt:lpstr>
      <vt:lpstr>係数2023</vt:lpstr>
      <vt:lpstr>細分類</vt:lpstr>
      <vt:lpstr>小分類</vt:lpstr>
      <vt:lpstr>選択対策</vt:lpstr>
      <vt:lpstr>中分類</vt:lpstr>
      <vt:lpstr>転記データアドレス</vt:lpstr>
      <vt:lpstr>入力欄_はじめに</vt:lpstr>
      <vt:lpstr>入力欄_計画書①</vt:lpstr>
      <vt:lpstr>入力欄_計画書②</vt:lpstr>
      <vt:lpstr>入力欄_計画書③</vt:lpstr>
      <vt:lpstr>入力欄_計算シート1</vt:lpstr>
      <vt:lpstr>入力欄_計算シート2</vt:lpstr>
      <vt:lpstr>入力欄_計算シート3</vt:lpstr>
      <vt:lpstr>入力欄_計算シート基準年度</vt:lpstr>
      <vt:lpstr>入力欄_排出量内訳_基準年度</vt:lpstr>
      <vt:lpstr>入力欄_排出量内訳_第1年度</vt:lpstr>
      <vt:lpstr>入力欄_排出量内訳_第2年度</vt:lpstr>
      <vt:lpstr>入力欄_排出量内訳_第3年度</vt:lpstr>
      <vt:lpstr>入力欄_報告書①</vt:lpstr>
      <vt:lpstr>入力欄_報告書②1</vt:lpstr>
      <vt:lpstr>入力欄_報告書②2</vt:lpstr>
      <vt:lpstr>入力欄_報告書②3</vt:lpstr>
      <vt:lpstr>入力欄_報告書③</vt:lpstr>
      <vt:lpstr>非化石燃料</vt:lpstr>
      <vt:lpstr>非化石燃料2023</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dc:creator>
  <cp:lastModifiedBy>細井 秀彦</cp:lastModifiedBy>
  <cp:lastPrinted>2024-07-09T04:24:19Z</cp:lastPrinted>
  <dcterms:created xsi:type="dcterms:W3CDTF">2018-03-15T09:01:59Z</dcterms:created>
  <dcterms:modified xsi:type="dcterms:W3CDTF">2024-07-12T00:51:44Z</dcterms:modified>
</cp:coreProperties>
</file>