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192.168.20.240\令和7年度温室効果ガス削減運営支援等\令和7年度温室効果ガス削減アクションプログラム運営支援等業務\02_データ\4. 第三計画期間様式等の検討・作成\作業ファイル\99_特定運送事業者\"/>
    </mc:Choice>
  </mc:AlternateContent>
  <xr:revisionPtr revIDLastSave="0" documentId="13_ncr:1_{1872F38E-8F59-4335-9367-37A23364367C}" xr6:coauthVersionLast="47" xr6:coauthVersionMax="47" xr10:uidLastSave="{00000000-0000-0000-0000-000000000000}"/>
  <workbookProtection workbookAlgorithmName="SHA-512" workbookHashValue="ixmhAVMyCqMiOoiz7uuJs5VtPtTICVz9yWEirr5SlWPifNv7g1cUmEwzkZaHj4WmYPKf4zBsfcyUvBxK7SWgXQ==" workbookSaltValue="9Cb5SsolS38i7SuTpbC8KQ==" workbookSpinCount="100000" lockStructure="1"/>
  <bookViews>
    <workbookView xWindow="-120" yWindow="-16320" windowWidth="29040" windowHeight="15720" tabRatio="908" xr2:uid="{00000000-000D-0000-FFFF-FFFF00000000}"/>
  </bookViews>
  <sheets>
    <sheet name="メニュー" sheetId="92" r:id="rId1"/>
    <sheet name="入力シート（事業者情報）" sheetId="2" r:id="rId2"/>
    <sheet name="入力シート（計画書）" sheetId="11" r:id="rId3"/>
    <sheet name="入力シート（第１年度報告書）" sheetId="44" r:id="rId4"/>
    <sheet name="入力シート（第２年度報告書）" sheetId="45" r:id="rId5"/>
    <sheet name="入力シート（第３年度報告書）" sheetId="46" r:id="rId6"/>
    <sheet name="P1" sheetId="57" r:id="rId7"/>
    <sheet name="P2" sheetId="1" r:id="rId8"/>
    <sheet name="P3" sheetId="18" r:id="rId9"/>
    <sheet name="R1-1" sheetId="58" r:id="rId10"/>
    <sheet name="R1-2" sheetId="59" r:id="rId11"/>
    <sheet name="R1-3" sheetId="60" r:id="rId12"/>
    <sheet name="R2" sheetId="21" r:id="rId13"/>
    <sheet name="R3" sheetId="22" r:id="rId14"/>
    <sheet name="委任状" sheetId="6" r:id="rId15"/>
    <sheet name="評価点まとめ" sheetId="93" r:id="rId16"/>
    <sheet name="基本設定シート" sheetId="83" state="hidden" r:id="rId17"/>
    <sheet name="入力シートのタイトルメッセージ" sheetId="95" state="hidden" r:id="rId18"/>
    <sheet name="対策リスト" sheetId="31" state="hidden" r:id="rId19"/>
    <sheet name="係数" sheetId="56" state="hidden" r:id="rId20"/>
    <sheet name="産業分類" sheetId="19" state="hidden" r:id="rId21"/>
  </sheets>
  <definedNames>
    <definedName name="_xlnm.Print_Area" localSheetId="6">'P1'!$C$1:$Y$72</definedName>
    <definedName name="_xlnm.Print_Area" localSheetId="7">'P2'!$A$1:$Q$32</definedName>
    <definedName name="_xlnm.Print_Area" localSheetId="8">'P3'!$A$1:$P$47</definedName>
    <definedName name="_xlnm.Print_Area" localSheetId="9">'R1-1'!$C$1:$Y$72</definedName>
    <definedName name="_xlnm.Print_Area" localSheetId="10">'R1-2'!$C$1:$Y$72</definedName>
    <definedName name="_xlnm.Print_Area" localSheetId="11">'R1-3'!$C$1:$Y$72</definedName>
    <definedName name="_xlnm.Print_Area" localSheetId="12">'R2'!$C$4:$S$35</definedName>
    <definedName name="_xlnm.Print_Area" localSheetId="13">'R3'!$C$4:$R$62</definedName>
    <definedName name="_xlnm.Print_Area" localSheetId="0">メニュー!$A$1:$H$31</definedName>
    <definedName name="_xlnm.Print_Area" localSheetId="14">委任状!$A$1:$Q$27</definedName>
    <definedName name="_xlnm.Print_Area" localSheetId="19">係数!$B$1:$L$80,係数!#REF!</definedName>
    <definedName name="_xlnm.Print_Area" localSheetId="2">'入力シート（計画書）'!$D$1:$T$238</definedName>
    <definedName name="_xlnm.Print_Area" localSheetId="1">'入力シート（事業者情報）'!$A$1:$N$24</definedName>
    <definedName name="_xlnm.Print_Area" localSheetId="3">'入力シート（第１年度報告書）'!$A$1:$T$269</definedName>
    <definedName name="_xlnm.Print_Area" localSheetId="4">'入力シート（第２年度報告書）'!$D$1:$T$269</definedName>
    <definedName name="_xlnm.Print_Area" localSheetId="5">'入力シート（第３年度報告書）'!$A$1:$T$269</definedName>
    <definedName name="_xlnm.Print_Area" localSheetId="15">評価点まとめ!$A$1:$M$55</definedName>
    <definedName name="その他対策">対策リスト!$J$3:$J$15</definedName>
    <definedName name="基準年リスト">基本設定シート!$AG$1:$AG$4</definedName>
    <definedName name="基本対策">対策リスト!$B$3:$C$32</definedName>
    <definedName name="係数2022">係数!$U$3:$AE$80</definedName>
    <definedName name="係数2025">係数!$C$3:$L$79</definedName>
    <definedName name="罫線0_0a">基本設定シート!$AQ$41:$AR$41</definedName>
    <definedName name="罫線0_0b">基本設定シート!$AS$41</definedName>
    <definedName name="罫線0_1a">基本設定シート!$AQ$43:$AR$43</definedName>
    <definedName name="罫線0_1b">基本設定シート!$AS$43</definedName>
    <definedName name="罫線0a">INDIRECT('P1'!#REF!)</definedName>
    <definedName name="罫線0b">INDIRECT('P1'!#REF!)</definedName>
    <definedName name="罫線1_0a">基本設定シート!$AQ$41:$AR$41</definedName>
    <definedName name="罫線1_0b">基本設定シート!$AS$41</definedName>
    <definedName name="罫線1_1a">基本設定シート!$AQ$43:$AR$43</definedName>
    <definedName name="罫線1_1b">基本設定シート!$AS$43</definedName>
    <definedName name="罫線1a">INDIRECT('R1-1'!#REF!)</definedName>
    <definedName name="罫線1b">INDIRECT('R1-1'!#REF!)</definedName>
    <definedName name="罫線2_0a">基本設定シート!$AQ$41:$AR$41</definedName>
    <definedName name="罫線2_0b">基本設定シート!$AQ$41</definedName>
    <definedName name="罫線2_1a">基本設定シート!$AQ$43:$AR$43</definedName>
    <definedName name="罫線2_1b">基本設定シート!$AS$43</definedName>
    <definedName name="罫線2a">INDIRECT('R1-2'!#REF!)</definedName>
    <definedName name="罫線2b">INDIRECT('R1-2'!#REF!)</definedName>
    <definedName name="罫線3_0a">基本設定シート!$AQ$41:$AR$41</definedName>
    <definedName name="罫線3_0b">基本設定シート!$AQ$41</definedName>
    <definedName name="罫線3_1a">基本設定シート!$AQ$43:$AR$43</definedName>
    <definedName name="罫線3_1b">基本設定シート!$AS$43</definedName>
    <definedName name="罫線3a">INDIRECT('R1-3'!#REF!)</definedName>
    <definedName name="罫線3b">INDIRECT('R1-3'!#REF!)</definedName>
    <definedName name="月対応日付リスト">OFFSET(日付リスト, 0, 0, '入力シート（計画書）'!$U$3, 1)</definedName>
    <definedName name="月対応日付リスト1">OFFSET(日付リスト, 0, 0, '入力シート（第１年度報告書）'!$U$3, 1)</definedName>
    <definedName name="月対応日付リスト2">OFFSET(日付リスト, 0, 0,'入力シート（第２年度報告書）'!$U$3,1)</definedName>
    <definedName name="月対応日付リスト3">OFFSET(日付リスト, 0, 0,'入力シート（第３年度報告書）'!$U$3, 1)</definedName>
    <definedName name="月対応日付リスト委任状">OFFSET(日付リスト, 0, 0,委任状!$Z$1, 1)</definedName>
    <definedName name="検索ツール画像">INDIRECT('入力シート（計画書）'!$AA$36)</definedName>
    <definedName name="検索ツール画像1">INDIRECT('入力シート（第１年度報告書）'!$AA$36)</definedName>
    <definedName name="検索ツール画像2">INDIRECT('入力シート（第２年度報告書）'!$AA$36)</definedName>
    <definedName name="検索ツール画像3">INDIRECT('入力シート（第３年度報告書）'!$AA$36)</definedName>
    <definedName name="検索ツール画像A">基本設定シート!$AV$46</definedName>
    <definedName name="検索ツール画像B">基本設定シート!$AV$48</definedName>
    <definedName name="細分類">産業分類!$G$2:$H$1460</definedName>
    <definedName name="取組年度リスト">'入力シート（計画書）'!$AB$163</definedName>
    <definedName name="取組年度リスト1">基本設定シート!$M$1:$M$4</definedName>
    <definedName name="取組年度リスト2">基本設定シート!$O$1:$O$3</definedName>
    <definedName name="取組年度リスト3">基本設定シート!$Q$1:$Q$2</definedName>
    <definedName name="小分類">産業分類!$D$2:$E$531</definedName>
    <definedName name="選択取組年度リスト">OFFSET(取組年度リスト1, 0, 0,'入力シート（計画書）'!$AB$164, 1)</definedName>
    <definedName name="選択対策">対策リスト!$F$3:$G$34</definedName>
    <definedName name="中分類">産業分類!$A$2:$B$100</definedName>
    <definedName name="電気の使用量等_1_2_1">'入力シート（第１年度報告書）'!$D$50,'入力シート（第１年度報告書）'!$D$53:$D$60</definedName>
    <definedName name="電気の使用量等_1_3_1" localSheetId="3">'入力シート（第１年度報告書）'!#REF!,'入力シート（第１年度報告書）'!#REF!</definedName>
    <definedName name="日付リスト">基本設定シート!$AI$1:$AI$31</definedName>
    <definedName name="入力欄_はじめに">'入力シート（事業者情報）'!$E$4:$E$4,'入力シート（事業者情報）'!#REF!,'入力シート（事業者情報）'!#REF!,'入力シート（事業者情報）'!$E$5:$N$8,'入力シート（事業者情報）'!$E$12:$N$12,'入力シート（事業者情報）'!$F$13,'入力シート（事業者情報）'!$H$13,'入力シート（事業者情報）'!$E$14:$N$14,'入力シート（事業者情報）'!$E$15,'入力シート（事業者情報）'!$F$15:$H$15,'入力シート（事業者情報）'!$E$17:$F$18,'入力シート（事業者情報）'!$E$19:$N$19,'入力シート（事業者情報）'!$F$20,'入力シート（事業者情報）'!$H$20,'入力シート（事業者情報）'!$E$21:$N$24,'入力シート（事業者情報）'!#REF!,'入力シート（事業者情報）'!#REF!,'入力シート（事業者情報）'!#REF!,'入力シート（事業者情報）'!#REF!</definedName>
    <definedName name="入力欄_基準年度_排出量内訳">'P1'!$I$6:$J$17,'P1'!#REF!,'P1'!#REF!,'P1'!$W$23:$X$23,'P1'!#REF!,'P1'!#REF!,'P1'!#REF!,'P1'!#REF!,'P1'!#REF!,'P1'!#REF!,'P1'!#REF!,'P1'!#REF!,'P1'!#REF!,'P1'!#REF!,'P1'!#REF!,'P1'!#REF!,'P1'!#REF!,'P1'!#REF!,'P1'!#REF!,'P1'!$U$28:$X$32,'P1'!$G$29:$H$35,'P1'!$C$42:$H$48,'P1'!$W$38:$W$40,'P1'!#REF!,'P1'!$X$40,'P1'!$V$41:$X$42,'P1'!$W$48:$Y$48,'P1'!$W$52:$W$55,'P1'!$G$55:$H$57</definedName>
    <definedName name="入力欄_計画書②">'入力シート（計画書）'!$N$164:$O$193,'入力シート（計画書）'!$F$203:$F$212,'入力シート（計画書）'!$N$203:$O$211,'入力シート（計画書）'!$F$223:$O$232</definedName>
    <definedName name="入力欄_報告書②1">'入力シート（第１年度報告書）'!$O$164:$O$193,'入力シート（第１年度報告書）'!$O$203:$O$211,'入力シート（第１年度報告書）'!$O$223:$O$232,'入力シート（第１年度報告書）'!$F$246:$F$254,'入力シート（第１年度報告書）'!$F$258:$I$267,'入力シート（第１年度報告書）'!#REF!</definedName>
    <definedName name="入力欄_報告書②2">'入力シート（第２年度報告書）'!$P$164:$P$193,'入力シート（第２年度報告書）'!#REF!,'入力シート（第２年度報告書）'!$P$203:$P$211,'入力シート（第２年度報告書）'!$P$223:$P$232,'入力シート（第２年度報告書）'!$F$246:$F$254,'入力シート（第２年度報告書）'!$F$258:$I$267</definedName>
    <definedName name="入力欄_報告書②3">'入力シート（第３年度報告書）'!$Q$164:$Q$193,'入力シート（第３年度報告書）'!#REF!,'入力シート（第３年度報告書）'!$Q$203:$Q$211,'入力シート（第３年度報告書）'!$Q$223:$Q$232,'入力シート（第３年度報告書）'!$F$246:$F$254,'入力シート（第３年度報告書）'!$F$258:$I$267</definedName>
    <definedName name="年リスト">基本設定シート!$AK$1:$AK$5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7" i="18" l="1"/>
  <c r="F35" i="22" l="1"/>
  <c r="K32" i="22"/>
  <c r="F31" i="22"/>
  <c r="K28" i="22"/>
  <c r="F27" i="22"/>
  <c r="K24" i="22"/>
  <c r="F24" i="22"/>
  <c r="P26" i="22" s="1"/>
  <c r="Q136" i="46"/>
  <c r="P23" i="22" s="1"/>
  <c r="Q136" i="45"/>
  <c r="Q136" i="44"/>
  <c r="N121" i="44"/>
  <c r="N121" i="45"/>
  <c r="N121" i="46"/>
  <c r="N121" i="11"/>
  <c r="G121" i="44"/>
  <c r="G121" i="45"/>
  <c r="G121" i="46"/>
  <c r="G121" i="11"/>
  <c r="P25" i="22" l="1"/>
  <c r="K14" i="60" l="1"/>
  <c r="K13" i="60"/>
  <c r="K12" i="60"/>
  <c r="K11" i="60"/>
  <c r="K10" i="60"/>
  <c r="K9" i="60"/>
  <c r="K8" i="60"/>
  <c r="K7" i="60"/>
  <c r="K6" i="60"/>
  <c r="K14" i="59"/>
  <c r="K13" i="59"/>
  <c r="K12" i="59"/>
  <c r="K11" i="59"/>
  <c r="K10" i="59"/>
  <c r="K9" i="59"/>
  <c r="K8" i="59"/>
  <c r="K7" i="59"/>
  <c r="K6" i="59"/>
  <c r="K14" i="58"/>
  <c r="K13" i="58"/>
  <c r="K12" i="58"/>
  <c r="K11" i="58"/>
  <c r="K10" i="58"/>
  <c r="K9" i="58"/>
  <c r="K8" i="58"/>
  <c r="K7" i="58"/>
  <c r="K6" i="58"/>
  <c r="K14" i="57"/>
  <c r="K13" i="57"/>
  <c r="K12" i="57"/>
  <c r="K11" i="57"/>
  <c r="K10" i="57"/>
  <c r="K9" i="57"/>
  <c r="K8" i="57"/>
  <c r="K7" i="57"/>
  <c r="K6" i="57"/>
  <c r="G35" i="59" l="1"/>
  <c r="G34" i="59"/>
  <c r="G33" i="59"/>
  <c r="G32" i="59"/>
  <c r="G31" i="59"/>
  <c r="G30" i="59"/>
  <c r="G29" i="59"/>
  <c r="G35" i="60"/>
  <c r="G34" i="60"/>
  <c r="G33" i="60"/>
  <c r="G32" i="60"/>
  <c r="G31" i="60"/>
  <c r="G30" i="60"/>
  <c r="G29" i="60"/>
  <c r="AB4" i="22"/>
  <c r="B27" i="18"/>
  <c r="N27" i="18" s="1"/>
  <c r="E238" i="44" l="1"/>
  <c r="AA6" i="21" l="1"/>
  <c r="S9" i="21" s="1"/>
  <c r="AB7" i="21"/>
  <c r="AB6" i="21"/>
  <c r="AB5" i="21"/>
  <c r="AA7" i="21" l="1" a="1"/>
  <c r="AA7" i="21" s="1"/>
  <c r="D21" i="18" l="1"/>
  <c r="W42" i="60" l="1"/>
  <c r="W41" i="60"/>
  <c r="W40" i="60"/>
  <c r="W39" i="60"/>
  <c r="W38" i="60"/>
  <c r="K21" i="60" s="1"/>
  <c r="N21" i="60" s="1"/>
  <c r="W42" i="59"/>
  <c r="W41" i="59"/>
  <c r="W40" i="59"/>
  <c r="W39" i="59"/>
  <c r="W38" i="59"/>
  <c r="W42" i="58"/>
  <c r="W41" i="58"/>
  <c r="W40" i="58"/>
  <c r="W39" i="58"/>
  <c r="W38" i="58"/>
  <c r="K21" i="58" s="1"/>
  <c r="N21" i="58" s="1"/>
  <c r="W42" i="57"/>
  <c r="W41" i="57"/>
  <c r="W40" i="57"/>
  <c r="W39" i="57"/>
  <c r="W38" i="57"/>
  <c r="X28" i="57"/>
  <c r="K21" i="59" l="1"/>
  <c r="N21" i="59" s="1"/>
  <c r="K21" i="57"/>
  <c r="N21" i="57" s="1"/>
  <c r="AB2" i="11"/>
  <c r="K8" i="11"/>
  <c r="T1" i="59"/>
  <c r="T2" i="59" s="1"/>
  <c r="T1" i="60"/>
  <c r="T2" i="60" s="1"/>
  <c r="T1" i="58"/>
  <c r="T1" i="57"/>
  <c r="T2" i="58" l="1"/>
  <c r="R143" i="11"/>
  <c r="R140" i="11"/>
  <c r="R137" i="11"/>
  <c r="R134" i="11"/>
  <c r="R130" i="11"/>
  <c r="X42" i="60"/>
  <c r="X41" i="60"/>
  <c r="X40" i="60"/>
  <c r="X39" i="60"/>
  <c r="X38" i="60"/>
  <c r="X32" i="60"/>
  <c r="X31" i="60"/>
  <c r="X30" i="60"/>
  <c r="X29" i="60"/>
  <c r="X28" i="60"/>
  <c r="X42" i="59"/>
  <c r="X41" i="59"/>
  <c r="X40" i="59"/>
  <c r="X39" i="59"/>
  <c r="X38" i="59"/>
  <c r="X32" i="59"/>
  <c r="X31" i="59"/>
  <c r="X30" i="59"/>
  <c r="X29" i="59"/>
  <c r="X28" i="59"/>
  <c r="X42" i="57"/>
  <c r="X41" i="57"/>
  <c r="X40" i="57"/>
  <c r="X39" i="57"/>
  <c r="X38" i="57"/>
  <c r="X32" i="58"/>
  <c r="X31" i="58"/>
  <c r="X30" i="58"/>
  <c r="X29" i="58"/>
  <c r="X28" i="58"/>
  <c r="X42" i="58"/>
  <c r="X41" i="58"/>
  <c r="X40" i="58"/>
  <c r="X39" i="58"/>
  <c r="X38" i="58"/>
  <c r="X32" i="57"/>
  <c r="X31" i="57"/>
  <c r="X30" i="57"/>
  <c r="X29" i="57"/>
  <c r="AB2" i="44"/>
  <c r="AB2" i="45"/>
  <c r="AB2" i="46"/>
  <c r="W24" i="57"/>
  <c r="N14" i="58" l="1"/>
  <c r="E238" i="45" l="1"/>
  <c r="E238" i="46" s="1"/>
  <c r="AB2" i="22" l="1"/>
  <c r="AB5" i="22" s="1"/>
  <c r="D6" i="22" s="1"/>
  <c r="G47" i="18"/>
  <c r="B47" i="18"/>
  <c r="N47" i="18" s="1"/>
  <c r="G46" i="18"/>
  <c r="B46" i="18"/>
  <c r="N46" i="18" s="1"/>
  <c r="G45" i="18"/>
  <c r="B45" i="18"/>
  <c r="N45" i="18" s="1"/>
  <c r="G44" i="18"/>
  <c r="B44" i="18"/>
  <c r="N44" i="18" s="1"/>
  <c r="G43" i="18"/>
  <c r="B43" i="18"/>
  <c r="N43" i="18" s="1"/>
  <c r="G42" i="18"/>
  <c r="B42" i="18"/>
  <c r="N42" i="18" s="1"/>
  <c r="G41" i="18"/>
  <c r="B41" i="18"/>
  <c r="N41" i="18" s="1"/>
  <c r="G40" i="18"/>
  <c r="B40" i="18"/>
  <c r="N40" i="18" s="1"/>
  <c r="G39" i="18"/>
  <c r="B39" i="18"/>
  <c r="N39" i="18" s="1"/>
  <c r="G38" i="18"/>
  <c r="B38" i="18"/>
  <c r="N38" i="18" s="1"/>
  <c r="P57" i="22" l="1"/>
  <c r="P60" i="22"/>
  <c r="P58" i="22"/>
  <c r="P53" i="22"/>
  <c r="P61" i="22"/>
  <c r="P62" i="22"/>
  <c r="P55" i="22"/>
  <c r="P59" i="22"/>
  <c r="P54" i="22"/>
  <c r="P56" i="22"/>
  <c r="P44" i="22"/>
  <c r="P48" i="22"/>
  <c r="P45" i="22"/>
  <c r="P49" i="22"/>
  <c r="P42" i="22"/>
  <c r="P46" i="22"/>
  <c r="P50" i="22"/>
  <c r="P43" i="22"/>
  <c r="P47" i="22"/>
  <c r="W161" i="46"/>
  <c r="W200" i="46"/>
  <c r="W220" i="46"/>
  <c r="K63" i="57"/>
  <c r="W222" i="46" l="1"/>
  <c r="W163" i="46"/>
  <c r="BD3" i="31"/>
  <c r="BD4" i="31"/>
  <c r="BD5" i="31"/>
  <c r="BD6" i="31"/>
  <c r="BD7" i="31"/>
  <c r="BD8" i="31"/>
  <c r="BD9" i="31"/>
  <c r="BD10" i="31"/>
  <c r="BD11" i="31"/>
  <c r="BD2" i="31"/>
  <c r="BG3" i="31" l="1"/>
  <c r="BG4" i="31"/>
  <c r="BG5" i="31"/>
  <c r="BG6" i="31"/>
  <c r="BG7" i="31"/>
  <c r="BG8" i="31"/>
  <c r="BG9" i="31"/>
  <c r="BG10" i="31"/>
  <c r="BG11" i="31"/>
  <c r="BG2" i="31"/>
  <c r="CG3" i="31"/>
  <c r="CG4" i="31"/>
  <c r="CG5" i="31"/>
  <c r="CG6" i="31"/>
  <c r="CG7" i="31"/>
  <c r="CG8" i="31"/>
  <c r="CG9" i="31"/>
  <c r="CG10" i="31"/>
  <c r="CG11" i="31"/>
  <c r="CG2" i="31"/>
  <c r="AD3" i="31" l="1"/>
  <c r="AD4" i="31"/>
  <c r="AD5" i="31"/>
  <c r="AD6" i="31"/>
  <c r="AD7" i="31"/>
  <c r="AD8" i="31"/>
  <c r="AD9" i="31"/>
  <c r="AD10" i="31"/>
  <c r="B3" i="18" l="1"/>
  <c r="AB5" i="1" l="1"/>
  <c r="AC5" i="1"/>
  <c r="AD5" i="1"/>
  <c r="AE5" i="1"/>
  <c r="AF5" i="1"/>
  <c r="AA5" i="1"/>
  <c r="AG5" i="1" s="1"/>
  <c r="Q6" i="1" s="1"/>
  <c r="AH10" i="21" l="1"/>
  <c r="AG10" i="21"/>
  <c r="AF10" i="21"/>
  <c r="AE10" i="21"/>
  <c r="AD10" i="21"/>
  <c r="AC10" i="21"/>
  <c r="AH9" i="21"/>
  <c r="AG9" i="21"/>
  <c r="AI9" i="21" s="1"/>
  <c r="AB9" i="21" s="1"/>
  <c r="AF9" i="21"/>
  <c r="AE9" i="21"/>
  <c r="AD9" i="21"/>
  <c r="AC9" i="21"/>
  <c r="AH8" i="21"/>
  <c r="AG8" i="21"/>
  <c r="AF8" i="21"/>
  <c r="AE8" i="21"/>
  <c r="AD8" i="21"/>
  <c r="AI8" i="21" s="1"/>
  <c r="AB8" i="21" s="1"/>
  <c r="AC8" i="21"/>
  <c r="AI10" i="21" l="1"/>
  <c r="AB10" i="21" s="1"/>
  <c r="AA36" i="46"/>
  <c r="AA36" i="45"/>
  <c r="AA36" i="44"/>
  <c r="AA36" i="11"/>
  <c r="U24" i="60" l="1"/>
  <c r="U24" i="59"/>
  <c r="U24" i="57"/>
  <c r="U24" i="58"/>
  <c r="N14" i="57"/>
  <c r="M14" i="57"/>
  <c r="L14" i="57"/>
  <c r="M14" i="58"/>
  <c r="L14" i="58"/>
  <c r="N14" i="59"/>
  <c r="M14" i="59"/>
  <c r="L14" i="59"/>
  <c r="N14" i="60"/>
  <c r="M14" i="60"/>
  <c r="L14" i="60"/>
  <c r="W24" i="60"/>
  <c r="X24" i="60"/>
  <c r="W24" i="59"/>
  <c r="X24" i="59"/>
  <c r="X24" i="58"/>
  <c r="W24" i="58"/>
  <c r="X24" i="57"/>
  <c r="M13" i="60"/>
  <c r="M12" i="60"/>
  <c r="M13" i="59"/>
  <c r="M12" i="59"/>
  <c r="M13" i="58"/>
  <c r="M12" i="58"/>
  <c r="M13" i="57"/>
  <c r="M12" i="57"/>
  <c r="R13" i="58" l="1"/>
  <c r="S13" i="58"/>
  <c r="R13" i="59"/>
  <c r="S13" i="59"/>
  <c r="R13" i="60"/>
  <c r="S13" i="60"/>
  <c r="R13" i="57"/>
  <c r="S13" i="57"/>
  <c r="S12" i="58"/>
  <c r="R12" i="58"/>
  <c r="S12" i="59"/>
  <c r="R12" i="59"/>
  <c r="S12" i="60"/>
  <c r="R12" i="60"/>
  <c r="S12" i="57"/>
  <c r="R12" i="57"/>
  <c r="S11" i="58"/>
  <c r="R11" i="58"/>
  <c r="S11" i="59"/>
  <c r="R11" i="59"/>
  <c r="S11" i="60"/>
  <c r="R11" i="60"/>
  <c r="S11" i="57"/>
  <c r="R11" i="57"/>
  <c r="G35" i="58"/>
  <c r="G34" i="58"/>
  <c r="G33" i="58"/>
  <c r="G32" i="58"/>
  <c r="G31" i="58"/>
  <c r="G30" i="58"/>
  <c r="G29" i="58"/>
  <c r="G36" i="59"/>
  <c r="G36" i="60"/>
  <c r="G29" i="57"/>
  <c r="G35" i="57"/>
  <c r="G34" i="57"/>
  <c r="G33" i="57"/>
  <c r="G32" i="57"/>
  <c r="G31" i="57"/>
  <c r="G30" i="57"/>
  <c r="F69" i="59"/>
  <c r="K70" i="59"/>
  <c r="K69" i="59"/>
  <c r="K68" i="59"/>
  <c r="K70" i="60"/>
  <c r="K69" i="60"/>
  <c r="K68" i="60"/>
  <c r="F69" i="60"/>
  <c r="K70" i="58"/>
  <c r="K69" i="58"/>
  <c r="K68" i="58"/>
  <c r="F69" i="58"/>
  <c r="K70" i="57"/>
  <c r="K69" i="57"/>
  <c r="F69" i="57"/>
  <c r="G36" i="57" l="1"/>
  <c r="G36" i="58"/>
  <c r="P8" i="21" l="1"/>
  <c r="N8" i="21"/>
  <c r="R8" i="21"/>
  <c r="AB1" i="11"/>
  <c r="F38" i="11" l="1"/>
  <c r="G134" i="11"/>
  <c r="G130" i="11"/>
  <c r="E66" i="11"/>
  <c r="F53" i="11"/>
  <c r="E81" i="11"/>
  <c r="E110" i="11"/>
  <c r="AD3" i="11"/>
  <c r="AD3" i="44"/>
  <c r="AD3" i="46"/>
  <c r="AD2" i="44"/>
  <c r="U42" i="60" l="1"/>
  <c r="U41" i="60"/>
  <c r="U40" i="60"/>
  <c r="U39" i="60"/>
  <c r="U38" i="60"/>
  <c r="U42" i="59"/>
  <c r="U41" i="59"/>
  <c r="U40" i="59"/>
  <c r="U39" i="59"/>
  <c r="Y38" i="59"/>
  <c r="U38" i="59"/>
  <c r="U42" i="58"/>
  <c r="U41" i="58"/>
  <c r="U40" i="58"/>
  <c r="U39" i="58"/>
  <c r="U38" i="58"/>
  <c r="Y38" i="60"/>
  <c r="U38" i="57"/>
  <c r="U42" i="57"/>
  <c r="U41" i="57"/>
  <c r="U40" i="57"/>
  <c r="U39" i="57"/>
  <c r="N20" i="18"/>
  <c r="F66" i="58"/>
  <c r="F63" i="58"/>
  <c r="F71" i="58" s="1"/>
  <c r="K64" i="58"/>
  <c r="F66" i="59"/>
  <c r="F63" i="59"/>
  <c r="F71" i="59" s="1"/>
  <c r="K63" i="59"/>
  <c r="F66" i="60"/>
  <c r="F63" i="60"/>
  <c r="K63" i="60"/>
  <c r="K67" i="60"/>
  <c r="K66" i="60"/>
  <c r="K65" i="60"/>
  <c r="K64" i="60"/>
  <c r="K67" i="59"/>
  <c r="K66" i="59"/>
  <c r="K65" i="59"/>
  <c r="K64" i="59"/>
  <c r="K67" i="58"/>
  <c r="K66" i="58"/>
  <c r="K65" i="58"/>
  <c r="K63" i="58"/>
  <c r="K71" i="58" s="1"/>
  <c r="K68" i="57"/>
  <c r="K67" i="57"/>
  <c r="K66" i="57"/>
  <c r="K65" i="57"/>
  <c r="K64" i="57"/>
  <c r="F63" i="57"/>
  <c r="F66" i="57"/>
  <c r="F71" i="60" l="1"/>
  <c r="K71" i="59"/>
  <c r="V20" i="59" s="1"/>
  <c r="Q142" i="45" s="1"/>
  <c r="Q142" i="46" s="1"/>
  <c r="K71" i="57"/>
  <c r="K71" i="60"/>
  <c r="F71" i="57"/>
  <c r="V20" i="58"/>
  <c r="Q139" i="44" s="1"/>
  <c r="Q139" i="45" s="1"/>
  <c r="Q139" i="46" s="1"/>
  <c r="W43" i="58"/>
  <c r="Y43" i="58" s="1"/>
  <c r="W43" i="60"/>
  <c r="Y43" i="60" s="1"/>
  <c r="W43" i="59"/>
  <c r="Y43" i="59" s="1"/>
  <c r="W43" i="57"/>
  <c r="Y38" i="57"/>
  <c r="Y38" i="58"/>
  <c r="V20" i="60" l="1"/>
  <c r="Q145" i="46" s="1"/>
  <c r="V20" i="57"/>
  <c r="Q142" i="44"/>
  <c r="Q142" i="11"/>
  <c r="Q139" i="11"/>
  <c r="AC223" i="11"/>
  <c r="X223" i="11"/>
  <c r="X224" i="11"/>
  <c r="X205" i="11"/>
  <c r="X204" i="11"/>
  <c r="X203" i="11"/>
  <c r="X167" i="46"/>
  <c r="F51" i="31"/>
  <c r="G51" i="31"/>
  <c r="F52" i="31"/>
  <c r="G52" i="31"/>
  <c r="F53" i="31"/>
  <c r="G53" i="31"/>
  <c r="F54" i="31"/>
  <c r="G54" i="31"/>
  <c r="F55" i="31"/>
  <c r="G55" i="31"/>
  <c r="F56" i="31"/>
  <c r="G56" i="31"/>
  <c r="F57" i="31"/>
  <c r="G57" i="31"/>
  <c r="F58" i="31"/>
  <c r="G58" i="31"/>
  <c r="F59" i="31"/>
  <c r="G59" i="31"/>
  <c r="N176" i="44"/>
  <c r="N177" i="44"/>
  <c r="N178" i="44"/>
  <c r="N179" i="44"/>
  <c r="N180" i="44"/>
  <c r="N181" i="44"/>
  <c r="N176" i="45"/>
  <c r="O176" i="45"/>
  <c r="N177" i="45"/>
  <c r="O177" i="45"/>
  <c r="N178" i="45"/>
  <c r="O178" i="45"/>
  <c r="N179" i="45"/>
  <c r="O179" i="45"/>
  <c r="N180" i="45"/>
  <c r="O180" i="45"/>
  <c r="N181" i="45"/>
  <c r="O181" i="45"/>
  <c r="N176" i="46"/>
  <c r="O176" i="46"/>
  <c r="P176" i="46"/>
  <c r="N177" i="46"/>
  <c r="O177" i="46"/>
  <c r="P177" i="46"/>
  <c r="N178" i="46"/>
  <c r="O178" i="46"/>
  <c r="P178" i="46"/>
  <c r="N179" i="46"/>
  <c r="O179" i="46"/>
  <c r="P179" i="46"/>
  <c r="N180" i="46"/>
  <c r="O180" i="46"/>
  <c r="P180" i="46"/>
  <c r="N181" i="46"/>
  <c r="O181" i="46"/>
  <c r="P181" i="46"/>
  <c r="Q145" i="45" l="1"/>
  <c r="Q145" i="11"/>
  <c r="Q145" i="44"/>
  <c r="Q131" i="11"/>
  <c r="X207" i="11"/>
  <c r="E195" i="45"/>
  <c r="E195" i="46"/>
  <c r="E195" i="44"/>
  <c r="E213" i="45"/>
  <c r="E213" i="46"/>
  <c r="E213" i="44"/>
  <c r="Q131" i="44" l="1"/>
  <c r="Q131" i="46"/>
  <c r="P20" i="22" s="1"/>
  <c r="Q131" i="45"/>
  <c r="M11" i="59"/>
  <c r="M11" i="60"/>
  <c r="M11" i="58"/>
  <c r="M10" i="59"/>
  <c r="N10" i="59" s="1"/>
  <c r="M10" i="58"/>
  <c r="N10" i="58" s="1"/>
  <c r="M10" i="60"/>
  <c r="N10" i="60" s="1"/>
  <c r="M11" i="57"/>
  <c r="M10" i="57"/>
  <c r="N10" i="57" s="1"/>
  <c r="U5" i="2"/>
  <c r="V5" i="2" s="1"/>
  <c r="U6" i="2" l="1"/>
  <c r="U7" i="2" s="1"/>
  <c r="N3" i="11" l="1"/>
  <c r="N3" i="44"/>
  <c r="N3" i="46"/>
  <c r="N3" i="45"/>
  <c r="AD3" i="45"/>
  <c r="H2" i="83"/>
  <c r="R7" i="57" l="1"/>
  <c r="S7" i="57"/>
  <c r="R8" i="57"/>
  <c r="S8" i="57"/>
  <c r="R9" i="57"/>
  <c r="S9" i="57"/>
  <c r="R10" i="57"/>
  <c r="S10" i="57"/>
  <c r="S6" i="57"/>
  <c r="R6" i="57"/>
  <c r="G48" i="60" l="1"/>
  <c r="C48" i="60"/>
  <c r="G47" i="60"/>
  <c r="C47" i="60"/>
  <c r="G46" i="60"/>
  <c r="C46" i="60"/>
  <c r="G45" i="60"/>
  <c r="C45" i="60"/>
  <c r="G44" i="60"/>
  <c r="C44" i="60"/>
  <c r="G43" i="60"/>
  <c r="C43" i="60"/>
  <c r="C42" i="60"/>
  <c r="G42" i="60"/>
  <c r="G48" i="58"/>
  <c r="C48" i="58"/>
  <c r="G47" i="58"/>
  <c r="C47" i="58"/>
  <c r="G46" i="58"/>
  <c r="C46" i="58"/>
  <c r="G45" i="58"/>
  <c r="C45" i="58"/>
  <c r="G44" i="58"/>
  <c r="C44" i="58"/>
  <c r="G43" i="58"/>
  <c r="C43" i="58"/>
  <c r="C42" i="58"/>
  <c r="G42" i="58"/>
  <c r="G48" i="59"/>
  <c r="E48" i="59"/>
  <c r="C48" i="59"/>
  <c r="G47" i="59"/>
  <c r="E47" i="59"/>
  <c r="C47" i="59"/>
  <c r="G46" i="59"/>
  <c r="E46" i="59"/>
  <c r="C46" i="59"/>
  <c r="G45" i="59"/>
  <c r="E45" i="59"/>
  <c r="C45" i="59"/>
  <c r="G44" i="59"/>
  <c r="E44" i="59"/>
  <c r="C44" i="59"/>
  <c r="G43" i="59"/>
  <c r="E43" i="59"/>
  <c r="C43" i="59"/>
  <c r="C42" i="59"/>
  <c r="E42" i="59"/>
  <c r="G42" i="59"/>
  <c r="G48" i="57"/>
  <c r="C48" i="57"/>
  <c r="G47" i="57"/>
  <c r="C47" i="57"/>
  <c r="G46" i="57"/>
  <c r="C46" i="57"/>
  <c r="G45" i="57"/>
  <c r="C45" i="57"/>
  <c r="G44" i="57"/>
  <c r="C44" i="57"/>
  <c r="G43" i="57"/>
  <c r="C43" i="57"/>
  <c r="G42" i="57"/>
  <c r="C42" i="57"/>
  <c r="G49" i="59" l="1"/>
  <c r="G49" i="57"/>
  <c r="G49" i="60"/>
  <c r="G49" i="58"/>
  <c r="R32" i="57"/>
  <c r="B29" i="18" l="1"/>
  <c r="B30" i="18"/>
  <c r="B31" i="18"/>
  <c r="B32" i="18"/>
  <c r="B33" i="18"/>
  <c r="B34" i="18"/>
  <c r="B35" i="18"/>
  <c r="AF167" i="11"/>
  <c r="AE167" i="11" s="1"/>
  <c r="AF168" i="11"/>
  <c r="AE168" i="11" s="1"/>
  <c r="AF169" i="11"/>
  <c r="AE169" i="11" s="1"/>
  <c r="AF166" i="11"/>
  <c r="AE166" i="11" s="1"/>
  <c r="AB169" i="11"/>
  <c r="AB167" i="11"/>
  <c r="AB168" i="11"/>
  <c r="AB166" i="11"/>
  <c r="AB171" i="11" l="1"/>
  <c r="AE170" i="11"/>
  <c r="AF170" i="11"/>
  <c r="N18" i="18"/>
  <c r="I18" i="18"/>
  <c r="D16" i="18"/>
  <c r="AB166" i="46"/>
  <c r="B43" i="93" s="1"/>
  <c r="AB165" i="46"/>
  <c r="B42" i="93" s="1"/>
  <c r="AB164" i="46"/>
  <c r="B41" i="93" s="1"/>
  <c r="O165" i="46"/>
  <c r="O166" i="46"/>
  <c r="O167" i="46"/>
  <c r="O168" i="46"/>
  <c r="O169" i="46"/>
  <c r="O170" i="46"/>
  <c r="O171" i="46"/>
  <c r="O172" i="46"/>
  <c r="O173" i="46"/>
  <c r="O174" i="46"/>
  <c r="O175" i="46"/>
  <c r="O164" i="46"/>
  <c r="AC164" i="46" s="1"/>
  <c r="Q134" i="46"/>
  <c r="P21" i="22" s="1"/>
  <c r="N134" i="46"/>
  <c r="K21" i="22" s="1"/>
  <c r="L24" i="18" l="1"/>
  <c r="G39" i="22" s="1"/>
  <c r="Q134" i="45"/>
  <c r="Q134" i="44"/>
  <c r="N134" i="45"/>
  <c r="N134" i="44"/>
  <c r="M6" i="59" l="1"/>
  <c r="N6" i="59" s="1"/>
  <c r="M6" i="60"/>
  <c r="N6" i="60" s="1"/>
  <c r="M9" i="58"/>
  <c r="N9" i="58" s="1"/>
  <c r="M8" i="59"/>
  <c r="N8" i="59" s="1"/>
  <c r="M8" i="60"/>
  <c r="N8" i="60" s="1"/>
  <c r="M9" i="59"/>
  <c r="N9" i="59" s="1"/>
  <c r="M8" i="58"/>
  <c r="N8" i="58" s="1"/>
  <c r="M9" i="60"/>
  <c r="N9" i="60" s="1"/>
  <c r="M6" i="58" l="1"/>
  <c r="N6" i="58" s="1"/>
  <c r="M7" i="60"/>
  <c r="N7" i="60"/>
  <c r="N15" i="60" s="1"/>
  <c r="M7" i="59"/>
  <c r="N7" i="59" s="1"/>
  <c r="N15" i="59" s="1"/>
  <c r="M7" i="58"/>
  <c r="N7" i="58" s="1"/>
  <c r="N15" i="58" l="1"/>
  <c r="M15" i="60"/>
  <c r="M15" i="59"/>
  <c r="M15" i="58"/>
  <c r="S37" i="60"/>
  <c r="R37" i="60"/>
  <c r="S36" i="60"/>
  <c r="R36" i="60"/>
  <c r="S35" i="60"/>
  <c r="R35" i="60"/>
  <c r="S33" i="60"/>
  <c r="R33" i="60"/>
  <c r="S32" i="60"/>
  <c r="R32" i="60"/>
  <c r="S37" i="59"/>
  <c r="R37" i="59"/>
  <c r="S36" i="59"/>
  <c r="R36" i="59"/>
  <c r="S35" i="59"/>
  <c r="R35" i="59"/>
  <c r="S33" i="59"/>
  <c r="R33" i="59"/>
  <c r="S32" i="59"/>
  <c r="R32" i="59"/>
  <c r="S37" i="58"/>
  <c r="R37" i="58"/>
  <c r="S36" i="58"/>
  <c r="R36" i="58"/>
  <c r="S35" i="58"/>
  <c r="R35" i="58"/>
  <c r="S33" i="58"/>
  <c r="R33" i="58"/>
  <c r="S32" i="58"/>
  <c r="R32" i="58"/>
  <c r="R33" i="57"/>
  <c r="S33" i="57"/>
  <c r="S32" i="57"/>
  <c r="M1" i="60" l="1"/>
  <c r="M1" i="58"/>
  <c r="P165" i="46"/>
  <c r="P166" i="46"/>
  <c r="P167" i="46"/>
  <c r="P168" i="46"/>
  <c r="P169" i="46"/>
  <c r="P170" i="46"/>
  <c r="P171" i="46"/>
  <c r="P172" i="46"/>
  <c r="P173" i="46"/>
  <c r="P174" i="46"/>
  <c r="P175" i="46"/>
  <c r="P164" i="46"/>
  <c r="W211" i="11"/>
  <c r="Y42" i="60" l="1"/>
  <c r="Y41" i="60"/>
  <c r="Y39" i="60"/>
  <c r="W32" i="60"/>
  <c r="Y32" i="60" s="1"/>
  <c r="U32" i="60"/>
  <c r="W31" i="60"/>
  <c r="Y31" i="60" s="1"/>
  <c r="U31" i="60"/>
  <c r="W30" i="60"/>
  <c r="U30" i="60"/>
  <c r="W29" i="60"/>
  <c r="Y29" i="60" s="1"/>
  <c r="U29" i="60"/>
  <c r="W28" i="60"/>
  <c r="U28" i="60"/>
  <c r="Y42" i="59"/>
  <c r="Y41" i="59"/>
  <c r="Y39" i="59"/>
  <c r="W32" i="59"/>
  <c r="Y32" i="59" s="1"/>
  <c r="U32" i="59"/>
  <c r="W31" i="59"/>
  <c r="Y31" i="59" s="1"/>
  <c r="U31" i="59"/>
  <c r="W30" i="59"/>
  <c r="Y30" i="59" s="1"/>
  <c r="U30" i="59"/>
  <c r="W29" i="59"/>
  <c r="Y29" i="59" s="1"/>
  <c r="U29" i="59"/>
  <c r="W28" i="59"/>
  <c r="U28" i="59"/>
  <c r="Y41" i="58"/>
  <c r="W32" i="58"/>
  <c r="Y32" i="58" s="1"/>
  <c r="U32" i="58"/>
  <c r="W31" i="58"/>
  <c r="Y31" i="58" s="1"/>
  <c r="U31" i="58"/>
  <c r="W30" i="58"/>
  <c r="Y30" i="58" s="1"/>
  <c r="U30" i="58"/>
  <c r="W29" i="58"/>
  <c r="Y29" i="58" s="1"/>
  <c r="U29" i="58"/>
  <c r="W28" i="58"/>
  <c r="U28" i="58"/>
  <c r="G57" i="60"/>
  <c r="G57" i="59"/>
  <c r="G57" i="58"/>
  <c r="K20" i="59" l="1"/>
  <c r="Y33" i="60"/>
  <c r="N20" i="60"/>
  <c r="K20" i="60"/>
  <c r="N20" i="58"/>
  <c r="K20" i="58"/>
  <c r="Y33" i="58"/>
  <c r="Y33" i="59"/>
  <c r="Y40" i="60"/>
  <c r="V12" i="59"/>
  <c r="V12" i="58"/>
  <c r="Y39" i="58"/>
  <c r="Y28" i="60"/>
  <c r="V12" i="60"/>
  <c r="W33" i="60"/>
  <c r="Y30" i="60"/>
  <c r="Y28" i="59"/>
  <c r="N20" i="59" s="1"/>
  <c r="W33" i="59"/>
  <c r="Y40" i="59"/>
  <c r="W33" i="58"/>
  <c r="Y42" i="58"/>
  <c r="Y28" i="58"/>
  <c r="Y40" i="58"/>
  <c r="M21" i="59" l="1"/>
  <c r="N22" i="59"/>
  <c r="V6" i="59" s="1"/>
  <c r="N22" i="58"/>
  <c r="V6" i="58" s="1"/>
  <c r="M21" i="60" l="1"/>
  <c r="M21" i="58"/>
  <c r="K22" i="58"/>
  <c r="N22" i="60"/>
  <c r="V6" i="60" s="1"/>
  <c r="K22" i="59"/>
  <c r="M20" i="58"/>
  <c r="M20" i="60"/>
  <c r="Y42" i="57"/>
  <c r="Y40" i="57"/>
  <c r="W28" i="57"/>
  <c r="W32" i="57"/>
  <c r="W31" i="57"/>
  <c r="W30" i="57"/>
  <c r="W29" i="57"/>
  <c r="Y28" i="57" l="1"/>
  <c r="K20" i="57"/>
  <c r="N20" i="57"/>
  <c r="K22" i="60"/>
  <c r="M22" i="58"/>
  <c r="V4" i="58" s="1"/>
  <c r="M22" i="60"/>
  <c r="V4" i="60" s="1"/>
  <c r="M20" i="59"/>
  <c r="M22" i="59" s="1"/>
  <c r="V4" i="59" s="1"/>
  <c r="W33" i="57"/>
  <c r="Y29" i="57" l="1"/>
  <c r="Y31" i="57"/>
  <c r="Y32" i="57"/>
  <c r="U32" i="57"/>
  <c r="U31" i="57"/>
  <c r="U30" i="57"/>
  <c r="U29" i="57"/>
  <c r="U28" i="57"/>
  <c r="Y33" i="57" l="1"/>
  <c r="Y30" i="57"/>
  <c r="S10" i="59"/>
  <c r="R10" i="59"/>
  <c r="S9" i="59"/>
  <c r="R9" i="59"/>
  <c r="S8" i="59"/>
  <c r="R8" i="59"/>
  <c r="S7" i="59"/>
  <c r="R7" i="59"/>
  <c r="S6" i="59"/>
  <c r="R6" i="59"/>
  <c r="S10" i="60"/>
  <c r="R10" i="60"/>
  <c r="S9" i="60"/>
  <c r="R9" i="60"/>
  <c r="S8" i="60"/>
  <c r="R8" i="60"/>
  <c r="S7" i="60"/>
  <c r="R7" i="60"/>
  <c r="S6" i="60"/>
  <c r="R6" i="60"/>
  <c r="S10" i="58"/>
  <c r="R10" i="58"/>
  <c r="S9" i="58"/>
  <c r="R9" i="58"/>
  <c r="S8" i="58"/>
  <c r="R8" i="58"/>
  <c r="S7" i="58"/>
  <c r="R7" i="58"/>
  <c r="S6" i="58"/>
  <c r="R6" i="58"/>
  <c r="R35" i="57"/>
  <c r="S35" i="57"/>
  <c r="R36" i="57"/>
  <c r="S36" i="57"/>
  <c r="R37" i="57"/>
  <c r="S37" i="57"/>
  <c r="M1" i="57" l="1"/>
  <c r="T2" i="57"/>
  <c r="R4" i="58" l="1"/>
  <c r="M1" i="59"/>
  <c r="H1" i="83"/>
  <c r="H4" i="83" s="1"/>
  <c r="B11" i="83"/>
  <c r="AB1" i="46"/>
  <c r="G134" i="46" l="1"/>
  <c r="F21" i="22" s="1"/>
  <c r="G137" i="46"/>
  <c r="G130" i="46"/>
  <c r="F19" i="22" s="1"/>
  <c r="G140" i="46"/>
  <c r="F28" i="22" s="1"/>
  <c r="G143" i="46"/>
  <c r="F32" i="22" s="1"/>
  <c r="F38" i="46"/>
  <c r="F197" i="46"/>
  <c r="F215" i="46"/>
  <c r="E66" i="46"/>
  <c r="F53" i="46"/>
  <c r="F214" i="46"/>
  <c r="F196" i="46"/>
  <c r="F157" i="46"/>
  <c r="E110" i="46"/>
  <c r="W161" i="11"/>
  <c r="X164" i="46"/>
  <c r="AC225" i="46"/>
  <c r="E127" i="46"/>
  <c r="V5" i="58"/>
  <c r="P30" i="22" l="1"/>
  <c r="P29" i="22"/>
  <c r="P34" i="22"/>
  <c r="P33" i="22"/>
  <c r="P32" i="22"/>
  <c r="K33" i="22"/>
  <c r="AD225" i="46"/>
  <c r="X166" i="46"/>
  <c r="X168" i="46" s="1"/>
  <c r="X165" i="46"/>
  <c r="AE164" i="46"/>
  <c r="AD164" i="46"/>
  <c r="B55" i="93"/>
  <c r="U3" i="11"/>
  <c r="AB1" i="45"/>
  <c r="AB1" i="44"/>
  <c r="F38" i="44" l="1"/>
  <c r="G134" i="44"/>
  <c r="G130" i="44"/>
  <c r="G137" i="44"/>
  <c r="F38" i="45"/>
  <c r="G130" i="45"/>
  <c r="G140" i="45"/>
  <c r="G137" i="45"/>
  <c r="G134" i="45"/>
  <c r="F215" i="45"/>
  <c r="F197" i="45"/>
  <c r="F215" i="44"/>
  <c r="F197" i="44"/>
  <c r="E66" i="44"/>
  <c r="E66" i="45"/>
  <c r="F53" i="44"/>
  <c r="AF164" i="46"/>
  <c r="F53" i="45"/>
  <c r="F214" i="45"/>
  <c r="E110" i="44"/>
  <c r="E110" i="45"/>
  <c r="E127" i="45"/>
  <c r="E127" i="44"/>
  <c r="E127" i="11"/>
  <c r="AE225" i="46"/>
  <c r="C41" i="93"/>
  <c r="AC165" i="46"/>
  <c r="C42" i="93" s="1"/>
  <c r="D41" i="93"/>
  <c r="AB225" i="46"/>
  <c r="AE166" i="46"/>
  <c r="E43" i="93" s="1"/>
  <c r="AD166" i="46"/>
  <c r="D43" i="93" s="1"/>
  <c r="AC166" i="46"/>
  <c r="C43" i="93" s="1"/>
  <c r="AD165" i="46"/>
  <c r="D42" i="93" s="1"/>
  <c r="AE205" i="46"/>
  <c r="AD205" i="46"/>
  <c r="C49" i="93" s="1"/>
  <c r="AC205" i="46"/>
  <c r="W202" i="46"/>
  <c r="G143" i="44"/>
  <c r="G140" i="44"/>
  <c r="G143" i="45"/>
  <c r="M29" i="31"/>
  <c r="M30" i="31"/>
  <c r="M31" i="31"/>
  <c r="M32" i="31"/>
  <c r="M33" i="31"/>
  <c r="M34" i="31"/>
  <c r="M28" i="31"/>
  <c r="K15" i="31"/>
  <c r="K25" i="22" l="1"/>
  <c r="J39" i="22"/>
  <c r="AG164" i="46"/>
  <c r="B49" i="93"/>
  <c r="D49" i="93" s="1"/>
  <c r="AF205" i="46"/>
  <c r="C55" i="93"/>
  <c r="AB205" i="46"/>
  <c r="AB167" i="46"/>
  <c r="R1" i="95" l="1"/>
  <c r="T4" i="95"/>
  <c r="T3" i="95"/>
  <c r="A8" i="95" l="1"/>
  <c r="A7" i="95"/>
  <c r="A6" i="95"/>
  <c r="A5" i="95" l="1"/>
  <c r="A4" i="95"/>
  <c r="A3" i="95"/>
  <c r="U3" i="44"/>
  <c r="AK7" i="45"/>
  <c r="AD6" i="44" l="1"/>
  <c r="AA6" i="44"/>
  <c r="W203" i="11"/>
  <c r="G203" i="11" s="1"/>
  <c r="U3" i="45" l="1"/>
  <c r="U3" i="46"/>
  <c r="O165" i="45" l="1"/>
  <c r="O166" i="45"/>
  <c r="O167" i="45"/>
  <c r="O168" i="45"/>
  <c r="O169" i="45"/>
  <c r="O170" i="45"/>
  <c r="O171" i="45"/>
  <c r="O172" i="45"/>
  <c r="O173" i="45"/>
  <c r="O174" i="45"/>
  <c r="O175" i="45"/>
  <c r="J85" i="31" l="1"/>
  <c r="J86" i="31"/>
  <c r="J87" i="31"/>
  <c r="J88" i="31"/>
  <c r="J89" i="31"/>
  <c r="J90" i="31"/>
  <c r="J91" i="31"/>
  <c r="J92" i="31"/>
  <c r="J93" i="31"/>
  <c r="J94" i="31"/>
  <c r="J95" i="31"/>
  <c r="J96" i="31"/>
  <c r="J97" i="31"/>
  <c r="J84" i="31"/>
  <c r="M3" i="31"/>
  <c r="O164" i="45" l="1"/>
  <c r="D30" i="93" l="1"/>
  <c r="F43" i="93"/>
  <c r="AD6" i="46" l="1"/>
  <c r="AA6" i="46"/>
  <c r="K3" i="92" l="1"/>
  <c r="K2" i="92" s="1"/>
  <c r="Y2" i="83"/>
  <c r="Y3" i="83"/>
  <c r="Y4" i="83"/>
  <c r="Y5" i="83"/>
  <c r="X3" i="83"/>
  <c r="X4" i="83"/>
  <c r="X5" i="83"/>
  <c r="X2" i="83"/>
  <c r="F39" i="46" l="1"/>
  <c r="AA5" i="46"/>
  <c r="T1" i="46" s="1"/>
  <c r="P5" i="1" l="1"/>
  <c r="N5" i="1"/>
  <c r="L5" i="1"/>
  <c r="M15" i="92"/>
  <c r="M17" i="92"/>
  <c r="M18" i="92"/>
  <c r="M19" i="92"/>
  <c r="N35" i="18" l="1"/>
  <c r="N34" i="18"/>
  <c r="N33" i="18"/>
  <c r="N32" i="18"/>
  <c r="N31" i="18"/>
  <c r="N30" i="18"/>
  <c r="N29" i="18"/>
  <c r="S12" i="2"/>
  <c r="C13" i="83" l="1"/>
  <c r="C12" i="83"/>
  <c r="C6" i="83"/>
  <c r="C7" i="83" s="1"/>
  <c r="AE1" i="83"/>
  <c r="AD70" i="31"/>
  <c r="AE70" i="31" s="1"/>
  <c r="AF70" i="31" s="1"/>
  <c r="AD69" i="31"/>
  <c r="AE69" i="31" s="1"/>
  <c r="AF69" i="31" s="1"/>
  <c r="AD68" i="31"/>
  <c r="AE68" i="31" s="1"/>
  <c r="AF68" i="31" s="1"/>
  <c r="AD67" i="31"/>
  <c r="AE67" i="31" s="1"/>
  <c r="AF67" i="31" s="1"/>
  <c r="AD66" i="31"/>
  <c r="AE66" i="31" s="1"/>
  <c r="AF66" i="31" s="1"/>
  <c r="AD65" i="31"/>
  <c r="AE65" i="31" s="1"/>
  <c r="AF65" i="31" s="1"/>
  <c r="AD64" i="31"/>
  <c r="AE64" i="31" s="1"/>
  <c r="AF64" i="31" s="1"/>
  <c r="AD63" i="31"/>
  <c r="AE63" i="31" s="1"/>
  <c r="AD62" i="31"/>
  <c r="AE62" i="31" s="1"/>
  <c r="AD50" i="31"/>
  <c r="AE50" i="31" s="1"/>
  <c r="AF50" i="31" s="1"/>
  <c r="AD49" i="31"/>
  <c r="AE49" i="31" s="1"/>
  <c r="AF49" i="31" s="1"/>
  <c r="AD48" i="31"/>
  <c r="AE48" i="31" s="1"/>
  <c r="AF48" i="31" s="1"/>
  <c r="AD47" i="31"/>
  <c r="AE47" i="31" s="1"/>
  <c r="AF47" i="31" s="1"/>
  <c r="AD46" i="31"/>
  <c r="AE46" i="31" s="1"/>
  <c r="AF46" i="31" s="1"/>
  <c r="AD45" i="31"/>
  <c r="AE45" i="31" s="1"/>
  <c r="AF45" i="31" s="1"/>
  <c r="AD44" i="31"/>
  <c r="AE44" i="31" s="1"/>
  <c r="AD43" i="31"/>
  <c r="AE43" i="31" s="1"/>
  <c r="AD42" i="31"/>
  <c r="AE42" i="31" s="1"/>
  <c r="BG41" i="31"/>
  <c r="BD41" i="31"/>
  <c r="BH41" i="31" s="1"/>
  <c r="BG40" i="31"/>
  <c r="BD40" i="31"/>
  <c r="BH40" i="31" s="1"/>
  <c r="BG39" i="31"/>
  <c r="BD39" i="31"/>
  <c r="BH39" i="31" s="1"/>
  <c r="BG38" i="31"/>
  <c r="BD38" i="31"/>
  <c r="BH38" i="31" s="1"/>
  <c r="BG37" i="31"/>
  <c r="BD37" i="31"/>
  <c r="BH37" i="31" s="1"/>
  <c r="BG36" i="31"/>
  <c r="BD36" i="31"/>
  <c r="BH36" i="31" s="1"/>
  <c r="BG35" i="31"/>
  <c r="BD35" i="31"/>
  <c r="BH35" i="31" s="1"/>
  <c r="BG34" i="31"/>
  <c r="BD34" i="31"/>
  <c r="BH34" i="31" s="1"/>
  <c r="BG33" i="31"/>
  <c r="BD33" i="31"/>
  <c r="BH33" i="31" s="1"/>
  <c r="BG32" i="31"/>
  <c r="BD32" i="31"/>
  <c r="BH32" i="31" s="1"/>
  <c r="BG31" i="31"/>
  <c r="BD31" i="31"/>
  <c r="BH31" i="31" s="1"/>
  <c r="BG30" i="31"/>
  <c r="BD30" i="31"/>
  <c r="BH30" i="31" s="1"/>
  <c r="AD30" i="31"/>
  <c r="AE30" i="31" s="1"/>
  <c r="BG29" i="31"/>
  <c r="BD29" i="31"/>
  <c r="BH29" i="31" s="1"/>
  <c r="AD29" i="31"/>
  <c r="AE29" i="31" s="1"/>
  <c r="BG28" i="31"/>
  <c r="BD28" i="31"/>
  <c r="BH28" i="31" s="1"/>
  <c r="AD28" i="31"/>
  <c r="AE28" i="31" s="1"/>
  <c r="BG27" i="31"/>
  <c r="BD27" i="31"/>
  <c r="BH27" i="31" s="1"/>
  <c r="AD27" i="31"/>
  <c r="AE27" i="31" s="1"/>
  <c r="M27" i="31"/>
  <c r="BG26" i="31"/>
  <c r="BD26" i="31"/>
  <c r="BH26" i="31" s="1"/>
  <c r="AD26" i="31"/>
  <c r="AE26" i="31" s="1"/>
  <c r="M26" i="31"/>
  <c r="BG25" i="31"/>
  <c r="BD25" i="31"/>
  <c r="BE25" i="31" s="1"/>
  <c r="BF25" i="31" s="1"/>
  <c r="AD25" i="31"/>
  <c r="AE25" i="31" s="1"/>
  <c r="M25" i="31"/>
  <c r="BG24" i="31"/>
  <c r="BD24" i="31"/>
  <c r="BH24" i="31" s="1"/>
  <c r="AD24" i="31"/>
  <c r="M24" i="31"/>
  <c r="BG23" i="31"/>
  <c r="BD23" i="31"/>
  <c r="BH23" i="31" s="1"/>
  <c r="AD23" i="31"/>
  <c r="M23" i="31"/>
  <c r="BG22" i="31"/>
  <c r="BD22" i="31"/>
  <c r="BE22" i="31" s="1"/>
  <c r="AD22" i="31"/>
  <c r="M22" i="31"/>
  <c r="BG21" i="31"/>
  <c r="BD21" i="31"/>
  <c r="BE21" i="31" s="1"/>
  <c r="BF21" i="31" s="1"/>
  <c r="M21" i="31"/>
  <c r="BG20" i="31"/>
  <c r="BD20" i="31"/>
  <c r="BH20" i="31" s="1"/>
  <c r="M20" i="31"/>
  <c r="BG19" i="31"/>
  <c r="BD19" i="31"/>
  <c r="BH19" i="31" s="1"/>
  <c r="M19" i="31"/>
  <c r="BQ18" i="31"/>
  <c r="BG18" i="31"/>
  <c r="BD18" i="31"/>
  <c r="BE18" i="31" s="1"/>
  <c r="BF18" i="31" s="1"/>
  <c r="M18" i="31"/>
  <c r="BQ17" i="31"/>
  <c r="BG17" i="31"/>
  <c r="BD17" i="31"/>
  <c r="BE17" i="31" s="1"/>
  <c r="BF17" i="31" s="1"/>
  <c r="M17" i="31"/>
  <c r="BG16" i="31"/>
  <c r="BD16" i="31"/>
  <c r="BE16" i="31" s="1"/>
  <c r="BF16" i="31" s="1"/>
  <c r="M16" i="31"/>
  <c r="BG15" i="31"/>
  <c r="BD15" i="31"/>
  <c r="BE15" i="31" s="1"/>
  <c r="BF15" i="31" s="1"/>
  <c r="M15" i="31"/>
  <c r="BG14" i="31"/>
  <c r="BD14" i="31"/>
  <c r="BE14" i="31" s="1"/>
  <c r="BF14" i="31" s="1"/>
  <c r="M14" i="31"/>
  <c r="K14" i="31"/>
  <c r="BG13" i="31"/>
  <c r="BD13" i="31"/>
  <c r="BH13" i="31" s="1"/>
  <c r="M13" i="31"/>
  <c r="K13" i="31"/>
  <c r="BG12" i="31"/>
  <c r="BD12" i="31"/>
  <c r="M12" i="31"/>
  <c r="K12" i="31"/>
  <c r="BH11" i="31"/>
  <c r="M11" i="31"/>
  <c r="K11" i="31"/>
  <c r="BE10" i="31"/>
  <c r="BF10" i="31" s="1"/>
  <c r="AE10" i="31"/>
  <c r="M10" i="31"/>
  <c r="K10" i="31"/>
  <c r="BE9" i="31"/>
  <c r="BF9" i="31" s="1"/>
  <c r="AE9" i="31"/>
  <c r="M9" i="31"/>
  <c r="K9" i="31"/>
  <c r="BH8" i="31"/>
  <c r="AE8" i="31"/>
  <c r="M8" i="31"/>
  <c r="K8" i="31"/>
  <c r="BE7" i="31"/>
  <c r="BF7" i="31" s="1"/>
  <c r="AE7" i="31"/>
  <c r="M7" i="31"/>
  <c r="K7" i="31"/>
  <c r="BH6" i="31"/>
  <c r="AE6" i="31"/>
  <c r="M6" i="31"/>
  <c r="K6" i="31"/>
  <c r="BH5" i="31"/>
  <c r="AE5" i="31"/>
  <c r="M5" i="31"/>
  <c r="K5" i="31"/>
  <c r="BH4" i="31"/>
  <c r="AE4" i="31"/>
  <c r="M4" i="31"/>
  <c r="K4" i="31"/>
  <c r="K3" i="31"/>
  <c r="AD2" i="31"/>
  <c r="D11" i="22"/>
  <c r="D10" i="22"/>
  <c r="D9" i="22"/>
  <c r="J31" i="21"/>
  <c r="J30" i="21"/>
  <c r="J29" i="21"/>
  <c r="J28" i="21"/>
  <c r="J27" i="21"/>
  <c r="J26" i="21"/>
  <c r="F24" i="21"/>
  <c r="D15" i="22" s="1"/>
  <c r="F23" i="21"/>
  <c r="D14" i="22" s="1"/>
  <c r="F22" i="21"/>
  <c r="D13" i="22" s="1"/>
  <c r="F20" i="21"/>
  <c r="F19" i="21"/>
  <c r="L13" i="21"/>
  <c r="L12" i="21"/>
  <c r="F18" i="21" s="1"/>
  <c r="L11" i="21"/>
  <c r="B28" i="18"/>
  <c r="N28" i="18" s="1"/>
  <c r="H28" i="1"/>
  <c r="H27" i="1"/>
  <c r="H26" i="1"/>
  <c r="H25" i="1"/>
  <c r="H24" i="1"/>
  <c r="H23" i="1"/>
  <c r="D21" i="1"/>
  <c r="B12" i="18" s="1"/>
  <c r="D20" i="1"/>
  <c r="B11" i="18" s="1"/>
  <c r="D19" i="1"/>
  <c r="B10" i="18" s="1"/>
  <c r="D17" i="1"/>
  <c r="B8" i="18" s="1"/>
  <c r="D16" i="1"/>
  <c r="B7" i="18" s="1"/>
  <c r="J10" i="1"/>
  <c r="I13" i="6" s="1"/>
  <c r="J9" i="1"/>
  <c r="D15" i="1" s="1"/>
  <c r="B6" i="18" s="1"/>
  <c r="J8" i="1"/>
  <c r="I9" i="6" s="1"/>
  <c r="G57" i="57"/>
  <c r="L30" i="93" s="1"/>
  <c r="G56" i="57"/>
  <c r="W17" i="57" s="1"/>
  <c r="G55" i="57"/>
  <c r="G55" i="59" s="1"/>
  <c r="V12" i="57"/>
  <c r="Y41" i="57"/>
  <c r="Y39" i="57"/>
  <c r="N175" i="46"/>
  <c r="N174" i="46"/>
  <c r="N173" i="46"/>
  <c r="N172" i="46"/>
  <c r="N171" i="46"/>
  <c r="N170" i="46"/>
  <c r="N169" i="46"/>
  <c r="N168" i="46"/>
  <c r="N167" i="46"/>
  <c r="N166" i="46"/>
  <c r="N165" i="46"/>
  <c r="N164" i="46"/>
  <c r="G97" i="46"/>
  <c r="G96" i="46"/>
  <c r="AD2" i="46"/>
  <c r="E81" i="46"/>
  <c r="N175" i="45"/>
  <c r="N174" i="45"/>
  <c r="N173" i="45"/>
  <c r="N172" i="45"/>
  <c r="N171" i="45"/>
  <c r="N170" i="45"/>
  <c r="N169" i="45"/>
  <c r="N168" i="45"/>
  <c r="N167" i="45"/>
  <c r="N166" i="45"/>
  <c r="N165" i="45"/>
  <c r="N164" i="45"/>
  <c r="G97" i="45"/>
  <c r="G96" i="45"/>
  <c r="AD2" i="45"/>
  <c r="N175" i="44"/>
  <c r="N174" i="44"/>
  <c r="N173" i="44"/>
  <c r="N172" i="44"/>
  <c r="N171" i="44"/>
  <c r="N170" i="44"/>
  <c r="N169" i="44"/>
  <c r="N168" i="44"/>
  <c r="N167" i="44"/>
  <c r="N166" i="44"/>
  <c r="N165" i="44"/>
  <c r="N164" i="44"/>
  <c r="G97" i="44"/>
  <c r="G96" i="44"/>
  <c r="G211" i="11"/>
  <c r="W210" i="11"/>
  <c r="G210" i="11" s="1"/>
  <c r="W209" i="11"/>
  <c r="G209" i="11" s="1"/>
  <c r="W208" i="11"/>
  <c r="G208" i="11" s="1"/>
  <c r="W207" i="11"/>
  <c r="G207" i="11" s="1"/>
  <c r="W206" i="11"/>
  <c r="G206" i="11" s="1"/>
  <c r="W205" i="11"/>
  <c r="G205" i="11" s="1"/>
  <c r="W204" i="11"/>
  <c r="G204" i="11" s="1"/>
  <c r="AD5" i="11"/>
  <c r="AA6" i="11"/>
  <c r="AD2" i="11"/>
  <c r="S18" i="2"/>
  <c r="S19" i="2" s="1"/>
  <c r="S16" i="2"/>
  <c r="S14" i="2"/>
  <c r="S15" i="2" s="1"/>
  <c r="E16" i="2" s="1"/>
  <c r="R134" i="46" l="1"/>
  <c r="R143" i="46"/>
  <c r="R130" i="46"/>
  <c r="R140" i="46"/>
  <c r="R137" i="46"/>
  <c r="R143" i="44"/>
  <c r="R137" i="44"/>
  <c r="R130" i="44"/>
  <c r="R140" i="44"/>
  <c r="R134" i="44"/>
  <c r="R140" i="45"/>
  <c r="R143" i="45"/>
  <c r="R137" i="45"/>
  <c r="R134" i="45"/>
  <c r="R130" i="45"/>
  <c r="S17" i="2"/>
  <c r="G56" i="58"/>
  <c r="W17" i="58" s="1"/>
  <c r="Y43" i="57"/>
  <c r="N22" i="57" s="1"/>
  <c r="D12" i="22"/>
  <c r="AR6" i="31"/>
  <c r="AR3" i="31"/>
  <c r="AR11" i="31"/>
  <c r="AR2" i="31"/>
  <c r="BE3" i="31"/>
  <c r="BR2" i="31"/>
  <c r="BR3" i="31"/>
  <c r="E41" i="93"/>
  <c r="F39" i="45"/>
  <c r="F39" i="44"/>
  <c r="G137" i="11"/>
  <c r="F196" i="45"/>
  <c r="F214" i="44"/>
  <c r="F196" i="44"/>
  <c r="AA5" i="45"/>
  <c r="F157" i="45"/>
  <c r="AA5" i="44"/>
  <c r="T1" i="44" s="1"/>
  <c r="F157" i="44"/>
  <c r="AD6" i="45"/>
  <c r="AA6" i="45"/>
  <c r="AD6" i="11"/>
  <c r="AD1" i="44"/>
  <c r="C8" i="83"/>
  <c r="E81" i="44"/>
  <c r="E81" i="45"/>
  <c r="AE2" i="31"/>
  <c r="AF10" i="31" s="1"/>
  <c r="AR33" i="31"/>
  <c r="AR4" i="31"/>
  <c r="AR19" i="31"/>
  <c r="AR27" i="31"/>
  <c r="AR12" i="31"/>
  <c r="AR20" i="31"/>
  <c r="AR5" i="31"/>
  <c r="AR13" i="31"/>
  <c r="AR21" i="31"/>
  <c r="AR29" i="31"/>
  <c r="AR10" i="31"/>
  <c r="AR14" i="31"/>
  <c r="AR22" i="31"/>
  <c r="AR30" i="31"/>
  <c r="AR32" i="31"/>
  <c r="AR28" i="31"/>
  <c r="AR7" i="31"/>
  <c r="AR15" i="31"/>
  <c r="AR23" i="31"/>
  <c r="AR31" i="31"/>
  <c r="AR24" i="31"/>
  <c r="AR26" i="31"/>
  <c r="AR8" i="31"/>
  <c r="AR16" i="31"/>
  <c r="AR9" i="31"/>
  <c r="AR17" i="31"/>
  <c r="AR25" i="31"/>
  <c r="AR18" i="31"/>
  <c r="AE3" i="31"/>
  <c r="E14" i="44"/>
  <c r="E14" i="46"/>
  <c r="E14" i="45"/>
  <c r="BE11" i="31"/>
  <c r="BH7" i="31"/>
  <c r="BH17" i="31"/>
  <c r="G56" i="59"/>
  <c r="W17" i="59" s="1"/>
  <c r="BE8" i="31"/>
  <c r="BF8" i="31" s="1"/>
  <c r="BE27" i="31"/>
  <c r="BF27" i="31" s="1"/>
  <c r="BH10" i="31"/>
  <c r="G55" i="60"/>
  <c r="G56" i="60"/>
  <c r="W17" i="60" s="1"/>
  <c r="BE4" i="31"/>
  <c r="BE5" i="31"/>
  <c r="BE6" i="31"/>
  <c r="BE24" i="31"/>
  <c r="BF24" i="31" s="1"/>
  <c r="BR8" i="31"/>
  <c r="BE2" i="31"/>
  <c r="BH3" i="31"/>
  <c r="BE19" i="31"/>
  <c r="BF19" i="31" s="1"/>
  <c r="BR6" i="31"/>
  <c r="BH14" i="31"/>
  <c r="BR4" i="31"/>
  <c r="BH2" i="31"/>
  <c r="BH9" i="31"/>
  <c r="G55" i="58"/>
  <c r="V9" i="57"/>
  <c r="AD5" i="44"/>
  <c r="B9" i="18"/>
  <c r="I11" i="6"/>
  <c r="BH22" i="31"/>
  <c r="BH25" i="31"/>
  <c r="AF166" i="46"/>
  <c r="P39" i="22" s="1"/>
  <c r="BR11" i="31"/>
  <c r="BR13" i="31"/>
  <c r="J98" i="44"/>
  <c r="E148" i="44"/>
  <c r="BE12" i="31"/>
  <c r="BH12" i="31"/>
  <c r="AE22" i="31"/>
  <c r="BE23" i="31"/>
  <c r="BE26" i="31"/>
  <c r="BF26" i="31" s="1"/>
  <c r="BR12" i="31"/>
  <c r="BH16" i="31"/>
  <c r="J98" i="46"/>
  <c r="E148" i="46"/>
  <c r="BR14" i="31"/>
  <c r="J98" i="45"/>
  <c r="E148" i="45"/>
  <c r="BR7" i="31"/>
  <c r="BE13" i="31"/>
  <c r="BH15" i="31"/>
  <c r="BH18" i="31"/>
  <c r="BE20" i="31"/>
  <c r="BF20" i="31" s="1"/>
  <c r="BH21" i="31"/>
  <c r="AE23" i="31"/>
  <c r="BR10" i="31"/>
  <c r="BE28" i="31"/>
  <c r="BF28" i="31" s="1"/>
  <c r="BE29" i="31"/>
  <c r="BF29" i="31" s="1"/>
  <c r="BE30" i="31"/>
  <c r="BF30" i="31" s="1"/>
  <c r="BE31" i="31"/>
  <c r="BF31" i="31" s="1"/>
  <c r="BE32" i="31"/>
  <c r="BE33" i="31"/>
  <c r="BE34" i="31"/>
  <c r="BF34" i="31" s="1"/>
  <c r="BE35" i="31"/>
  <c r="BF35" i="31" s="1"/>
  <c r="BE36" i="31"/>
  <c r="BF36" i="31" s="1"/>
  <c r="BE37" i="31"/>
  <c r="BF37" i="31" s="1"/>
  <c r="BE38" i="31"/>
  <c r="BE39" i="31"/>
  <c r="BF39" i="31" s="1"/>
  <c r="BE40" i="31"/>
  <c r="BF40" i="31" s="1"/>
  <c r="BE41" i="31"/>
  <c r="BF41" i="31" s="1"/>
  <c r="BR5" i="31"/>
  <c r="AE24" i="31"/>
  <c r="BR9" i="31"/>
  <c r="AS32" i="31"/>
  <c r="AS29" i="31"/>
  <c r="AS28" i="31"/>
  <c r="AS13" i="31"/>
  <c r="AS5" i="31"/>
  <c r="AS4" i="31"/>
  <c r="AS22" i="31"/>
  <c r="AS21" i="31"/>
  <c r="AS17" i="31"/>
  <c r="AS25" i="31"/>
  <c r="AS27" i="31"/>
  <c r="AS3" i="31"/>
  <c r="AS31" i="31"/>
  <c r="AS15" i="31"/>
  <c r="AS20" i="31"/>
  <c r="AS26" i="31"/>
  <c r="AS12" i="31"/>
  <c r="AS14" i="31"/>
  <c r="AS30" i="31"/>
  <c r="AS24" i="31"/>
  <c r="AS9" i="31"/>
  <c r="AS2" i="31"/>
  <c r="AS10" i="31"/>
  <c r="AS6" i="31"/>
  <c r="AS7" i="31"/>
  <c r="AS18" i="31"/>
  <c r="AS11" i="31"/>
  <c r="AS19" i="31"/>
  <c r="AS33" i="31"/>
  <c r="AS8" i="31"/>
  <c r="AS16" i="31"/>
  <c r="AS23" i="31"/>
  <c r="AF9" i="31" l="1"/>
  <c r="BF11" i="31"/>
  <c r="C14" i="83"/>
  <c r="G140" i="11" s="1"/>
  <c r="M219" i="11"/>
  <c r="BF33" i="31"/>
  <c r="BF6" i="31"/>
  <c r="F41" i="93"/>
  <c r="M6" i="57"/>
  <c r="N6" i="57" s="1"/>
  <c r="M20" i="57"/>
  <c r="AF62" i="31"/>
  <c r="BF32" i="31"/>
  <c r="BF5" i="31"/>
  <c r="BF23" i="31"/>
  <c r="AF63" i="31"/>
  <c r="BF38" i="31"/>
  <c r="AE165" i="46"/>
  <c r="E42" i="93" s="1"/>
  <c r="AD167" i="46"/>
  <c r="AG166" i="46"/>
  <c r="K22" i="57"/>
  <c r="M9" i="57"/>
  <c r="N9" i="57" s="1"/>
  <c r="M7" i="57"/>
  <c r="N7" i="57" s="1"/>
  <c r="M8" i="57"/>
  <c r="N8" i="57" s="1"/>
  <c r="AF30" i="31"/>
  <c r="AF28" i="31"/>
  <c r="AF29" i="31"/>
  <c r="AF8" i="31"/>
  <c r="AF7" i="31"/>
  <c r="AF6" i="31"/>
  <c r="F158" i="11"/>
  <c r="T1" i="45"/>
  <c r="F216" i="11"/>
  <c r="F197" i="11"/>
  <c r="AA5" i="11"/>
  <c r="T1" i="11" s="1"/>
  <c r="BF4" i="31"/>
  <c r="C15" i="83"/>
  <c r="BF3" i="31"/>
  <c r="AF24" i="31"/>
  <c r="AF25" i="31"/>
  <c r="BF22" i="31"/>
  <c r="AF44" i="31"/>
  <c r="AF43" i="31"/>
  <c r="AF5" i="31"/>
  <c r="AF26" i="31"/>
  <c r="BF12" i="31"/>
  <c r="AF27" i="31"/>
  <c r="AF22" i="31"/>
  <c r="AF23" i="31"/>
  <c r="AF42" i="31"/>
  <c r="AF3" i="31"/>
  <c r="AF4" i="31"/>
  <c r="AF2" i="31"/>
  <c r="A30" i="93"/>
  <c r="J30" i="93"/>
  <c r="E14" i="11"/>
  <c r="F39" i="11"/>
  <c r="E219" i="11"/>
  <c r="J98" i="11"/>
  <c r="AA162" i="11"/>
  <c r="AA163" i="11" s="1"/>
  <c r="AB170" i="11" s="1"/>
  <c r="E199" i="11"/>
  <c r="I199" i="11"/>
  <c r="E160" i="11"/>
  <c r="D1" i="44"/>
  <c r="BF13" i="31"/>
  <c r="BF2" i="31"/>
  <c r="AD5" i="45" l="1"/>
  <c r="D1" i="45" s="1"/>
  <c r="E24" i="18"/>
  <c r="D39" i="22" s="1"/>
  <c r="H13" i="83"/>
  <c r="O199" i="11"/>
  <c r="I219" i="11"/>
  <c r="I160" i="11"/>
  <c r="M160" i="11"/>
  <c r="O219" i="11"/>
  <c r="M199" i="11"/>
  <c r="O160" i="11"/>
  <c r="D18" i="18"/>
  <c r="E133" i="11"/>
  <c r="BY2" i="31"/>
  <c r="N15" i="57"/>
  <c r="V6" i="57" s="1"/>
  <c r="V14" i="57" s="1"/>
  <c r="V17" i="57" s="1"/>
  <c r="M21" i="57"/>
  <c r="M22" i="57" s="1"/>
  <c r="AW2" i="31"/>
  <c r="F203" i="46" s="1"/>
  <c r="AX2" i="31"/>
  <c r="F203" i="45" s="1"/>
  <c r="BW2" i="31"/>
  <c r="F223" i="46" s="1"/>
  <c r="BM2" i="31"/>
  <c r="M15" i="57"/>
  <c r="F42" i="93"/>
  <c r="AE167" i="46"/>
  <c r="AF165" i="46"/>
  <c r="B30" i="93"/>
  <c r="E30" i="93" s="1"/>
  <c r="AC167" i="46"/>
  <c r="AB163" i="11"/>
  <c r="AB164" i="11"/>
  <c r="G143" i="11"/>
  <c r="AD5" i="46"/>
  <c r="D1" i="46" s="1"/>
  <c r="AY2" i="31"/>
  <c r="F203" i="44" s="1"/>
  <c r="AY14" i="31"/>
  <c r="AW3" i="31"/>
  <c r="F204" i="46" s="1"/>
  <c r="AY3" i="31"/>
  <c r="F204" i="44" s="1"/>
  <c r="AX3" i="31"/>
  <c r="F204" i="45" s="1"/>
  <c r="AW21" i="31"/>
  <c r="AY10" i="31"/>
  <c r="F211" i="44" s="1"/>
  <c r="D50" i="22" s="1"/>
  <c r="AW17" i="31"/>
  <c r="AX24" i="31"/>
  <c r="AW20" i="31"/>
  <c r="AW15" i="31"/>
  <c r="AX28" i="31"/>
  <c r="AX9" i="31"/>
  <c r="F210" i="45" s="1"/>
  <c r="AW13" i="31"/>
  <c r="AW29" i="31"/>
  <c r="AX17" i="31"/>
  <c r="AW9" i="31"/>
  <c r="F210" i="46" s="1"/>
  <c r="AW14" i="31"/>
  <c r="AX16" i="31"/>
  <c r="AY28" i="31"/>
  <c r="AX22" i="31"/>
  <c r="AW32" i="31"/>
  <c r="AW11" i="31"/>
  <c r="AX25" i="31"/>
  <c r="AX18" i="31"/>
  <c r="AW30" i="31"/>
  <c r="AX10" i="31"/>
  <c r="F211" i="45" s="1"/>
  <c r="AW27" i="31"/>
  <c r="AW26" i="31"/>
  <c r="AX23" i="31"/>
  <c r="AY17" i="31"/>
  <c r="AY30" i="31"/>
  <c r="AY13" i="31"/>
  <c r="AY15" i="31"/>
  <c r="AX5" i="31"/>
  <c r="F206" i="45" s="1"/>
  <c r="AY19" i="31"/>
  <c r="AX7" i="31"/>
  <c r="F208" i="45" s="1"/>
  <c r="AX21" i="31"/>
  <c r="AX20" i="31"/>
  <c r="AY24" i="31"/>
  <c r="AY22" i="31"/>
  <c r="AY27" i="31"/>
  <c r="AW16" i="31"/>
  <c r="AY6" i="31"/>
  <c r="F207" i="44" s="1"/>
  <c r="D46" i="22" s="1"/>
  <c r="AY12" i="31"/>
  <c r="AX30" i="31"/>
  <c r="AW7" i="31"/>
  <c r="F208" i="46" s="1"/>
  <c r="AX4" i="31"/>
  <c r="F205" i="45" s="1"/>
  <c r="AY8" i="31"/>
  <c r="F209" i="44" s="1"/>
  <c r="AW25" i="31"/>
  <c r="AX31" i="31"/>
  <c r="AW18" i="31"/>
  <c r="AX29" i="31"/>
  <c r="AW10" i="31"/>
  <c r="F211" i="46" s="1"/>
  <c r="AY26" i="31"/>
  <c r="AW31" i="31"/>
  <c r="AY18" i="31"/>
  <c r="AW4" i="31"/>
  <c r="F205" i="46" s="1"/>
  <c r="AY33" i="31"/>
  <c r="AW12" i="31"/>
  <c r="AW19" i="31"/>
  <c r="AX11" i="31"/>
  <c r="AW6" i="31"/>
  <c r="F207" i="46" s="1"/>
  <c r="AW5" i="31"/>
  <c r="F206" i="46" s="1"/>
  <c r="AX8" i="31"/>
  <c r="F209" i="45" s="1"/>
  <c r="AX14" i="31"/>
  <c r="AW28" i="31"/>
  <c r="AW8" i="31"/>
  <c r="F209" i="46" s="1"/>
  <c r="AY5" i="31"/>
  <c r="F206" i="44" s="1"/>
  <c r="AX33" i="31"/>
  <c r="AY7" i="31"/>
  <c r="F208" i="44" s="1"/>
  <c r="AY21" i="31"/>
  <c r="AY11" i="31"/>
  <c r="AY23" i="31"/>
  <c r="AX13" i="31"/>
  <c r="AX19" i="31"/>
  <c r="AX15" i="31"/>
  <c r="AY9" i="31"/>
  <c r="F210" i="44" s="1"/>
  <c r="AY25" i="31"/>
  <c r="AX32" i="31"/>
  <c r="AY32" i="31"/>
  <c r="AX27" i="31"/>
  <c r="AX26" i="31"/>
  <c r="AW22" i="31"/>
  <c r="AY4" i="31"/>
  <c r="F205" i="44" s="1"/>
  <c r="AW24" i="31"/>
  <c r="AX6" i="31"/>
  <c r="F207" i="45" s="1"/>
  <c r="AY20" i="31"/>
  <c r="AY31" i="31"/>
  <c r="AW23" i="31"/>
  <c r="AX12" i="31"/>
  <c r="AY16" i="31"/>
  <c r="AY29" i="31"/>
  <c r="AW33" i="31"/>
  <c r="R4" i="60"/>
  <c r="R4" i="59"/>
  <c r="BW14" i="31"/>
  <c r="BN12" i="31"/>
  <c r="BX11" i="31"/>
  <c r="F232" i="45" s="1"/>
  <c r="CA10" i="31"/>
  <c r="G231" i="45" s="1"/>
  <c r="BY8" i="31"/>
  <c r="F229" i="44" s="1"/>
  <c r="CB7" i="31"/>
  <c r="G228" i="44" s="1"/>
  <c r="BM7" i="31"/>
  <c r="BW6" i="31"/>
  <c r="F227" i="46" s="1"/>
  <c r="BZ5" i="31"/>
  <c r="G226" i="46" s="1"/>
  <c r="BN4" i="31"/>
  <c r="BX3" i="31"/>
  <c r="F224" i="45" s="1"/>
  <c r="CA2" i="31"/>
  <c r="G223" i="45" s="1"/>
  <c r="BN13" i="31"/>
  <c r="BN14" i="31"/>
  <c r="CB13" i="31"/>
  <c r="BM13" i="31"/>
  <c r="CA12" i="31"/>
  <c r="BM14" i="31"/>
  <c r="CA13" i="31"/>
  <c r="BZ12" i="31"/>
  <c r="BN11" i="31"/>
  <c r="BX10" i="31"/>
  <c r="F231" i="45" s="1"/>
  <c r="CA9" i="31"/>
  <c r="G230" i="45" s="1"/>
  <c r="CA14" i="31"/>
  <c r="BZ13" i="31"/>
  <c r="BY12" i="31"/>
  <c r="CB11" i="31"/>
  <c r="G232" i="44" s="1"/>
  <c r="BM11" i="31"/>
  <c r="BW10" i="31"/>
  <c r="F231" i="46" s="1"/>
  <c r="BZ9" i="31"/>
  <c r="G230" i="46" s="1"/>
  <c r="BN8" i="31"/>
  <c r="BX7" i="31"/>
  <c r="F228" i="45" s="1"/>
  <c r="CA6" i="31"/>
  <c r="G227" i="45" s="1"/>
  <c r="BY4" i="31"/>
  <c r="F225" i="44" s="1"/>
  <c r="CB3" i="31"/>
  <c r="G224" i="44" s="1"/>
  <c r="BM3" i="31"/>
  <c r="BZ14" i="31"/>
  <c r="BY13" i="31"/>
  <c r="BX12" i="31"/>
  <c r="CA11" i="31"/>
  <c r="G232" i="45" s="1"/>
  <c r="BY9" i="31"/>
  <c r="F230" i="44" s="1"/>
  <c r="CB8" i="31"/>
  <c r="G229" i="44" s="1"/>
  <c r="BM8" i="31"/>
  <c r="BW7" i="31"/>
  <c r="F228" i="46" s="1"/>
  <c r="BZ6" i="31"/>
  <c r="G227" i="46" s="1"/>
  <c r="BN5" i="31"/>
  <c r="BX4" i="31"/>
  <c r="F225" i="45" s="1"/>
  <c r="CA3" i="31"/>
  <c r="G224" i="45" s="1"/>
  <c r="BY14" i="31"/>
  <c r="BX13" i="31"/>
  <c r="BW12" i="31"/>
  <c r="BZ11" i="31"/>
  <c r="G232" i="46" s="1"/>
  <c r="BN10" i="31"/>
  <c r="BX9" i="31"/>
  <c r="F230" i="45" s="1"/>
  <c r="CA8" i="31"/>
  <c r="G229" i="45" s="1"/>
  <c r="BY6" i="31"/>
  <c r="F227" i="44" s="1"/>
  <c r="CB5" i="31"/>
  <c r="G226" i="44" s="1"/>
  <c r="BM5" i="31"/>
  <c r="BW4" i="31"/>
  <c r="F225" i="46" s="1"/>
  <c r="BZ3" i="31"/>
  <c r="G224" i="46" s="1"/>
  <c r="BN2" i="31"/>
  <c r="BX14" i="31"/>
  <c r="BW13" i="31"/>
  <c r="CB10" i="31"/>
  <c r="G231" i="44" s="1"/>
  <c r="BN7" i="31"/>
  <c r="CB6" i="31"/>
  <c r="G227" i="44" s="1"/>
  <c r="BX2" i="31"/>
  <c r="F223" i="45" s="1"/>
  <c r="CB12" i="31"/>
  <c r="BZ10" i="31"/>
  <c r="G231" i="46" s="1"/>
  <c r="BX6" i="31"/>
  <c r="F227" i="45" s="1"/>
  <c r="BM4" i="31"/>
  <c r="BY11" i="31"/>
  <c r="F232" i="44" s="1"/>
  <c r="BY10" i="31"/>
  <c r="F231" i="44" s="1"/>
  <c r="CB9" i="31"/>
  <c r="G230" i="44" s="1"/>
  <c r="BM12" i="31"/>
  <c r="BW11" i="31"/>
  <c r="F232" i="46" s="1"/>
  <c r="BM10" i="31"/>
  <c r="BW9" i="31"/>
  <c r="F230" i="46" s="1"/>
  <c r="BN6" i="31"/>
  <c r="BY3" i="31"/>
  <c r="F224" i="44" s="1"/>
  <c r="BN9" i="31"/>
  <c r="BZ8" i="31"/>
  <c r="G229" i="46" s="1"/>
  <c r="BM6" i="31"/>
  <c r="CA5" i="31"/>
  <c r="G226" i="45" s="1"/>
  <c r="BW3" i="31"/>
  <c r="F224" i="46" s="1"/>
  <c r="BM9" i="31"/>
  <c r="BX8" i="31"/>
  <c r="F229" i="45" s="1"/>
  <c r="CA7" i="31"/>
  <c r="G228" i="45" s="1"/>
  <c r="BY5" i="31"/>
  <c r="F226" i="44" s="1"/>
  <c r="CB4" i="31"/>
  <c r="G225" i="44" s="1"/>
  <c r="CB2" i="31"/>
  <c r="G223" i="44" s="1"/>
  <c r="BW8" i="31"/>
  <c r="F229" i="46" s="1"/>
  <c r="D59" i="22" s="1"/>
  <c r="BZ7" i="31"/>
  <c r="G228" i="46" s="1"/>
  <c r="BX5" i="31"/>
  <c r="F226" i="45" s="1"/>
  <c r="CA4" i="31"/>
  <c r="G225" i="45" s="1"/>
  <c r="BN3" i="31"/>
  <c r="BZ2" i="31"/>
  <c r="G223" i="46" s="1"/>
  <c r="BY7" i="31"/>
  <c r="F228" i="44" s="1"/>
  <c r="BW5" i="31"/>
  <c r="F226" i="46" s="1"/>
  <c r="BZ4" i="31"/>
  <c r="G225" i="46" s="1"/>
  <c r="F223" i="44"/>
  <c r="BS7" i="31"/>
  <c r="BS12" i="31"/>
  <c r="BS8" i="31"/>
  <c r="BS6" i="31"/>
  <c r="BS11" i="31"/>
  <c r="BS4" i="31"/>
  <c r="BS10" i="31"/>
  <c r="BS14" i="31"/>
  <c r="BS9" i="31"/>
  <c r="BS3" i="31"/>
  <c r="BS5" i="31"/>
  <c r="BS13" i="31"/>
  <c r="BS2" i="31"/>
  <c r="D62" i="22" l="1"/>
  <c r="I58" i="22"/>
  <c r="I54" i="22"/>
  <c r="I62" i="22"/>
  <c r="D60" i="22"/>
  <c r="I57" i="22"/>
  <c r="D61" i="22"/>
  <c r="I55" i="22"/>
  <c r="D58" i="22"/>
  <c r="D55" i="22"/>
  <c r="G203" i="44"/>
  <c r="D42" i="22"/>
  <c r="N208" i="44"/>
  <c r="D47" i="22"/>
  <c r="N210" i="44"/>
  <c r="D49" i="22"/>
  <c r="N209" i="44"/>
  <c r="D48" i="22"/>
  <c r="N205" i="44"/>
  <c r="D44" i="22"/>
  <c r="N206" i="44"/>
  <c r="N206" i="45" s="1"/>
  <c r="D45" i="22"/>
  <c r="N204" i="44"/>
  <c r="D43" i="22"/>
  <c r="I59" i="22"/>
  <c r="I60" i="22"/>
  <c r="D53" i="22"/>
  <c r="D54" i="22"/>
  <c r="D56" i="22"/>
  <c r="I61" i="22"/>
  <c r="I53" i="22"/>
  <c r="I56" i="22"/>
  <c r="D57" i="22"/>
  <c r="G206" i="45"/>
  <c r="G211" i="45"/>
  <c r="G203" i="45"/>
  <c r="G204" i="45"/>
  <c r="G209" i="45"/>
  <c r="G30" i="93"/>
  <c r="K30" i="93" s="1"/>
  <c r="M30" i="93" s="1"/>
  <c r="V4" i="57"/>
  <c r="R4" i="57" s="1"/>
  <c r="E5" i="93"/>
  <c r="G203" i="46"/>
  <c r="G210" i="46"/>
  <c r="AG165" i="46"/>
  <c r="AG167" i="46" s="1"/>
  <c r="AF167" i="46"/>
  <c r="V5" i="59"/>
  <c r="V5" i="60"/>
  <c r="N203" i="44"/>
  <c r="N203" i="45" s="1"/>
  <c r="N203" i="46" s="1"/>
  <c r="P203" i="46"/>
  <c r="G209" i="44"/>
  <c r="O203" i="45"/>
  <c r="O203" i="46" s="1"/>
  <c r="G207" i="44"/>
  <c r="N207" i="44"/>
  <c r="N207" i="45" s="1"/>
  <c r="O208" i="45"/>
  <c r="N210" i="45"/>
  <c r="O210" i="45"/>
  <c r="O204" i="45"/>
  <c r="P204" i="46"/>
  <c r="G204" i="46"/>
  <c r="G205" i="46"/>
  <c r="P205" i="46"/>
  <c r="P209" i="46"/>
  <c r="O209" i="45"/>
  <c r="P210" i="46"/>
  <c r="P206" i="46"/>
  <c r="O205" i="45"/>
  <c r="N205" i="45"/>
  <c r="O211" i="45"/>
  <c r="O207" i="45"/>
  <c r="O207" i="46" s="1"/>
  <c r="P207" i="46"/>
  <c r="P208" i="46"/>
  <c r="G211" i="44"/>
  <c r="N211" i="44"/>
  <c r="N211" i="45" s="1"/>
  <c r="O206" i="45"/>
  <c r="O206" i="46" s="1"/>
  <c r="G204" i="44"/>
  <c r="P211" i="46"/>
  <c r="G207" i="46"/>
  <c r="G208" i="44"/>
  <c r="G206" i="46"/>
  <c r="G205" i="45"/>
  <c r="G211" i="46"/>
  <c r="G207" i="45"/>
  <c r="G208" i="46"/>
  <c r="G210" i="44"/>
  <c r="G209" i="46"/>
  <c r="G210" i="45"/>
  <c r="G206" i="44"/>
  <c r="G208" i="45"/>
  <c r="G205" i="44"/>
  <c r="N223" i="46"/>
  <c r="CD2" i="31"/>
  <c r="N231" i="46"/>
  <c r="CD10" i="31"/>
  <c r="CF8" i="31"/>
  <c r="O229" i="45" s="1"/>
  <c r="N229" i="44"/>
  <c r="CD5" i="31"/>
  <c r="N226" i="46"/>
  <c r="CE2" i="31"/>
  <c r="P223" i="46" s="1"/>
  <c r="N223" i="45"/>
  <c r="CD4" i="31"/>
  <c r="N225" i="46"/>
  <c r="CF5" i="31"/>
  <c r="O226" i="46" s="1"/>
  <c r="N226" i="44"/>
  <c r="CE11" i="31"/>
  <c r="O232" i="45"/>
  <c r="N232" i="45"/>
  <c r="CE3" i="31"/>
  <c r="P224" i="46" s="1"/>
  <c r="N224" i="45"/>
  <c r="CF3" i="31"/>
  <c r="O224" i="45" s="1"/>
  <c r="N224" i="44"/>
  <c r="CF10" i="31"/>
  <c r="O231" i="46" s="1"/>
  <c r="N231" i="44"/>
  <c r="CF9" i="31"/>
  <c r="O230" i="46" s="1"/>
  <c r="N230" i="44"/>
  <c r="CF4" i="31"/>
  <c r="O225" i="46" s="1"/>
  <c r="N225" i="44"/>
  <c r="CD8" i="31"/>
  <c r="N229" i="46"/>
  <c r="CE8" i="31"/>
  <c r="P229" i="46" s="1"/>
  <c r="N229" i="45"/>
  <c r="CF11" i="31"/>
  <c r="N232" i="44"/>
  <c r="CF6" i="31"/>
  <c r="O227" i="45" s="1"/>
  <c r="N227" i="44"/>
  <c r="N228" i="46"/>
  <c r="CD7" i="31"/>
  <c r="CF7" i="31"/>
  <c r="O228" i="46" s="1"/>
  <c r="N228" i="44"/>
  <c r="CE5" i="31"/>
  <c r="P226" i="46" s="1"/>
  <c r="N226" i="45"/>
  <c r="CD9" i="31"/>
  <c r="N230" i="46"/>
  <c r="N225" i="45"/>
  <c r="CE4" i="31"/>
  <c r="P225" i="46" s="1"/>
  <c r="CE7" i="31"/>
  <c r="P228" i="46" s="1"/>
  <c r="N228" i="45"/>
  <c r="N227" i="46"/>
  <c r="CD6" i="31"/>
  <c r="CF2" i="31"/>
  <c r="O223" i="45" s="1"/>
  <c r="N223" i="44"/>
  <c r="CD3" i="31"/>
  <c r="N224" i="46"/>
  <c r="N227" i="45"/>
  <c r="CE6" i="31"/>
  <c r="P227" i="46" s="1"/>
  <c r="CE9" i="31"/>
  <c r="P230" i="46" s="1"/>
  <c r="N230" i="45"/>
  <c r="CD11" i="31"/>
  <c r="P232" i="46"/>
  <c r="O232" i="46"/>
  <c r="N232" i="46"/>
  <c r="CE10" i="31"/>
  <c r="P231" i="46" s="1"/>
  <c r="O231" i="45"/>
  <c r="N231" i="45"/>
  <c r="Q130" i="11" l="1"/>
  <c r="X224" i="46"/>
  <c r="X223" i="46"/>
  <c r="X226" i="46" s="1"/>
  <c r="D33" i="93"/>
  <c r="AC224" i="46"/>
  <c r="O205" i="46"/>
  <c r="X203" i="46" s="1"/>
  <c r="N204" i="45"/>
  <c r="N205" i="46" s="1"/>
  <c r="O230" i="45"/>
  <c r="V5" i="57"/>
  <c r="O229" i="46"/>
  <c r="O228" i="45"/>
  <c r="AD224" i="46"/>
  <c r="AE204" i="46"/>
  <c r="AD204" i="46"/>
  <c r="C48" i="93" s="1"/>
  <c r="AC204" i="46"/>
  <c r="O204" i="46"/>
  <c r="O211" i="46"/>
  <c r="O210" i="46"/>
  <c r="O227" i="46"/>
  <c r="O226" i="45"/>
  <c r="N209" i="45"/>
  <c r="N209" i="46" s="1"/>
  <c r="N208" i="45"/>
  <c r="N208" i="46" s="1"/>
  <c r="O208" i="46"/>
  <c r="O209" i="46"/>
  <c r="O225" i="45"/>
  <c r="O224" i="46"/>
  <c r="O223" i="46"/>
  <c r="X205" i="46" l="1"/>
  <c r="X204" i="46"/>
  <c r="X207" i="46" s="1"/>
  <c r="AC203" i="46"/>
  <c r="B47" i="93" s="1"/>
  <c r="AC223" i="46"/>
  <c r="AD223" i="46"/>
  <c r="AD226" i="46" s="1"/>
  <c r="AD203" i="46"/>
  <c r="AE203" i="46"/>
  <c r="AE206" i="46" s="1"/>
  <c r="AF204" i="46"/>
  <c r="B54" i="93"/>
  <c r="C54" i="93" s="1"/>
  <c r="AE224" i="46"/>
  <c r="Q130" i="46"/>
  <c r="P19" i="22" s="1"/>
  <c r="N210" i="46"/>
  <c r="N204" i="46"/>
  <c r="N207" i="46"/>
  <c r="N206" i="46"/>
  <c r="N130" i="46"/>
  <c r="B48" i="93"/>
  <c r="D48" i="93" s="1"/>
  <c r="N211" i="46"/>
  <c r="X225" i="46"/>
  <c r="N130" i="44"/>
  <c r="N130" i="45"/>
  <c r="Q130" i="44"/>
  <c r="Q130" i="45"/>
  <c r="N130" i="11"/>
  <c r="AB224" i="46"/>
  <c r="AB204" i="46"/>
  <c r="N135" i="46" l="1"/>
  <c r="K22" i="22" s="1"/>
  <c r="K19" i="22"/>
  <c r="D18" i="93" s="1"/>
  <c r="Q135" i="46"/>
  <c r="P22" i="22" s="1"/>
  <c r="AF203" i="46"/>
  <c r="AF206" i="46" s="1"/>
  <c r="D20" i="93"/>
  <c r="AE223" i="46"/>
  <c r="AE226" i="46" s="1"/>
  <c r="AB223" i="46"/>
  <c r="AB226" i="46" s="1"/>
  <c r="B53" i="93"/>
  <c r="C53" i="93" s="1"/>
  <c r="Q135" i="45"/>
  <c r="Q135" i="44"/>
  <c r="I16" i="18"/>
  <c r="N135" i="11"/>
  <c r="I19" i="18" s="1"/>
  <c r="N135" i="45"/>
  <c r="N16" i="18"/>
  <c r="Q135" i="11"/>
  <c r="N19" i="18" s="1"/>
  <c r="N135" i="44"/>
  <c r="AD206" i="46"/>
  <c r="C47" i="93"/>
  <c r="AC226" i="46"/>
  <c r="AC206" i="46"/>
  <c r="AB203" i="46"/>
  <c r="AB206" i="46" s="1"/>
  <c r="X206" i="46"/>
  <c r="D47" i="93" l="1"/>
  <c r="E6" i="93" s="1"/>
  <c r="D35" i="93"/>
  <c r="V9" i="58" l="1"/>
  <c r="V14" i="58" s="1"/>
  <c r="V17" i="58" s="1"/>
  <c r="N137" i="44" l="1"/>
  <c r="N138" i="44" s="1"/>
  <c r="N137" i="46"/>
  <c r="N137" i="45"/>
  <c r="N138" i="45" s="1"/>
  <c r="E18" i="93" l="1"/>
  <c r="E33" i="93" s="1"/>
  <c r="E34" i="93" s="1"/>
  <c r="N138" i="46"/>
  <c r="E19" i="93" s="1"/>
  <c r="Q137" i="45"/>
  <c r="Q138" i="45" s="1"/>
  <c r="Q137" i="44"/>
  <c r="Q138" i="44" s="1"/>
  <c r="Q137" i="46"/>
  <c r="P24" i="22" s="1"/>
  <c r="E20" i="93" l="1"/>
  <c r="E35" i="93" s="1"/>
  <c r="E36" i="93" s="1"/>
  <c r="Q138" i="46"/>
  <c r="V9" i="59"/>
  <c r="V14" i="59" s="1"/>
  <c r="V17" i="59" s="1"/>
  <c r="E21" i="93" l="1"/>
  <c r="N140" i="46"/>
  <c r="N140" i="45"/>
  <c r="N141" i="45" s="1"/>
  <c r="N141" i="46" l="1"/>
  <c r="Q140" i="46"/>
  <c r="Q140" i="45"/>
  <c r="Q141" i="45" s="1"/>
  <c r="Q141" i="46" l="1"/>
  <c r="V9" i="60"/>
  <c r="V14" i="60" s="1"/>
  <c r="V17" i="60" l="1"/>
  <c r="Q143" i="46" s="1"/>
  <c r="N143" i="46"/>
  <c r="N144" i="46" l="1"/>
  <c r="G19" i="93" s="1"/>
  <c r="G18" i="93"/>
  <c r="G33" i="93" s="1"/>
  <c r="G20" i="93"/>
  <c r="G35" i="93" s="1"/>
  <c r="Q144" i="46"/>
  <c r="G21" i="93" s="1"/>
  <c r="G36" i="93" l="1"/>
  <c r="G34" i="93"/>
  <c r="K29" i="22" l="1"/>
  <c r="F19" i="93" s="1"/>
  <c r="H19" i="93" s="1"/>
  <c r="I18" i="93" s="1"/>
  <c r="F21" i="93"/>
  <c r="H21" i="93" s="1"/>
  <c r="I20" i="93" s="1"/>
  <c r="F18" i="93"/>
  <c r="F33" i="93" s="1"/>
  <c r="F34" i="93" s="1"/>
  <c r="H34" i="93" s="1"/>
  <c r="I33" i="93" s="1"/>
  <c r="P28" i="22"/>
  <c r="F20" i="93" s="1"/>
  <c r="F35" i="93" s="1"/>
  <c r="F36" i="93" s="1"/>
  <c r="H36" i="93" s="1"/>
  <c r="I35" i="93" s="1"/>
  <c r="M39" i="22"/>
  <c r="E4" i="93" l="1"/>
  <c r="E3" i="93"/>
  <c r="E7" i="93" l="1"/>
  <c r="H7" i="93" s="1"/>
  <c r="G8"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悠希</author>
  </authors>
  <commentList>
    <comment ref="G26" authorId="0" shapeId="0" xr:uid="{4657A752-2965-410F-9321-B5A206FD5CD1}">
      <text>
        <r>
          <rPr>
            <sz val="12"/>
            <color indexed="81"/>
            <rFont val="メイリオ"/>
            <family val="3"/>
            <charset val="128"/>
          </rPr>
          <t>算定対象としたその他名称を記入</t>
        </r>
      </text>
    </comment>
    <comment ref="R26" authorId="0" shapeId="0" xr:uid="{DC31F5D3-46B5-4AB0-B4A3-551EA2953C88}">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悠希</author>
  </authors>
  <commentList>
    <comment ref="G26" authorId="0" shapeId="0" xr:uid="{56AA7118-C4E1-4260-A5A8-4C6CBEEAFE7C}">
      <text>
        <r>
          <rPr>
            <sz val="12"/>
            <color indexed="81"/>
            <rFont val="メイリオ"/>
            <family val="3"/>
            <charset val="128"/>
          </rPr>
          <t>算定対象としたその他名称を記入</t>
        </r>
      </text>
    </comment>
    <comment ref="R26" authorId="0" shapeId="0" xr:uid="{86DBF63D-B88E-4D2F-B03E-A392D0CED728}">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悠希</author>
  </authors>
  <commentList>
    <comment ref="G26" authorId="0" shapeId="0" xr:uid="{2E23669A-FE94-494C-BC16-113178F4FAA1}">
      <text>
        <r>
          <rPr>
            <sz val="12"/>
            <color indexed="81"/>
            <rFont val="メイリオ"/>
            <family val="3"/>
            <charset val="128"/>
          </rPr>
          <t>算定対象としたその他名称を記入</t>
        </r>
      </text>
    </comment>
    <comment ref="R26" authorId="0" shapeId="0" xr:uid="{0716D378-D473-4915-8C0B-7CB7AB66CBAD}">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佐藤 悠希</author>
  </authors>
  <commentList>
    <comment ref="G26" authorId="0" shapeId="0" xr:uid="{E09F273E-89C4-45B0-B07E-BACA83A16F21}">
      <text>
        <r>
          <rPr>
            <sz val="12"/>
            <color indexed="81"/>
            <rFont val="メイリオ"/>
            <family val="3"/>
            <charset val="128"/>
          </rPr>
          <t>算定対象としたその他名称を記入</t>
        </r>
      </text>
    </comment>
    <comment ref="R26" authorId="0" shapeId="0" xr:uid="{CD49F3DD-4124-4456-9788-0DB31E1E2B75}">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T10" authorId="0" shapeId="0" xr:uid="{9E9AF8BA-1469-429B-B23D-57C6A495B48E}">
      <text>
        <r>
          <rPr>
            <sz val="8"/>
            <color indexed="81"/>
            <rFont val="メイリオ"/>
            <family val="3"/>
            <charset val="128"/>
          </rPr>
          <t>※排出係数の数式注意（標準環境状態への換算のため0.904を乗じる）</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T10" authorId="0" shapeId="0" xr:uid="{078C4E79-DC30-4525-96B7-46A6B717ADB8}">
      <text>
        <r>
          <rPr>
            <sz val="8"/>
            <color indexed="81"/>
            <rFont val="メイリオ"/>
            <family val="3"/>
            <charset val="128"/>
          </rPr>
          <t>※排出係数の数式注意（標準環境状態への換算のため0.904を乗じる）</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T10" authorId="0" shapeId="0" xr:uid="{C43F62F2-3C90-4C70-A767-80CFABC8126F}">
      <text>
        <r>
          <rPr>
            <sz val="8"/>
            <color indexed="81"/>
            <rFont val="メイリオ"/>
            <family val="3"/>
            <charset val="128"/>
          </rPr>
          <t>※排出係数の数式注意（標準環境状態への換算のため0.904を乗じる）</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T10" authorId="0" shapeId="0" xr:uid="{1863874F-EE56-4152-B32B-D55C13D7C62A}">
      <text>
        <r>
          <rPr>
            <sz val="8"/>
            <color indexed="81"/>
            <rFont val="メイリオ"/>
            <family val="3"/>
            <charset val="128"/>
          </rPr>
          <t>※排出係数の数式注意（標準環境状態への換算のため0.904を乗じる）</t>
        </r>
        <r>
          <rPr>
            <sz val="9"/>
            <color indexed="81"/>
            <rFont val="MS P ゴシック"/>
            <family val="3"/>
            <charset val="12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0049322_指定表(AP)_提出" type="4" refreshedVersion="0" background="1">
    <webPr xml="1" sourceData="1" url="C:\Users\h.hosoi\Downloads\0049322_指定表(AP)_提出.xml" htmlTables="1" htmlFormat="all"/>
  </connection>
  <connection id="2" xr16:uid="{00000000-0015-0000-FFFF-FFFF01000000}" name="0049322_指定表(AP)_提出1" type="4" refreshedVersion="0" background="1">
    <webPr xml="1" sourceData="1" url="C:\Users\h.hosoi\Downloads\0049322_指定表(AP)_提出.xml" htmlTables="1" htmlFormat="all"/>
  </connection>
  <connection id="3" xr16:uid="{00000000-0015-0000-FFFF-FFFF02000000}" name="0049322_指定表(AP)_提出2" type="4" refreshedVersion="0" background="1">
    <webPr xml="1" sourceData="1" url="C:\Users\h.hosoi\Downloads\0049322_指定表(AP)_提出.xml" htmlTables="1" htmlFormat="all"/>
  </connection>
  <connection id="4" xr16:uid="{00000000-0015-0000-FFFF-FFFF03000000}" name="0049322_指定表(AP)_提出3" type="4" refreshedVersion="0" background="1">
    <webPr xml="1" sourceData="1" url="C:\Users\h.hosoi\Downloads\0049322_指定表(AP)_提出.xml" htmlTables="1" htmlFormat="all"/>
  </connection>
  <connection id="5" xr16:uid="{00000000-0015-0000-FFFF-FFFF04000000}" name="0049322_指定表(AP)_提出4" type="4" refreshedVersion="0" background="1">
    <webPr xml="1" sourceData="1" url="C:\Users\h.hosoi\Downloads\東北経済産業局長・東北地方環境事務所長・東北地方整備局長・東北農政局長・東北厚生局長\0049322_指定表(AP)_提出.xml" htmlTables="1" htmlFormat="all"/>
  </connection>
  <connection id="6" xr16:uid="{00000000-0015-0000-FFFF-FFFF05000000}" name="0049322_指定表(AP)_提出5" type="4" refreshedVersion="0" background="1">
    <webPr xml="1" sourceData="1" url="C:\Users\h.hosoi\Downloads\東北経済産業局長・東北地方環境事務所長・東北地方整備局長・東北農政局長・東北厚生局長\0049322_指定表(AP)_提出.xml" htmlTables="1" htmlFormat="all"/>
  </connection>
  <connection id="7" xr16:uid="{00000000-0015-0000-FFFF-FFFF06000000}" name="0049322_指定表(AP)_提出6" type="4" refreshedVersion="0" background="1">
    <webPr xml="1" sourceData="1" url="C:\Users\h.hosoi\Downloads\東北経済産業局長・東北地方環境事務所長・東北地方整備局長・東北農政局長・東北厚生局長\0049322_指定表(AP)_提出.xml" htmlTables="1" htmlFormat="all"/>
  </connection>
  <connection id="8" xr16:uid="{00000000-0015-0000-FFFF-FFFF07000000}" name="0049322_指定表(AP)_提出7" type="4" refreshedVersion="0" background="1">
    <webPr xml="1" sourceData="1" url="C:\Users\h.hosoi\Downloads\東北経済産業局長・東北地方環境事務所長・東北地方整備局長・東北農政局長・東北厚生局長\0049322_指定表(AP)_提出.xml" htmlTables="1" htmlFormat="all"/>
  </connection>
  <connection id="9" xr16:uid="{00000000-0015-0000-FFFF-FFFF08000000}" name="0049322_指定表(AP)_提出8" type="4" refreshedVersion="0" background="1">
    <webPr xml="1" sourceData="1" url="C:\Users\h.hosoi\Downloads\東北経済産業局長・東北地方環境事務所長・東北地方整備局長・東北農政局長・東北厚生局長\0049322_指定表(AP)_提出.xml" htmlTables="1" htmlFormat="all"/>
  </connection>
  <connection id="10" xr16:uid="{00000000-0015-0000-FFFF-FFFF09000000}" name="0059921_特定表(AP)_提出" type="4" refreshedVersion="0" background="1">
    <webPr xml="1" sourceData="1" url="C:\Users\h.hosoi\Downloads\0059921_特定表(AP)_提出.xml" htmlTables="1" htmlFormat="all"/>
  </connection>
  <connection id="11" xr16:uid="{00000000-0015-0000-FFFF-FFFF0A000000}" name="1234567_特定表(AP)_提出" type="4" refreshedVersion="0" background="1">
    <webPr xml="1" sourceData="1" url="C:\Users\h.hosoi\Downloads\1234567_特定表(AP)_提出.xml" htmlTables="1" htmlFormat="all"/>
  </connection>
  <connection id="12" xr16:uid="{00000000-0015-0000-FFFF-FFFF0B000000}" name="2223334_指定表(AP)_提出" type="4" refreshedVersion="0" background="1">
    <webPr xml="1" sourceData="1" url="\\TO-SHARE3\share-tokyo\00.地エネ室\01_個人別フォルダ\細井\20200312仙台市ツールデモ\定期報告書データ(XML)\2223334_指定表(AP)_提出.xml" htmlTables="1" htmlFormat="all"/>
  </connection>
  <connection id="13" xr16:uid="{00000000-0015-0000-FFFF-FFFF0C000000}" name="2223334_指定表(AP)_提出1" type="4" refreshedVersion="0" background="1">
    <webPr xml="1" sourceData="1" url="\\TO-SHARE3\share-tokyo\00.地エネ室\01_個人別フォルダ\細井\20200312仙台市ツールデモ\定期報告書データ(XML)\2223334_指定表(AP)_提出.xml" htmlTables="1" htmlFormat="all"/>
  </connection>
  <connection id="14" xr16:uid="{00000000-0015-0000-FFFF-FFFF0D000000}" name="2223334_指定表(AP)_提出10" type="4" refreshedVersion="0" background="1">
    <webPr xml="1" sourceData="1" url="C:\Users\h.hosoi\Downloads\2223334_指定表(AP)_提出.xml" htmlTables="1" htmlFormat="all"/>
  </connection>
  <connection id="15" xr16:uid="{00000000-0015-0000-FFFF-FFFF0E000000}" name="2223334_指定表(AP)_提出11" type="4" refreshedVersion="0" background="1">
    <webPr xml="1" sourceData="1" url="C:\Users\h.hosoi\Downloads\2223334_指定表(AP)_提出.xml" htmlTables="1" htmlFormat="all"/>
  </connection>
  <connection id="16" xr16:uid="{00000000-0015-0000-FFFF-FFFF0F000000}" name="2223334_指定表(AP)_提出12" type="4" refreshedVersion="0" background="1">
    <webPr xml="1" sourceData="1" url="C:\Users\h.hosoi\Documents\ツール\01_仙台市ツール\旧ツール\Demo用\定期報告書データ(XML)\関東経済産業局長\2223334_指定表(AP)_提出.xml" htmlTables="1" htmlFormat="all"/>
  </connection>
  <connection id="17" xr16:uid="{00000000-0015-0000-FFFF-FFFF10000000}" name="2223334_指定表(AP)_提出2" type="4" refreshedVersion="0" background="1">
    <webPr xml="1" sourceData="1" url="C:\Users\h.hosoi\Documents\定期報告書作成支援ツール\定期報告書データ(XML)\関東経済産業局長\2223334_指定表(AP)_提出.xml" htmlTables="1" htmlFormat="all"/>
  </connection>
  <connection id="18" xr16:uid="{00000000-0015-0000-FFFF-FFFF11000000}" name="2223334_指定表(AP)_提出3" type="4" refreshedVersion="0" background="1">
    <webPr xml="1" sourceData="1" url="\\TO-SHARE3\share-tokyo\00.地エネ室\01_個人別フォルダ\細井\20200312仙台市ツールデモ\定期報告書データ(XML)\2223334_指定表(AP)_提出.xml" htmlTables="1" htmlFormat="all"/>
  </connection>
  <connection id="19" xr16:uid="{00000000-0015-0000-FFFF-FFFF12000000}" name="2223334_指定表(AP)_提出4" type="4" refreshedVersion="0" background="1">
    <webPr xml="1" sourceData="1" url="\\TO-SHARE3\share-tokyo\00.地エネ室\01_個人別フォルダ\細井\20200312仙台市ツールデモ\定期報告書データ(XML)\2223334_指定表(AP)_提出.xml" htmlTables="1" htmlFormat="all"/>
  </connection>
  <connection id="20" xr16:uid="{00000000-0015-0000-FFFF-FFFF13000000}" name="2223334_指定表(AP)_提出5" type="4" refreshedVersion="0" background="1">
    <webPr xml="1" sourceData="1" url="C:\Users\h.hosoi\Documents\定期報告書作成支援ツール\定期報告書データ(XML)\関東経済産業局長\2223334_指定表(AP)_提出.xml" htmlTables="1" htmlFormat="all"/>
  </connection>
  <connection id="21" xr16:uid="{00000000-0015-0000-FFFF-FFFF14000000}" name="2223334_指定表(AP)_提出6" type="4" refreshedVersion="0" background="1">
    <webPr xml="1" sourceData="1" url="C:\Users\h.hosoi\Documents\定期報告書作成支援ツール\定期報告書データ(XML)\関東経済産業局長\2223334_指定表(AP)_提出.xml" htmlTables="1" htmlFormat="all"/>
  </connection>
  <connection id="22" xr16:uid="{00000000-0015-0000-FFFF-FFFF15000000}" name="2223334_指定表(AP)_提出7" type="4" refreshedVersion="0" background="1">
    <webPr xml="1" sourceData="1" url="C:\Users\h.hosoi\Documents\定期報告書作成支援ツール\定期報告書データ(XML)\関東経済産業局長\2223334_指定表(AP)_提出.xml" htmlTables="1" htmlFormat="all"/>
  </connection>
  <connection id="23" xr16:uid="{00000000-0015-0000-FFFF-FFFF16000000}" name="2223334_指定表(AP)_提出8" type="4" refreshedVersion="0" background="1">
    <webPr xml="1" sourceData="1" url="C:\Users\h.hosoi\Documents\定期報告書作成支援ツール\定期報告書データ(XML)\関東経済産業局長\2223334_指定表(AP)_提出.xml" htmlTables="1" htmlFormat="all"/>
  </connection>
  <connection id="24" xr16:uid="{00000000-0015-0000-FFFF-FFFF17000000}" name="2223334_指定表(AP)_提出9" type="4" refreshedVersion="0" background="1">
    <webPr xml="1" sourceData="1" url="C:\Users\h.hosoi\Documents\定期報告書作成支援ツール\定期報告書データ(XML)\関東経済産業局長\2223334_指定表(AP)_提出.xml" htmlTables="1" htmlFormat="all"/>
  </connection>
  <connection id="25" xr16:uid="{00000000-0015-0000-FFFF-FFFF18000000}" name="3334445_指定表(AP)_提出" type="4" refreshedVersion="0" background="1">
    <webPr xml="1" sourceData="1" url="\\TO-SHARE3\share-tokyo\00.地エネ室\01_個人別フォルダ\細井\20200312仙台市ツールデモ\定期報告書データ(XML)\3334445_指定表(AP)_提出.xml" htmlTables="1" htmlFormat="all"/>
  </connection>
  <connection id="26" xr16:uid="{00000000-0015-0000-FFFF-FFFF19000000}" name="3334445_指定表(AP)_提出1" type="4" refreshedVersion="0" background="1">
    <webPr xml="1" sourceData="1" url="C:\Users\h.hosoi\Documents\定期報告書作成支援ツール\定期報告書データ(XML)\関東経済産業局長\3334445_指定表(AP)_提出.xml" htmlTables="1" htmlFormat="all"/>
  </connection>
  <connection id="27" xr16:uid="{00000000-0015-0000-FFFF-FFFF1A000000}" name="3334445_指定表(AP)_提出2" type="4" refreshedVersion="0" background="1">
    <webPr xml="1" sourceData="1" url="C:\Users\h.hosoi\Documents\定期報告書作成支援ツール\定期報告書データ(XML)\関東経済産業局長\3334445_指定表(AP)_提出.xml" htmlTables="1" htmlFormat="all"/>
  </connection>
  <connection id="28" xr16:uid="{00000000-0015-0000-FFFF-FFFF1B000000}" name="3334445_指定表(AP)_提出3" type="4" refreshedVersion="0" background="1">
    <webPr xml="1" sourceData="1" url="C:\Users\h.hosoi\Documents\定期報告書作成支援ツール\定期報告書データ(XML)\関東経済産業局長\3334445_指定表(AP)_提出.xml" htmlTables="1" htmlFormat="all"/>
  </connection>
  <connection id="29" xr16:uid="{00000000-0015-0000-FFFF-FFFF1C000000}" name="3334445_指定表(AP)_提出4" type="4" refreshedVersion="0" background="1">
    <webPr xml="1" sourceData="1" url="\\TO-SHARE3\share-tokyo\00.地エネ室\01_個人別フォルダ\細井\20200312仙台市ツールデモ\定期報告書データ(XML)\3334445_指定表(AP)_提出.xml" htmlTables="1" htmlFormat="all"/>
  </connection>
  <connection id="30" xr16:uid="{00000000-0015-0000-FFFF-FFFF1D000000}" name="3334445_指定表(AP)_提出5" type="4" refreshedVersion="0" background="1">
    <webPr xml="1" sourceData="1" url="C:\Users\h.hosoi\Documents\定期報告書作成支援ツール\定期報告書データ(XML)\関東経済産業局長\3334445_指定表(AP)_提出.xml" htmlTables="1" htmlFormat="all"/>
  </connection>
  <connection id="31" xr16:uid="{00000000-0015-0000-FFFF-FFFF1E000000}" name="9612345_指定表(AP)_提出" type="4" refreshedVersion="0" background="1">
    <webPr xml="1" sourceData="1" url="\\TO-SHARE3\share-tokyo\00.地エネ室\01_個人別フォルダ\細井\20200312仙台市ツールデモ\定期報告書データ(XML)\9612345_指定表(AP)_提出.xml" htmlTables="1" htmlFormat="all"/>
  </connection>
  <connection id="32" xr16:uid="{00000000-0015-0000-FFFF-FFFF1F000000}" name="9612345_指定表(AP)_提出1" type="4" refreshedVersion="0" background="1">
    <webPr xml="1" sourceData="1" url="\\TO-SHARE3\share-tokyo\00.地エネ室\01_個人別フォルダ\細井\20200312仙台市ツールデモ\定期報告書データ(XML)\9612345_指定表(AP)_提出.xml" htmlTables="1" htmlFormat="all"/>
  </connection>
  <connection id="33" xr16:uid="{00000000-0015-0000-FFFF-FFFF20000000}" name="9612345_指定表(AP)_提出2" type="4" refreshedVersion="0" background="1">
    <webPr xml="1" sourceData="1" url="\\TO-SHARE3\share-tokyo\00.地エネ室\01_個人別フォルダ\細井\20200312仙台市ツールデモ\定期報告書データ(XML)\9612345_指定表(AP)_提出.xml" htmlTables="1" htmlFormat="all"/>
  </connection>
  <connection id="34" xr16:uid="{00000000-0015-0000-FFFF-FFFF21000000}" name="9612345_指定表(AP)_提出3" type="4" refreshedVersion="0" background="1">
    <webPr xml="1" sourceData="1" url="\\TO-SHARE3\share-tokyo\00.地エネ室\01_個人別フォルダ\細井\20200312仙台市ツールデモ\定期報告書データ(XML)\9612345_指定表(AP)_提出.xml" htmlTables="1" htmlFormat="all"/>
  </connection>
  <connection id="35" xr16:uid="{00000000-0015-0000-FFFF-FFFF22000000}" name="9612345_指定表(AP)_提出4" type="4" refreshedVersion="0" background="1">
    <webPr xml="1" sourceData="1" url="C:\Users\h.hosoi\Documents\定期報告書作成支援ツール\定期報告書データ(XML)\関東経済産業局長\9612345_指定表(AP)_提出.xml" htmlTables="1" htmlFormat="all"/>
  </connection>
  <connection id="36" xr16:uid="{00000000-0015-0000-FFFF-FFFF23000000}" name="9612345_指定表(AP)_提出5" type="4" refreshedVersion="0" background="1">
    <webPr xml="1" sourceData="1" url="C:\Users\h.hosoi\Documents\定期報告書作成支援ツール\定期報告書データ(XML)\関東経済産業局長\9612345_指定表(AP)_提出.xml" htmlTables="1" htmlFormat="all"/>
  </connection>
  <connection id="37" xr16:uid="{00000000-0015-0000-FFFF-FFFF24000000}" name="9612345_指定表(AP)_提出6" type="4" refreshedVersion="0" background="1">
    <webPr xml="1" sourceData="1" url="C:\Users\h.hosoi\Documents\定期報告書作成支援ツール\定期報告書データ(XML)\関東経済産業局長\9612345_指定表(AP)_提出.xml" htmlTables="1" htmlFormat="all"/>
  </connection>
  <connection id="38" xr16:uid="{00000000-0015-0000-FFFF-FFFF25000000}" name="9612345_指定表(AP)_提出7" type="4" refreshedVersion="0" background="1">
    <webPr xml="1" sourceData="1" url="C:\Users\h.hosoi\Downloads\9612345_指定表(AP)_提出.xml" htmlTables="1" htmlFormat="all"/>
  </connection>
  <connection id="39" xr16:uid="{00000000-0015-0000-FFFF-FFFF26000000}" name="9612345_指定表(AP)_提出8" type="4" refreshedVersion="0" background="1">
    <webPr xml="1" sourceData="1" url="C:\Users\h.hosoi\Downloads\9612345_指定表(AP)_提出.xml" htmlTables="1" htmlFormat="all"/>
  </connection>
  <connection id="40" xr16:uid="{00000000-0015-0000-FFFF-FFFF27000000}" name="9612345_指定表(AP)_提出9" type="4" refreshedVersion="0" background="1">
    <webPr xml="1" sourceData="1" url="C:\Users\h.hosoi\Downloads\9612345_指定表(AP)_提出.xml" htmlTables="1" htmlFormat="all"/>
  </connection>
  <connection id="41" xr16:uid="{00000000-0015-0000-FFFF-FFFF28000000}" name="9612345_指定表(AP)_保存" type="4" refreshedVersion="0" background="1">
    <webPr xml="1" sourceData="1" url="C:\Users\h.hosoi\Downloads\9612345_指定表(AP)_保存.xml" htmlTables="1" htmlFormat="all"/>
  </connection>
  <connection id="42" xr16:uid="{00000000-0015-0000-FFFF-FFFF29000000}" name="9612345_指定表(AP)_保存1" type="4" refreshedVersion="0" background="1">
    <webPr xml="1" sourceData="1" url="C:\Users\h.hosoi\Downloads\9612345_指定表(AP)_保存.xml" htmlTables="1" htmlFormat="all"/>
  </connection>
  <connection id="43" xr16:uid="{00000000-0015-0000-FFFF-FFFF2A000000}" name="a1234567_特定表(AP)_提出" type="4" refreshedVersion="0" background="1">
    <webPr xml="1" sourceData="1" url="C:\Users\h.hosoi\Downloads\a1234567_特定表(AP)_提出.xml" htmlTables="1" htmlFormat="all"/>
  </connection>
  <connection id="44" xr16:uid="{00000000-0015-0000-FFFF-FFFF2B000000}" name="村山工場_未指定工場情報(AP)_提出" type="4" refreshedVersion="0" background="1">
    <webPr xml="1" sourceData="1" url="C:\Users\h.hosoi\Documents\定期報告書作成支援ツール\定期報告書データ(XML)\関東経済産業局長\村山工場_未指定工場情報(AP)_提出.xml" htmlTables="1" htmlFormat="all"/>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<sst xmlns="http://schemas.openxmlformats.org/spreadsheetml/2006/main" count="6951" uniqueCount="4552">
  <si>
    <t>日</t>
    <rPh sb="0" eb="1">
      <t>ニチ</t>
    </rPh>
    <phoneticPr fontId="1"/>
  </si>
  <si>
    <t>月</t>
    <rPh sb="0" eb="1">
      <t>ゲツ</t>
    </rPh>
    <phoneticPr fontId="1"/>
  </si>
  <si>
    <t>年</t>
    <rPh sb="0" eb="1">
      <t>ネン</t>
    </rPh>
    <phoneticPr fontId="1"/>
  </si>
  <si>
    <t>（あて先）仙台市長</t>
    <rPh sb="3" eb="4">
      <t>サキ</t>
    </rPh>
    <rPh sb="5" eb="8">
      <t>センダイシ</t>
    </rPh>
    <rPh sb="8" eb="9">
      <t>チョウ</t>
    </rPh>
    <phoneticPr fontId="1"/>
  </si>
  <si>
    <t>住所</t>
    <rPh sb="0" eb="2">
      <t>ジュウショ</t>
    </rPh>
    <phoneticPr fontId="1"/>
  </si>
  <si>
    <t>事業者の名称</t>
    <rPh sb="0" eb="2">
      <t>ジギョウ</t>
    </rPh>
    <rPh sb="2" eb="3">
      <t>シャ</t>
    </rPh>
    <rPh sb="4" eb="6">
      <t>メイショウ</t>
    </rPh>
    <phoneticPr fontId="3"/>
  </si>
  <si>
    <t>事業所の名称</t>
    <rPh sb="0" eb="2">
      <t>ジギョウ</t>
    </rPh>
    <rPh sb="2" eb="3">
      <t>ショ</t>
    </rPh>
    <rPh sb="4" eb="6">
      <t>メイショウ</t>
    </rPh>
    <phoneticPr fontId="3"/>
  </si>
  <si>
    <t>事業所の所在地</t>
    <rPh sb="0" eb="2">
      <t>ジギョウ</t>
    </rPh>
    <rPh sb="2" eb="3">
      <t>ショ</t>
    </rPh>
    <rPh sb="4" eb="7">
      <t>ショザイチ</t>
    </rPh>
    <phoneticPr fontId="3"/>
  </si>
  <si>
    <t>連絡先</t>
    <phoneticPr fontId="3"/>
  </si>
  <si>
    <t>電話番号</t>
    <phoneticPr fontId="3"/>
  </si>
  <si>
    <t>メールアドレス</t>
    <phoneticPr fontId="3"/>
  </si>
  <si>
    <t>担当者</t>
    <rPh sb="2" eb="3">
      <t>シャ</t>
    </rPh>
    <phoneticPr fontId="3"/>
  </si>
  <si>
    <t>部署名</t>
    <rPh sb="0" eb="2">
      <t>ブショ</t>
    </rPh>
    <rPh sb="1" eb="3">
      <t>ショメイ</t>
    </rPh>
    <phoneticPr fontId="3"/>
  </si>
  <si>
    <t>氏名</t>
    <rPh sb="0" eb="2">
      <t>シメイ</t>
    </rPh>
    <phoneticPr fontId="3"/>
  </si>
  <si>
    <t>※受理</t>
    <rPh sb="1" eb="3">
      <t>ジュリ</t>
    </rPh>
    <phoneticPr fontId="3"/>
  </si>
  <si>
    <t xml:space="preserve"> ※整理番号</t>
    <rPh sb="2" eb="4">
      <t>セイリ</t>
    </rPh>
    <phoneticPr fontId="3"/>
  </si>
  <si>
    <t>※備考</t>
    <rPh sb="1" eb="3">
      <t>ビコウ</t>
    </rPh>
    <phoneticPr fontId="1"/>
  </si>
  <si>
    <t>届出者</t>
    <rPh sb="0" eb="2">
      <t>トドケデ</t>
    </rPh>
    <rPh sb="2" eb="3">
      <t>シャ</t>
    </rPh>
    <phoneticPr fontId="1"/>
  </si>
  <si>
    <t>法人の所在地</t>
    <rPh sb="0" eb="2">
      <t>ホウジン</t>
    </rPh>
    <rPh sb="3" eb="6">
      <t>ショザイチ</t>
    </rPh>
    <phoneticPr fontId="1"/>
  </si>
  <si>
    <t>法人の名称</t>
    <rPh sb="0" eb="2">
      <t>ホウジン</t>
    </rPh>
    <rPh sb="3" eb="5">
      <t>メイショウ</t>
    </rPh>
    <phoneticPr fontId="1"/>
  </si>
  <si>
    <t>代表者の職・氏名</t>
    <rPh sb="0" eb="3">
      <t>ダイヒョウシャ</t>
    </rPh>
    <rPh sb="4" eb="5">
      <t>ショク</t>
    </rPh>
    <rPh sb="6" eb="8">
      <t>シメイ</t>
    </rPh>
    <phoneticPr fontId="1"/>
  </si>
  <si>
    <t>代理者の職・氏名</t>
    <rPh sb="0" eb="2">
      <t>ダイリ</t>
    </rPh>
    <rPh sb="2" eb="3">
      <t>シャ</t>
    </rPh>
    <rPh sb="4" eb="5">
      <t>ショク</t>
    </rPh>
    <rPh sb="6" eb="8">
      <t>シメイ</t>
    </rPh>
    <phoneticPr fontId="1"/>
  </si>
  <si>
    <t>事業所の名称</t>
    <rPh sb="0" eb="2">
      <t>ジギョウ</t>
    </rPh>
    <rPh sb="2" eb="3">
      <t>ショ</t>
    </rPh>
    <rPh sb="4" eb="6">
      <t>メイショウ</t>
    </rPh>
    <phoneticPr fontId="1"/>
  </si>
  <si>
    <t>事業所の所在地</t>
    <rPh sb="0" eb="2">
      <t>ジギョウ</t>
    </rPh>
    <rPh sb="2" eb="3">
      <t>ショ</t>
    </rPh>
    <rPh sb="4" eb="7">
      <t>ショザイチ</t>
    </rPh>
    <phoneticPr fontId="1"/>
  </si>
  <si>
    <t>〒</t>
    <phoneticPr fontId="1"/>
  </si>
  <si>
    <t>-</t>
    <phoneticPr fontId="1"/>
  </si>
  <si>
    <t>産業分類番号</t>
    <rPh sb="0" eb="2">
      <t>サンギョウ</t>
    </rPh>
    <rPh sb="2" eb="4">
      <t>ブンルイ</t>
    </rPh>
    <rPh sb="4" eb="6">
      <t>バンゴウ</t>
    </rPh>
    <phoneticPr fontId="1"/>
  </si>
  <si>
    <t>事業の概要</t>
    <rPh sb="0" eb="2">
      <t>ジギョウ</t>
    </rPh>
    <rPh sb="3" eb="5">
      <t>ガイヨウ</t>
    </rPh>
    <phoneticPr fontId="1"/>
  </si>
  <si>
    <t>事業所の概要</t>
    <rPh sb="0" eb="2">
      <t>ジギョウ</t>
    </rPh>
    <rPh sb="2" eb="3">
      <t>ショ</t>
    </rPh>
    <rPh sb="4" eb="6">
      <t>ガイヨウ</t>
    </rPh>
    <phoneticPr fontId="1"/>
  </si>
  <si>
    <t>担当者</t>
    <rPh sb="0" eb="3">
      <t>タントウシャ</t>
    </rPh>
    <phoneticPr fontId="1"/>
  </si>
  <si>
    <t>所属部署</t>
    <rPh sb="0" eb="2">
      <t>ショゾク</t>
    </rPh>
    <rPh sb="2" eb="4">
      <t>ブショ</t>
    </rPh>
    <phoneticPr fontId="1"/>
  </si>
  <si>
    <t>氏名</t>
    <rPh sb="0" eb="2">
      <t>シメイ</t>
    </rPh>
    <phoneticPr fontId="1"/>
  </si>
  <si>
    <t>Eメールアドレス</t>
    <phoneticPr fontId="1"/>
  </si>
  <si>
    <t>法人の名称</t>
    <rPh sb="0" eb="2">
      <t>ホウジン</t>
    </rPh>
    <rPh sb="3" eb="5">
      <t>メイショウ</t>
    </rPh>
    <phoneticPr fontId="1"/>
  </si>
  <si>
    <t>代表者氏名</t>
    <rPh sb="0" eb="3">
      <t>ダイヒョウシャ</t>
    </rPh>
    <rPh sb="3" eb="5">
      <t>シメイ</t>
    </rPh>
    <phoneticPr fontId="1"/>
  </si>
  <si>
    <t>kl</t>
    <phoneticPr fontId="3"/>
  </si>
  <si>
    <t>単位</t>
    <rPh sb="0" eb="2">
      <t>タンイ</t>
    </rPh>
    <phoneticPr fontId="3"/>
  </si>
  <si>
    <t>GＪ/ｋｌ</t>
  </si>
  <si>
    <t>ナフサ</t>
  </si>
  <si>
    <t>灯油</t>
  </si>
  <si>
    <t>軽油</t>
  </si>
  <si>
    <t>Ａ重油</t>
  </si>
  <si>
    <t>Ｂ・Ｃ重油</t>
  </si>
  <si>
    <t>石油アスファルト</t>
  </si>
  <si>
    <t>t</t>
    <phoneticPr fontId="3"/>
  </si>
  <si>
    <t>GＪ/ｔ</t>
  </si>
  <si>
    <t>石油コークス</t>
  </si>
  <si>
    <t>石油ガス</t>
  </si>
  <si>
    <t>液化石油ガス     (LPG)</t>
    <phoneticPr fontId="3"/>
  </si>
  <si>
    <t>石油系炭化水素ガス</t>
    <phoneticPr fontId="3"/>
  </si>
  <si>
    <t>可燃性
天然ガス</t>
  </si>
  <si>
    <t>液化天然ガス     (LNG)</t>
    <phoneticPr fontId="3"/>
  </si>
  <si>
    <t>その他可燃性天然ガス</t>
  </si>
  <si>
    <t>GＪ/千ｍ３</t>
  </si>
  <si>
    <t>石炭</t>
  </si>
  <si>
    <t>石炭コークス</t>
  </si>
  <si>
    <t>コールタール</t>
  </si>
  <si>
    <t>コークス炉ガス</t>
  </si>
  <si>
    <t>高炉ガス</t>
  </si>
  <si>
    <t>転炉ガス</t>
  </si>
  <si>
    <t>都市ガス</t>
    <phoneticPr fontId="3"/>
  </si>
  <si>
    <t>GJ</t>
    <phoneticPr fontId="3"/>
  </si>
  <si>
    <t>GＪ/GＪ</t>
  </si>
  <si>
    <t>温水</t>
    <rPh sb="0" eb="2">
      <t>オンスイ</t>
    </rPh>
    <phoneticPr fontId="10"/>
  </si>
  <si>
    <t>冷水</t>
    <rPh sb="0" eb="2">
      <t>レイスイ</t>
    </rPh>
    <phoneticPr fontId="10"/>
  </si>
  <si>
    <t>小　　　　　計</t>
    <rPh sb="0" eb="1">
      <t>ショウ</t>
    </rPh>
    <rPh sb="6" eb="7">
      <t>ケイ</t>
    </rPh>
    <phoneticPr fontId="3"/>
  </si>
  <si>
    <t>－</t>
    <phoneticPr fontId="3"/>
  </si>
  <si>
    <t>名称</t>
    <rPh sb="0" eb="2">
      <t>メイショウ</t>
    </rPh>
    <phoneticPr fontId="3"/>
  </si>
  <si>
    <t>委任状</t>
    <rPh sb="0" eb="3">
      <t>イニンジョウ</t>
    </rPh>
    <phoneticPr fontId="1"/>
  </si>
  <si>
    <t>名称</t>
    <rPh sb="0" eb="2">
      <t>メイショウ</t>
    </rPh>
    <phoneticPr fontId="1"/>
  </si>
  <si>
    <t>記</t>
    <rPh sb="0" eb="1">
      <t>キ</t>
    </rPh>
    <phoneticPr fontId="1"/>
  </si>
  <si>
    <t>１　事業所の概要</t>
    <rPh sb="2" eb="4">
      <t>ジギョウ</t>
    </rPh>
    <rPh sb="4" eb="5">
      <t>ショ</t>
    </rPh>
    <rPh sb="6" eb="8">
      <t>ガイヨウ</t>
    </rPh>
    <phoneticPr fontId="3"/>
  </si>
  <si>
    <t>計画書</t>
    <rPh sb="0" eb="3">
      <t>ケイカクショ</t>
    </rPh>
    <phoneticPr fontId="1"/>
  </si>
  <si>
    <t>基準年度</t>
    <rPh sb="0" eb="2">
      <t>キジュン</t>
    </rPh>
    <rPh sb="2" eb="3">
      <t>ネン</t>
    </rPh>
    <rPh sb="3" eb="4">
      <t>ド</t>
    </rPh>
    <phoneticPr fontId="1"/>
  </si>
  <si>
    <t>換算係数</t>
    <rPh sb="0" eb="2">
      <t>カンサン</t>
    </rPh>
    <rPh sb="2" eb="4">
      <t>ケイスウ</t>
    </rPh>
    <phoneticPr fontId="3"/>
  </si>
  <si>
    <t>年度</t>
    <rPh sb="0" eb="2">
      <t>ネンド</t>
    </rPh>
    <phoneticPr fontId="1"/>
  </si>
  <si>
    <t>%</t>
    <phoneticPr fontId="3"/>
  </si>
  <si>
    <t>番号</t>
    <rPh sb="0" eb="2">
      <t>バンゴウ</t>
    </rPh>
    <phoneticPr fontId="1"/>
  </si>
  <si>
    <t>項目</t>
    <rPh sb="0" eb="2">
      <t>コウモク</t>
    </rPh>
    <phoneticPr fontId="1"/>
  </si>
  <si>
    <t>対策内容</t>
    <rPh sb="0" eb="2">
      <t>タイサク</t>
    </rPh>
    <rPh sb="2" eb="4">
      <t>ナイヨウ</t>
    </rPh>
    <phoneticPr fontId="1"/>
  </si>
  <si>
    <t>実施予定</t>
    <rPh sb="0" eb="2">
      <t>ジッシ</t>
    </rPh>
    <rPh sb="2" eb="4">
      <t>ヨテイ</t>
    </rPh>
    <phoneticPr fontId="1"/>
  </si>
  <si>
    <t>合計</t>
    <rPh sb="0" eb="2">
      <t>ゴウケイ</t>
    </rPh>
    <phoneticPr fontId="1"/>
  </si>
  <si>
    <t>排出係数</t>
    <phoneticPr fontId="3"/>
  </si>
  <si>
    <t>原油（コンデンセートを除く。）</t>
    <rPh sb="11" eb="12">
      <t>ノゾ</t>
    </rPh>
    <phoneticPr fontId="3"/>
  </si>
  <si>
    <t>原油のうちコンデンセート(NGL)</t>
    <rPh sb="0" eb="2">
      <t>ゲンユ</t>
    </rPh>
    <phoneticPr fontId="1"/>
  </si>
  <si>
    <t>揮発油</t>
    <phoneticPr fontId="1"/>
  </si>
  <si>
    <t>産業用蒸気</t>
    <rPh sb="0" eb="3">
      <t>サンギョウヨウ</t>
    </rPh>
    <rPh sb="3" eb="5">
      <t>ジョウキ</t>
    </rPh>
    <phoneticPr fontId="10"/>
  </si>
  <si>
    <t>自家発電</t>
    <rPh sb="0" eb="2">
      <t>ジカ</t>
    </rPh>
    <rPh sb="2" eb="4">
      <t>ハツデン</t>
    </rPh>
    <phoneticPr fontId="10"/>
  </si>
  <si>
    <t>その他買電</t>
    <phoneticPr fontId="1"/>
  </si>
  <si>
    <t>使用量</t>
    <rPh sb="0" eb="3">
      <t>シヨウリョウ</t>
    </rPh>
    <phoneticPr fontId="3"/>
  </si>
  <si>
    <t>熱量合計</t>
    <rPh sb="0" eb="2">
      <t>ネツリョウ</t>
    </rPh>
    <rPh sb="2" eb="4">
      <t>ゴウケイ</t>
    </rPh>
    <phoneticPr fontId="3"/>
  </si>
  <si>
    <t>原油換算</t>
    <rPh sb="0" eb="2">
      <t>ゲンユ</t>
    </rPh>
    <rPh sb="2" eb="4">
      <t>カンサン</t>
    </rPh>
    <phoneticPr fontId="3"/>
  </si>
  <si>
    <t>KL</t>
    <phoneticPr fontId="1"/>
  </si>
  <si>
    <t>排出量合計</t>
    <rPh sb="0" eb="2">
      <t>ハイシュツ</t>
    </rPh>
    <rPh sb="2" eb="3">
      <t>リョウ</t>
    </rPh>
    <rPh sb="3" eb="5">
      <t>ゴウケイ</t>
    </rPh>
    <phoneticPr fontId="3"/>
  </si>
  <si>
    <t>産業用以外の蒸気</t>
    <rPh sb="0" eb="2">
      <t>サンギョウ</t>
    </rPh>
    <rPh sb="2" eb="3">
      <t>ヨウ</t>
    </rPh>
    <rPh sb="3" eb="5">
      <t>イガイ</t>
    </rPh>
    <rPh sb="6" eb="8">
      <t>ジョウキ</t>
    </rPh>
    <phoneticPr fontId="10"/>
  </si>
  <si>
    <t>ハイドロフルオロカーボン（HFC）</t>
    <phoneticPr fontId="3"/>
  </si>
  <si>
    <t>パーフルオロカーボン（PFC）</t>
    <phoneticPr fontId="3"/>
  </si>
  <si>
    <t>温室効果ガス排出量内訳</t>
    <rPh sb="0" eb="2">
      <t>オンシツ</t>
    </rPh>
    <rPh sb="2" eb="4">
      <t>コウカ</t>
    </rPh>
    <rPh sb="6" eb="8">
      <t>ハイシュツ</t>
    </rPh>
    <rPh sb="8" eb="9">
      <t>リョウ</t>
    </rPh>
    <rPh sb="9" eb="11">
      <t>ウチワケ</t>
    </rPh>
    <phoneticPr fontId="1"/>
  </si>
  <si>
    <t>合　　　　計</t>
    <rPh sb="0" eb="1">
      <t>ゴウ</t>
    </rPh>
    <rPh sb="5" eb="6">
      <t>ケイ</t>
    </rPh>
    <phoneticPr fontId="3"/>
  </si>
  <si>
    <t>３．クレジット等による削減量</t>
    <rPh sb="7" eb="8">
      <t>ナド</t>
    </rPh>
    <rPh sb="11" eb="13">
      <t>サクゲン</t>
    </rPh>
    <rPh sb="13" eb="14">
      <t>リョウ</t>
    </rPh>
    <phoneticPr fontId="3"/>
  </si>
  <si>
    <t>原単位の指標（分母）</t>
    <rPh sb="0" eb="3">
      <t>ゲンタンイ</t>
    </rPh>
    <rPh sb="4" eb="6">
      <t>シヒョウ</t>
    </rPh>
    <rPh sb="7" eb="9">
      <t>ブンボ</t>
    </rPh>
    <phoneticPr fontId="1"/>
  </si>
  <si>
    <t>４．原単位の指標</t>
    <rPh sb="2" eb="5">
      <t>ゲンタンイ</t>
    </rPh>
    <rPh sb="6" eb="8">
      <t>シヒョウ</t>
    </rPh>
    <phoneticPr fontId="3"/>
  </si>
  <si>
    <t>数値</t>
    <phoneticPr fontId="3"/>
  </si>
  <si>
    <t>単位</t>
    <phoneticPr fontId="3"/>
  </si>
  <si>
    <t>主たる事業</t>
    <phoneticPr fontId="3"/>
  </si>
  <si>
    <t>目標年度</t>
    <rPh sb="0" eb="2">
      <t>モクヒョウ</t>
    </rPh>
    <rPh sb="2" eb="3">
      <t>ネン</t>
    </rPh>
    <rPh sb="3" eb="4">
      <t>ド</t>
    </rPh>
    <phoneticPr fontId="1"/>
  </si>
  <si>
    <t>％</t>
    <phoneticPr fontId="1"/>
  </si>
  <si>
    <t>削減量合計</t>
    <rPh sb="0" eb="2">
      <t>サクゲン</t>
    </rPh>
    <rPh sb="2" eb="3">
      <t>リョウ</t>
    </rPh>
    <rPh sb="3" eb="5">
      <t>ゴウケイ</t>
    </rPh>
    <phoneticPr fontId="3"/>
  </si>
  <si>
    <t>温室効果ガス総排出量</t>
    <rPh sb="0" eb="2">
      <t>オンシツ</t>
    </rPh>
    <rPh sb="2" eb="4">
      <t>コウカ</t>
    </rPh>
    <rPh sb="6" eb="7">
      <t>ソウ</t>
    </rPh>
    <rPh sb="7" eb="9">
      <t>ハイシュツ</t>
    </rPh>
    <rPh sb="9" eb="10">
      <t>リョウ</t>
    </rPh>
    <phoneticPr fontId="3"/>
  </si>
  <si>
    <t>目標原単位</t>
    <rPh sb="0" eb="2">
      <t>モクヒョウ</t>
    </rPh>
    <rPh sb="2" eb="5">
      <t>ゲンタンイ</t>
    </rPh>
    <phoneticPr fontId="1"/>
  </si>
  <si>
    <t>中分類</t>
    <rPh sb="0" eb="3">
      <t>チュウブンルイ</t>
    </rPh>
    <phoneticPr fontId="1"/>
  </si>
  <si>
    <t>主たる業種（細分類）</t>
    <rPh sb="0" eb="1">
      <t>シュ</t>
    </rPh>
    <rPh sb="3" eb="5">
      <t>ギョウシュ</t>
    </rPh>
    <rPh sb="6" eb="9">
      <t>サイブンルイ</t>
    </rPh>
    <phoneticPr fontId="1"/>
  </si>
  <si>
    <t>名称</t>
    <rPh sb="0" eb="2">
      <t>メイショウ</t>
    </rPh>
    <phoneticPr fontId="4"/>
  </si>
  <si>
    <t>0100</t>
  </si>
  <si>
    <t>主として管理事務を行う本社等</t>
  </si>
  <si>
    <t>0109</t>
  </si>
  <si>
    <t>その他の管理，補助的経済活動を行う事業所</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</si>
  <si>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</si>
  <si>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</si>
  <si>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</si>
  <si>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</si>
  <si>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</si>
  <si>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</si>
  <si>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</si>
  <si>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</si>
  <si>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</si>
  <si>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</si>
  <si>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</si>
  <si>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</si>
  <si>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</si>
  <si>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</si>
  <si>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</si>
  <si>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</si>
  <si>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0121</t>
  </si>
  <si>
    <t>酪農業</t>
  </si>
  <si>
    <t>0122</t>
  </si>
  <si>
    <t>肉用牛生産業</t>
  </si>
  <si>
    <t>0123</t>
  </si>
  <si>
    <t>養豚業</t>
  </si>
  <si>
    <t>0124</t>
  </si>
  <si>
    <t>養鶏業</t>
  </si>
  <si>
    <t>0125</t>
  </si>
  <si>
    <t>畜産類似業</t>
  </si>
  <si>
    <t>0126</t>
  </si>
  <si>
    <t>養蚕農業</t>
  </si>
  <si>
    <t>0129</t>
  </si>
  <si>
    <t>その他の畜産農業</t>
  </si>
  <si>
    <t>0131</t>
  </si>
  <si>
    <t>穀作サービス業</t>
  </si>
  <si>
    <t>0132</t>
  </si>
  <si>
    <t>野菜作・果樹作サービス業</t>
  </si>
  <si>
    <t>0133</t>
  </si>
  <si>
    <t>穀作，野菜作・果樹作以外の耕種サービス業</t>
  </si>
  <si>
    <t>0134</t>
  </si>
  <si>
    <t>畜産サービス業（獣医業を除く）</t>
  </si>
  <si>
    <t>0141</t>
  </si>
  <si>
    <t>園芸サービス業</t>
  </si>
  <si>
    <t>0200</t>
  </si>
  <si>
    <t>0209</t>
  </si>
  <si>
    <t>0211</t>
  </si>
  <si>
    <t>育林業</t>
  </si>
  <si>
    <t>0221</t>
  </si>
  <si>
    <t>素材生産業</t>
  </si>
  <si>
    <t>0231</t>
  </si>
  <si>
    <t>製薪炭業</t>
  </si>
  <si>
    <t>0239</t>
  </si>
  <si>
    <t>その他の特用林産物生産業（きのこ類の栽培を除く）</t>
  </si>
  <si>
    <t>0241</t>
  </si>
  <si>
    <t>育林サービス業</t>
  </si>
  <si>
    <t>0242</t>
  </si>
  <si>
    <t>素材生産サービス業</t>
  </si>
  <si>
    <t>0243</t>
  </si>
  <si>
    <t>山林種苗生産サービス業</t>
  </si>
  <si>
    <t>0249</t>
  </si>
  <si>
    <t>その他の林業サービス業</t>
  </si>
  <si>
    <t>0299</t>
  </si>
  <si>
    <t>その他の林業</t>
  </si>
  <si>
    <t>0300</t>
  </si>
  <si>
    <t>0309</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</si>
  <si>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</si>
  <si>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</si>
  <si>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</si>
  <si>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</si>
  <si>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</si>
  <si>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</si>
  <si>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</si>
  <si>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</si>
  <si>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</si>
  <si>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</si>
  <si>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</si>
  <si>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</si>
  <si>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</si>
  <si>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</si>
  <si>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</si>
  <si>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</si>
  <si>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</si>
  <si>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</si>
  <si>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0321</t>
  </si>
  <si>
    <t>内水面漁業</t>
  </si>
  <si>
    <t>0400</t>
  </si>
  <si>
    <t>0409</t>
  </si>
  <si>
    <t>0411</t>
  </si>
  <si>
    <t>魚類養殖業</t>
  </si>
  <si>
    <t>0412</t>
  </si>
  <si>
    <t>貝類養殖業</t>
  </si>
  <si>
    <t>0413</t>
  </si>
  <si>
    <t>藻類養殖業</t>
  </si>
  <si>
    <t>0414</t>
  </si>
  <si>
    <t>真珠養殖業</t>
  </si>
  <si>
    <t>0415</t>
  </si>
  <si>
    <t>種苗養殖業</t>
  </si>
  <si>
    <t>0419</t>
  </si>
  <si>
    <t>その他の海面養殖業</t>
  </si>
  <si>
    <t>0421</t>
  </si>
  <si>
    <t>内水面養殖業</t>
  </si>
  <si>
    <t>0500</t>
  </si>
  <si>
    <t>0509</t>
  </si>
  <si>
    <t>0511</t>
  </si>
  <si>
    <t>金・銀鉱業</t>
  </si>
  <si>
    <t>0512</t>
  </si>
  <si>
    <t>鉛・亜鉛鉱業</t>
  </si>
  <si>
    <t>0513</t>
  </si>
  <si>
    <t>鉄鉱業</t>
  </si>
  <si>
    <t>0519</t>
  </si>
  <si>
    <t>その他の金属鉱業</t>
  </si>
  <si>
    <t>0521</t>
  </si>
  <si>
    <t>石炭鉱業（石炭選別業を含む）</t>
  </si>
  <si>
    <t>0522</t>
  </si>
  <si>
    <t>亜炭鉱業</t>
  </si>
  <si>
    <t>0531</t>
  </si>
  <si>
    <t>原油鉱業</t>
  </si>
  <si>
    <t>0532</t>
  </si>
  <si>
    <t>天然ガス鉱業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</si>
  <si>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</si>
  <si>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</si>
  <si>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</si>
  <si>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</si>
  <si>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</si>
  <si>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</si>
  <si>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</si>
  <si>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</si>
  <si>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</si>
  <si>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</si>
  <si>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</si>
  <si>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</si>
  <si>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</si>
  <si>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</si>
  <si>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</si>
  <si>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</si>
  <si>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</si>
  <si>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</si>
  <si>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</si>
  <si>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</si>
  <si>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</si>
  <si>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</si>
  <si>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</si>
  <si>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</si>
  <si>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</si>
  <si>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</si>
  <si>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</si>
  <si>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</si>
  <si>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</si>
  <si>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</si>
  <si>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</si>
  <si>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</si>
  <si>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</si>
  <si>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</si>
  <si>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0591</t>
  </si>
  <si>
    <t>酸性白土鉱業</t>
  </si>
  <si>
    <t>0592</t>
  </si>
  <si>
    <t>ベントナイト鉱業</t>
  </si>
  <si>
    <t>0593</t>
  </si>
  <si>
    <t>けいそう土鉱業</t>
  </si>
  <si>
    <t>0594</t>
  </si>
  <si>
    <t>滑石鉱業</t>
  </si>
  <si>
    <t>0599</t>
  </si>
  <si>
    <t>他に分類されない鉱業</t>
  </si>
  <si>
    <t>0600</t>
  </si>
  <si>
    <t>0609</t>
  </si>
  <si>
    <t>0611</t>
  </si>
  <si>
    <t>一般土木建築工事業</t>
  </si>
  <si>
    <t>0621</t>
  </si>
  <si>
    <t>土木工事業(別掲を除く)</t>
  </si>
  <si>
    <t>0622</t>
  </si>
  <si>
    <t>造園工事業</t>
  </si>
  <si>
    <t>0623</t>
  </si>
  <si>
    <t>しゅんせつ工事業</t>
  </si>
  <si>
    <t>0631</t>
  </si>
  <si>
    <t>舗装工事業</t>
  </si>
  <si>
    <t>0641</t>
  </si>
  <si>
    <t>建築工事業(木造建築工事業を除く)</t>
  </si>
  <si>
    <t>0651</t>
  </si>
  <si>
    <t>木造建築工事業</t>
  </si>
  <si>
    <t>0661</t>
  </si>
  <si>
    <t>建築リフォーム工事業</t>
  </si>
  <si>
    <t>0700</t>
  </si>
  <si>
    <t>0709</t>
  </si>
  <si>
    <t>0711</t>
  </si>
  <si>
    <t>大工工事業(型枠大工工事業を除く)</t>
  </si>
  <si>
    <t>0712</t>
  </si>
  <si>
    <t>型枠大工工事業</t>
  </si>
  <si>
    <t>0721</t>
  </si>
  <si>
    <t>とび工事業</t>
  </si>
  <si>
    <t>0722</t>
  </si>
  <si>
    <t>土工・コンクリート工事業</t>
  </si>
  <si>
    <t>0723</t>
  </si>
  <si>
    <t>特殊コンクリート工事業</t>
  </si>
  <si>
    <t>0731</t>
  </si>
  <si>
    <t>鉄骨工事業</t>
  </si>
  <si>
    <t>0732</t>
  </si>
  <si>
    <t>鉄筋工事業</t>
  </si>
  <si>
    <t>0741</t>
  </si>
  <si>
    <t>石工工事業</t>
  </si>
  <si>
    <t>0742</t>
  </si>
  <si>
    <t>れんが工事業</t>
  </si>
  <si>
    <t>0743</t>
  </si>
  <si>
    <t>タイル工事業</t>
  </si>
  <si>
    <t>0744</t>
  </si>
  <si>
    <t>コンクリートブロック工事業</t>
  </si>
  <si>
    <t>0751</t>
  </si>
  <si>
    <t>左官工事業</t>
  </si>
  <si>
    <t>0761</t>
  </si>
  <si>
    <t>金属製屋根工事業</t>
  </si>
  <si>
    <t>0762</t>
  </si>
  <si>
    <t>板金工事業</t>
  </si>
  <si>
    <t>0763</t>
  </si>
  <si>
    <t>建築金物工事業</t>
  </si>
  <si>
    <t>0771</t>
  </si>
  <si>
    <t>塗装工事業（道路標示・区画線工事業を除く）</t>
  </si>
  <si>
    <t>0772</t>
  </si>
  <si>
    <t>道路標示・区画線工事業</t>
  </si>
  <si>
    <t>0781</t>
  </si>
  <si>
    <t>床工事業</t>
  </si>
  <si>
    <t>0782</t>
  </si>
  <si>
    <t>内装工事業</t>
  </si>
  <si>
    <t>0791</t>
  </si>
  <si>
    <t>ガラス工事業</t>
  </si>
  <si>
    <t>0792</t>
  </si>
  <si>
    <t>金属製建具工事業</t>
  </si>
  <si>
    <t>0793</t>
  </si>
  <si>
    <t>木製建具工事業</t>
  </si>
  <si>
    <t>0794</t>
  </si>
  <si>
    <t>屋根工事業（金属製屋根工事業を除く）</t>
  </si>
  <si>
    <t>0795</t>
  </si>
  <si>
    <t>防水工事業</t>
  </si>
  <si>
    <t>0796</t>
  </si>
  <si>
    <t>はつり・解体工事業</t>
  </si>
  <si>
    <t>0799</t>
  </si>
  <si>
    <t>他に分類されない職別工事業</t>
  </si>
  <si>
    <t>0800</t>
  </si>
  <si>
    <t>0809</t>
  </si>
  <si>
    <t>0811</t>
  </si>
  <si>
    <t>一般電気工事業</t>
  </si>
  <si>
    <t>0812</t>
  </si>
  <si>
    <t>電気配線工事業</t>
  </si>
  <si>
    <t>0821</t>
  </si>
  <si>
    <t>電気通信工事業（有線テレビジョン放送設備設置工事業を除く）</t>
  </si>
  <si>
    <t>0822</t>
  </si>
  <si>
    <t>有線テレビジョン放送設備設置工事業</t>
  </si>
  <si>
    <t>0823</t>
  </si>
  <si>
    <t>信号装置工事業</t>
  </si>
  <si>
    <t>0831</t>
  </si>
  <si>
    <t>一般管工事業</t>
  </si>
  <si>
    <t>0832</t>
  </si>
  <si>
    <t>冷暖房設備工事業</t>
  </si>
  <si>
    <t>0833</t>
  </si>
  <si>
    <t>給排水・衛生設備工事業</t>
  </si>
  <si>
    <t>0839</t>
  </si>
  <si>
    <t>その他の管工事業</t>
  </si>
  <si>
    <t>0841</t>
  </si>
  <si>
    <t>機械器具設置工事業（昇降設備工事業を除く）</t>
  </si>
  <si>
    <t>0842</t>
  </si>
  <si>
    <t>昇降設備工事業</t>
  </si>
  <si>
    <t>0891</t>
  </si>
  <si>
    <t>築炉工事業</t>
  </si>
  <si>
    <t>0892</t>
  </si>
  <si>
    <t>熱絶縁工事業</t>
  </si>
  <si>
    <t>0893</t>
  </si>
  <si>
    <t>道路標識設置工事業</t>
  </si>
  <si>
    <t>0894</t>
  </si>
  <si>
    <t>さく井工事業</t>
  </si>
  <si>
    <t>0900</t>
  </si>
  <si>
    <t>0909</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</si>
  <si>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</si>
  <si>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</si>
  <si>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</si>
  <si>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</si>
  <si>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</si>
  <si>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</si>
  <si>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</si>
  <si>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</si>
  <si>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</si>
  <si>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</si>
  <si>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</si>
  <si>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</si>
  <si>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</si>
  <si>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</si>
  <si>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</si>
  <si>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</si>
  <si>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</si>
  <si>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</si>
  <si>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</si>
  <si>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</si>
  <si>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</si>
  <si>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</si>
  <si>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</si>
  <si>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</si>
  <si>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0931</t>
  </si>
  <si>
    <t>野菜缶詰・果実缶詰・農産保存食料品製造業（野菜漬物を除く）</t>
  </si>
  <si>
    <t>0932</t>
  </si>
  <si>
    <t>野菜漬物製造業（缶詰，瓶詰，つぼ詰を除く）</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</si>
  <si>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</si>
  <si>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</si>
  <si>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</si>
  <si>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</si>
  <si>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</si>
  <si>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</si>
  <si>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</si>
  <si>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</si>
  <si>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</si>
  <si>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</si>
  <si>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</si>
  <si>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</si>
  <si>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</si>
  <si>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</si>
  <si>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</si>
  <si>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ぶどう糖・水あめ・異性化糖製造業</t>
  </si>
  <si>
    <t>0961</t>
  </si>
  <si>
    <t>精米・精麦業</t>
  </si>
  <si>
    <t>0962</t>
  </si>
  <si>
    <t>小麦粉製造業</t>
  </si>
  <si>
    <t>0969</t>
  </si>
  <si>
    <t>その他の精穀・製粉業</t>
  </si>
  <si>
    <t>0971</t>
  </si>
  <si>
    <t>パン製造業</t>
  </si>
  <si>
    <t>0972</t>
  </si>
  <si>
    <t>生菓子製造業</t>
  </si>
  <si>
    <t>0973</t>
  </si>
  <si>
    <t>ビスケット類・干菓子製造業</t>
  </si>
  <si>
    <t>0974</t>
  </si>
  <si>
    <t>米菓製造業</t>
  </si>
  <si>
    <t>0979</t>
  </si>
  <si>
    <t>その他のパン・菓子製造業</t>
  </si>
  <si>
    <t>0981</t>
  </si>
  <si>
    <t>動植物油脂製造業（食用油脂加工業を除く）</t>
  </si>
  <si>
    <t>0982</t>
  </si>
  <si>
    <t>食用油脂加工業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</si>
  <si>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</si>
  <si>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</si>
  <si>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</si>
  <si>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</si>
  <si>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</si>
  <si>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</si>
  <si>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</si>
  <si>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</si>
  <si>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</si>
  <si>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</si>
  <si>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</si>
  <si>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</si>
  <si>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</si>
  <si>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</si>
  <si>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</si>
  <si>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</si>
  <si>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</si>
  <si>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</si>
  <si>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1000</t>
  </si>
  <si>
    <t>1009</t>
  </si>
  <si>
    <t>1011</t>
  </si>
  <si>
    <t>清涼飲料製造業</t>
  </si>
  <si>
    <t>1021</t>
  </si>
  <si>
    <t>果実酒製造業</t>
  </si>
  <si>
    <t>1022</t>
  </si>
  <si>
    <t>ビール類製造業</t>
  </si>
  <si>
    <t>1023</t>
  </si>
  <si>
    <t>清酒製造業</t>
  </si>
  <si>
    <t>1024</t>
  </si>
  <si>
    <t>蒸留酒・混成酒製造業</t>
  </si>
  <si>
    <t>1031</t>
  </si>
  <si>
    <t>製茶業</t>
  </si>
  <si>
    <t>1032</t>
  </si>
  <si>
    <t>コーヒー製造業</t>
  </si>
  <si>
    <t>1041</t>
  </si>
  <si>
    <t>製氷業</t>
  </si>
  <si>
    <t>1051</t>
  </si>
  <si>
    <t>たばこ製造業（葉たばこ処理業を除く)</t>
  </si>
  <si>
    <t>1052</t>
  </si>
  <si>
    <t>葉たばこ処理業</t>
  </si>
  <si>
    <t>1061</t>
  </si>
  <si>
    <t>配合飼料製造業</t>
  </si>
  <si>
    <t>1062</t>
  </si>
  <si>
    <t>単体飼料製造業</t>
  </si>
  <si>
    <t>1063</t>
  </si>
  <si>
    <t>有機質肥料製造業</t>
  </si>
  <si>
    <t>1100</t>
  </si>
  <si>
    <t>1109</t>
  </si>
  <si>
    <t>1111</t>
  </si>
  <si>
    <t>製糸業</t>
  </si>
  <si>
    <t>1112</t>
  </si>
  <si>
    <t>化学繊維製造業</t>
  </si>
  <si>
    <t>1113</t>
  </si>
  <si>
    <t>炭素繊維製造業</t>
  </si>
  <si>
    <t>1114</t>
  </si>
  <si>
    <t>綿紡績業</t>
  </si>
  <si>
    <t>1115</t>
  </si>
  <si>
    <t>化学繊維紡績業</t>
  </si>
  <si>
    <t>1116</t>
  </si>
  <si>
    <t>毛紡績業</t>
  </si>
  <si>
    <t>1117</t>
  </si>
  <si>
    <t>ねん糸製造業（かさ高加工糸を除く）</t>
  </si>
  <si>
    <t>1118</t>
  </si>
  <si>
    <t>かさ高加工糸製造業</t>
  </si>
  <si>
    <t>1119</t>
  </si>
  <si>
    <t>その他の紡績業</t>
  </si>
  <si>
    <t>1121</t>
  </si>
  <si>
    <t>綿・スフ織物業</t>
  </si>
  <si>
    <t>1122</t>
  </si>
  <si>
    <t>絹・人絹織物業</t>
  </si>
  <si>
    <t>1123</t>
  </si>
  <si>
    <t>毛織物業</t>
  </si>
  <si>
    <t>1124</t>
  </si>
  <si>
    <t>麻織物業</t>
  </si>
  <si>
    <t>1125</t>
  </si>
  <si>
    <t>細幅織物業</t>
  </si>
  <si>
    <t>1129</t>
  </si>
  <si>
    <t>その他の織物業</t>
  </si>
  <si>
    <t>1131</t>
  </si>
  <si>
    <t>丸編ニット生地製造業</t>
  </si>
  <si>
    <t>1132</t>
  </si>
  <si>
    <t>たて編ニット生地製造業</t>
  </si>
  <si>
    <t>1133</t>
  </si>
  <si>
    <t>横編ニット生地製造業</t>
  </si>
  <si>
    <t>1141</t>
  </si>
  <si>
    <t>綿・スフ・麻織物機械染色業</t>
  </si>
  <si>
    <t>1142</t>
  </si>
  <si>
    <t>絹・人絹織物機械染色業</t>
  </si>
  <si>
    <t>1143</t>
  </si>
  <si>
    <t>毛織物機械染色整理業</t>
  </si>
  <si>
    <t>1144</t>
  </si>
  <si>
    <t>織物整理業</t>
  </si>
  <si>
    <t>1145</t>
  </si>
  <si>
    <t>織物手加工染色整理業</t>
  </si>
  <si>
    <t>1146</t>
  </si>
  <si>
    <t>綿状繊維・糸染色整理業</t>
  </si>
  <si>
    <t>1147</t>
  </si>
  <si>
    <t>ニット・レース染色整理業</t>
  </si>
  <si>
    <t>1148</t>
  </si>
  <si>
    <t>繊維雑品染色整理業</t>
  </si>
  <si>
    <t>1151</t>
  </si>
  <si>
    <t>綱製造業</t>
  </si>
  <si>
    <t>1152</t>
  </si>
  <si>
    <t>漁網製造業</t>
  </si>
  <si>
    <t>1153</t>
  </si>
  <si>
    <t>網地製造業（漁網を除く）</t>
  </si>
  <si>
    <t>1154</t>
  </si>
  <si>
    <t>レース製造業</t>
  </si>
  <si>
    <t>1155</t>
  </si>
  <si>
    <t>組ひも製造業</t>
  </si>
  <si>
    <t>1156</t>
  </si>
  <si>
    <t>整毛業</t>
  </si>
  <si>
    <t>1157</t>
  </si>
  <si>
    <t>フェルト・不織布製造業</t>
  </si>
  <si>
    <t>1158</t>
  </si>
  <si>
    <t>上塗りした織物・防水した織物製造業</t>
  </si>
  <si>
    <t>1159</t>
  </si>
  <si>
    <t>その他の繊維粗製品製造業</t>
  </si>
  <si>
    <t>1161</t>
  </si>
  <si>
    <t>織物製成人男子・少年服製造業（不織布製及びレース製を含む）</t>
  </si>
  <si>
    <t>1162</t>
  </si>
  <si>
    <t>織物製成人女子・少女服製造業（不織布製及びレース製を含む）</t>
  </si>
  <si>
    <t>1163</t>
  </si>
  <si>
    <t>織物製乳幼児服製造業（不織布製及びレース製を含む）</t>
  </si>
  <si>
    <t>1164</t>
  </si>
  <si>
    <t>織物製シャツ製造業（不織布製及びレース製を含み、下着を除く）</t>
  </si>
  <si>
    <t>1165</t>
  </si>
  <si>
    <t>1166</t>
  </si>
  <si>
    <t>ニット製外衣製造業（アウターシャツ類，セーター類などを除く）</t>
  </si>
  <si>
    <t>1167</t>
  </si>
  <si>
    <t>ニット製アウターシャツ類製造業</t>
  </si>
  <si>
    <t>1168</t>
  </si>
  <si>
    <t>セーター類製造業</t>
  </si>
  <si>
    <t>1169</t>
  </si>
  <si>
    <t>その他の外衣・シャツ製造業</t>
  </si>
  <si>
    <t>1171</t>
  </si>
  <si>
    <t>織物製下着製造業</t>
  </si>
  <si>
    <t>1172</t>
  </si>
  <si>
    <t>ニット製下着製造業</t>
  </si>
  <si>
    <t>1173</t>
  </si>
  <si>
    <t>織物製・ニット製寝着類製造業</t>
  </si>
  <si>
    <t>1174</t>
  </si>
  <si>
    <t>補整着製造業</t>
  </si>
  <si>
    <t>1181</t>
  </si>
  <si>
    <t>和装製品製造業（足袋を含む）</t>
  </si>
  <si>
    <t>1182</t>
  </si>
  <si>
    <t>ネクタイ製造業</t>
  </si>
  <si>
    <t>1183</t>
  </si>
  <si>
    <t>スカーフ・マフラー・ハンカチーフ製造業</t>
  </si>
  <si>
    <t>1184</t>
  </si>
  <si>
    <t>靴下製造業</t>
  </si>
  <si>
    <t>1185</t>
  </si>
  <si>
    <t>手袋製造業</t>
  </si>
  <si>
    <t>1186</t>
  </si>
  <si>
    <t>帽子製造業（帽体を含む）</t>
  </si>
  <si>
    <t>1189</t>
  </si>
  <si>
    <t>他に分類されない衣服・繊維製身の回り品製造業</t>
  </si>
  <si>
    <t>1191</t>
  </si>
  <si>
    <t>寝具製造業</t>
  </si>
  <si>
    <t>1192</t>
  </si>
  <si>
    <t>毛布製造業</t>
  </si>
  <si>
    <t>1193</t>
  </si>
  <si>
    <t>じゅうたん・その他の繊維製床敷物製造業</t>
  </si>
  <si>
    <t>1194</t>
  </si>
  <si>
    <t>帆布製品製造業</t>
  </si>
  <si>
    <t>1195</t>
  </si>
  <si>
    <t>繊維製袋製造業</t>
  </si>
  <si>
    <t>1196</t>
  </si>
  <si>
    <t>刺しゅう業</t>
  </si>
  <si>
    <t>1197</t>
  </si>
  <si>
    <t>タオル製造業</t>
  </si>
  <si>
    <t>1198</t>
  </si>
  <si>
    <t>繊維製衛生材料製造業</t>
  </si>
  <si>
    <t>1199</t>
  </si>
  <si>
    <t>他に分類されない繊維製品製造業</t>
  </si>
  <si>
    <t>1200</t>
  </si>
  <si>
    <t>1209</t>
  </si>
  <si>
    <t>1211</t>
  </si>
  <si>
    <t>一般製材業</t>
  </si>
  <si>
    <t>1212</t>
  </si>
  <si>
    <t>単板（ベニヤ）製造業</t>
  </si>
  <si>
    <t>1213</t>
  </si>
  <si>
    <t>木材チップ製造業</t>
  </si>
  <si>
    <t>1219</t>
  </si>
  <si>
    <t>その他の特殊製材業</t>
  </si>
  <si>
    <t>1221</t>
  </si>
  <si>
    <t>造作材製造業（建具を除く）</t>
  </si>
  <si>
    <t>1222</t>
  </si>
  <si>
    <t>合板製造業</t>
  </si>
  <si>
    <t>1223</t>
  </si>
  <si>
    <t>集成材製造業</t>
  </si>
  <si>
    <t>1224</t>
  </si>
  <si>
    <t>建築用木製組立材料製造業</t>
  </si>
  <si>
    <t>1225</t>
  </si>
  <si>
    <t>パーティクルボード製造業</t>
  </si>
  <si>
    <t>1226</t>
  </si>
  <si>
    <t>繊維板製造業</t>
  </si>
  <si>
    <t>1227</t>
  </si>
  <si>
    <t>銘木製造業</t>
  </si>
  <si>
    <t>1228</t>
  </si>
  <si>
    <t>床板製造業</t>
    <rPh sb="0" eb="2">
      <t>ユカイタ</t>
    </rPh>
    <rPh sb="2" eb="5">
      <t>セイゾウギョウ</t>
    </rPh>
    <phoneticPr fontId="4"/>
  </si>
  <si>
    <t>1231</t>
  </si>
  <si>
    <t>竹・とう・きりゅう等容器製造業</t>
  </si>
  <si>
    <t>1232</t>
  </si>
  <si>
    <t>木箱製造業</t>
  </si>
  <si>
    <t>1233</t>
  </si>
  <si>
    <t>たる・おけ製造業</t>
  </si>
  <si>
    <t>1291</t>
  </si>
  <si>
    <t>木材薬品処理業</t>
  </si>
  <si>
    <t>1292</t>
  </si>
  <si>
    <t>コルク加工基礎資材・コルク製品製造業</t>
  </si>
  <si>
    <t>1299</t>
  </si>
  <si>
    <t>他に分類されない木製品製造業(竹，とうを含む)</t>
  </si>
  <si>
    <t>1300</t>
  </si>
  <si>
    <t>1309</t>
  </si>
  <si>
    <t>1311</t>
  </si>
  <si>
    <t>木製家具製造業（漆塗りを除く）</t>
  </si>
  <si>
    <t>1312</t>
  </si>
  <si>
    <t>金属製家具製造業</t>
  </si>
  <si>
    <t>1313</t>
  </si>
  <si>
    <t>マットレス・組スプリング製造業</t>
  </si>
  <si>
    <t>1321</t>
  </si>
  <si>
    <t>宗教用具製造業</t>
  </si>
  <si>
    <t>1331</t>
  </si>
  <si>
    <t>建具製造業</t>
  </si>
  <si>
    <t>1391</t>
  </si>
  <si>
    <t>事務所用・店舗用装備品製造業</t>
  </si>
  <si>
    <t>1392</t>
  </si>
  <si>
    <t>窓用・扉用日よけ，日本びょうぶ等製造業</t>
  </si>
  <si>
    <t>1393</t>
  </si>
  <si>
    <t>鏡縁・額縁製造業</t>
  </si>
  <si>
    <t>1399</t>
  </si>
  <si>
    <t>他に分類されない家具・装備品製造業</t>
  </si>
  <si>
    <t>1400</t>
  </si>
  <si>
    <t>1409</t>
  </si>
  <si>
    <t>1411</t>
  </si>
  <si>
    <t>パルプ製造業</t>
  </si>
  <si>
    <t>1421</t>
  </si>
  <si>
    <t>洋紙製造業</t>
  </si>
  <si>
    <t>1422</t>
  </si>
  <si>
    <t>板紙製造業</t>
  </si>
  <si>
    <t>1423</t>
  </si>
  <si>
    <t>機械すき和紙製造業</t>
  </si>
  <si>
    <t>1424</t>
  </si>
  <si>
    <t>手すき和紙製造業</t>
  </si>
  <si>
    <t>1431</t>
  </si>
  <si>
    <t>塗工紙製造業（印刷用紙を除く）</t>
  </si>
  <si>
    <t>1432</t>
  </si>
  <si>
    <t>段ボール製造業</t>
  </si>
  <si>
    <t>1433</t>
  </si>
  <si>
    <t>壁紙・ふすま紙製造業</t>
  </si>
  <si>
    <t>1441</t>
  </si>
  <si>
    <t>事務用・学用紙製品製造業</t>
  </si>
  <si>
    <t>1442</t>
  </si>
  <si>
    <t>日用紙製品製造業</t>
  </si>
  <si>
    <t>1449</t>
  </si>
  <si>
    <t>その他の紙製品製造業</t>
  </si>
  <si>
    <t>1451</t>
  </si>
  <si>
    <t>重包装紙袋製造業</t>
  </si>
  <si>
    <t>1452</t>
  </si>
  <si>
    <t>角底紙袋製造業</t>
  </si>
  <si>
    <t>1453</t>
  </si>
  <si>
    <t>段ボール箱製造業</t>
  </si>
  <si>
    <t>1454</t>
  </si>
  <si>
    <t>紙器製造業</t>
  </si>
  <si>
    <t>1499</t>
  </si>
  <si>
    <t>その他のパルプ・紙・紙加工品製造業</t>
  </si>
  <si>
    <t>1500</t>
  </si>
  <si>
    <t>1509</t>
  </si>
  <si>
    <t>1511</t>
  </si>
  <si>
    <t>オフセット印刷業（紙に対するもの）</t>
  </si>
  <si>
    <t>1512</t>
  </si>
  <si>
    <t>オフセット印刷以外の印刷業（紙に対するもの）</t>
  </si>
  <si>
    <t>1513</t>
  </si>
  <si>
    <t>紙以外の印刷業</t>
  </si>
  <si>
    <t>1521</t>
  </si>
  <si>
    <t>製版業</t>
  </si>
  <si>
    <t>1531</t>
  </si>
  <si>
    <t>製本業</t>
  </si>
  <si>
    <t>1532</t>
  </si>
  <si>
    <t>印刷物加工業</t>
  </si>
  <si>
    <t>1591</t>
  </si>
  <si>
    <t>印刷関連サービス業</t>
  </si>
  <si>
    <t>1600</t>
  </si>
  <si>
    <t>1609</t>
  </si>
  <si>
    <t>1611</t>
  </si>
  <si>
    <t>窒素質・りん酸質肥料製造業</t>
  </si>
  <si>
    <t>1612</t>
  </si>
  <si>
    <t>複合肥料製造業</t>
  </si>
  <si>
    <t>1619</t>
  </si>
  <si>
    <t>その他の化学肥料製造業</t>
  </si>
  <si>
    <t>1621</t>
  </si>
  <si>
    <t>ソーダ工業</t>
  </si>
  <si>
    <t>1622</t>
  </si>
  <si>
    <t>無機顔料製造業</t>
  </si>
  <si>
    <t>1623</t>
  </si>
  <si>
    <t>圧縮ガス・液化ガス製造業</t>
  </si>
  <si>
    <t>1624</t>
  </si>
  <si>
    <t>塩製造業</t>
  </si>
  <si>
    <t>1629</t>
  </si>
  <si>
    <t>その他の無機化学工業製品製造業</t>
  </si>
  <si>
    <t>1631</t>
  </si>
  <si>
    <t>石油化学系基礎製品製造業（一貫して生産される誘導品を含む）</t>
  </si>
  <si>
    <t>1632</t>
  </si>
  <si>
    <t>脂肪族系中間物製造業（脂肪族系溶剤を含む）</t>
  </si>
  <si>
    <t>1633</t>
  </si>
  <si>
    <t>発酵工業</t>
  </si>
  <si>
    <t>1634</t>
  </si>
  <si>
    <t>環式中間物・合成染料・有機顔料製造業</t>
  </si>
  <si>
    <t>1635</t>
  </si>
  <si>
    <t>プラスチック製造業</t>
  </si>
  <si>
    <t>1636</t>
  </si>
  <si>
    <t>合成ゴム製造業</t>
  </si>
  <si>
    <t>1639</t>
  </si>
  <si>
    <t>その他の有機化学工業製品製造業</t>
  </si>
  <si>
    <t>1641</t>
  </si>
  <si>
    <t>脂肪酸・硬化油・グリセリン製造業</t>
  </si>
  <si>
    <t>1642</t>
  </si>
  <si>
    <t>石けん・合成洗剤製造業</t>
  </si>
  <si>
    <t>1643</t>
  </si>
  <si>
    <t>界面活性剤製造業（石けん，合成洗剤を除く）</t>
  </si>
  <si>
    <t>1644</t>
  </si>
  <si>
    <t>塗料製造業</t>
  </si>
  <si>
    <t>1645</t>
  </si>
  <si>
    <t>印刷インキ製造業</t>
  </si>
  <si>
    <t>1646</t>
  </si>
  <si>
    <t>洗浄剤・磨用剤製造業</t>
  </si>
  <si>
    <t>1647</t>
  </si>
  <si>
    <t>ろうそく製造業</t>
  </si>
  <si>
    <t>1651</t>
  </si>
  <si>
    <t>医薬品原薬製造業</t>
  </si>
  <si>
    <t>1652</t>
  </si>
  <si>
    <t>医薬品製剤製造業</t>
  </si>
  <si>
    <t>1653</t>
  </si>
  <si>
    <t>生物学的製剤製造業</t>
  </si>
  <si>
    <t>1654</t>
  </si>
  <si>
    <t>生薬・漢方製剤製造業</t>
  </si>
  <si>
    <t>1655</t>
  </si>
  <si>
    <t>動物用医薬品製造業</t>
  </si>
  <si>
    <t>1661</t>
  </si>
  <si>
    <t>仕上用・皮膚用化粧品製造業（香水，オーデコロンを含む）</t>
  </si>
  <si>
    <t>1662</t>
  </si>
  <si>
    <t>頭髪用化粧品製造業</t>
  </si>
  <si>
    <t>1669</t>
  </si>
  <si>
    <t>その他の化粧品・歯磨・化粧用調整品製造業</t>
  </si>
  <si>
    <t>1691</t>
  </si>
  <si>
    <t>火薬類製造業</t>
  </si>
  <si>
    <t>1692</t>
  </si>
  <si>
    <t>農薬製造業</t>
  </si>
  <si>
    <t>1693</t>
  </si>
  <si>
    <t>香料製造業</t>
  </si>
  <si>
    <t>1694</t>
  </si>
  <si>
    <t>ゼラチン・接着剤製造業</t>
  </si>
  <si>
    <t>1695</t>
  </si>
  <si>
    <t>写真感光材料製造業</t>
  </si>
  <si>
    <t>1696</t>
  </si>
  <si>
    <t>天然樹脂製品・木材化学製品製造業</t>
  </si>
  <si>
    <t>1697</t>
  </si>
  <si>
    <t>試薬製造業</t>
  </si>
  <si>
    <t>1699</t>
  </si>
  <si>
    <t>他に分類されない化学工業製品製造業</t>
  </si>
  <si>
    <t>1700</t>
  </si>
  <si>
    <t>1709</t>
  </si>
  <si>
    <t>1711</t>
  </si>
  <si>
    <t>石油精製業</t>
  </si>
  <si>
    <t>1721</t>
  </si>
  <si>
    <t>潤滑油・グリース製造業（石油精製業によらないもの）</t>
  </si>
  <si>
    <t>1731</t>
  </si>
  <si>
    <t>コークス製造業</t>
  </si>
  <si>
    <t>1741</t>
  </si>
  <si>
    <t>舗装材料製造業</t>
  </si>
  <si>
    <t>1799</t>
  </si>
  <si>
    <t>その他の石油製品・石炭製品製造業</t>
  </si>
  <si>
    <t>1800</t>
  </si>
  <si>
    <t>1809</t>
  </si>
  <si>
    <t>1811</t>
  </si>
  <si>
    <t>プラスチック板・棒製造業</t>
  </si>
  <si>
    <t>1812</t>
  </si>
  <si>
    <t>プラスチック管製造業</t>
  </si>
  <si>
    <t>1813</t>
  </si>
  <si>
    <t>プラスチック継手製造業</t>
  </si>
  <si>
    <t>1814</t>
  </si>
  <si>
    <t>プラスチック異形押出製品製造業</t>
  </si>
  <si>
    <t>1815</t>
  </si>
  <si>
    <t>プラスチック板・棒・管・継手・異形押出製品加工業</t>
  </si>
  <si>
    <t>1821</t>
  </si>
  <si>
    <t>プラスチックフィルム製造業</t>
  </si>
  <si>
    <t>1822</t>
  </si>
  <si>
    <t>プラスチックシート製造業</t>
  </si>
  <si>
    <t>1823</t>
  </si>
  <si>
    <t>プラスチック床材製造業</t>
  </si>
  <si>
    <t>1824</t>
  </si>
  <si>
    <t>合成皮革製造業</t>
  </si>
  <si>
    <t>1825</t>
  </si>
  <si>
    <t>プラスチックフィルム・シート・床材・合成皮革加工業</t>
  </si>
  <si>
    <t>1831</t>
  </si>
  <si>
    <t>電気機械器具用プラスチック製品製造業（加工業を除く）</t>
  </si>
  <si>
    <t>1832</t>
  </si>
  <si>
    <t>輸送機械器具用プラスチック製品製造業（加工業を除く）</t>
  </si>
  <si>
    <t>1833</t>
  </si>
  <si>
    <t>その他の工業用プラスチック製品製造業（加工業を除く）</t>
  </si>
  <si>
    <t>1834</t>
  </si>
  <si>
    <t>工業用プラスチック製品加工業</t>
  </si>
  <si>
    <t>1841</t>
  </si>
  <si>
    <t>軟質プラスチック発泡製品製造業（半硬質性を含む）</t>
  </si>
  <si>
    <t>1842</t>
  </si>
  <si>
    <t>硬質プラスチック発泡製品製造業</t>
  </si>
  <si>
    <t>1843</t>
  </si>
  <si>
    <t>強化プラスチック製板・棒・管・継手製造業</t>
  </si>
  <si>
    <t>1844</t>
  </si>
  <si>
    <t>強化プラスチック製容器・浴槽等製造業</t>
  </si>
  <si>
    <t>1845</t>
  </si>
  <si>
    <t>発泡・強化プラスチック製品加工業</t>
  </si>
  <si>
    <t>1851</t>
  </si>
  <si>
    <t>プラスチック成形材料製造業</t>
  </si>
  <si>
    <t>1852</t>
  </si>
  <si>
    <t>廃プラスチック製品製造業</t>
  </si>
  <si>
    <t>1891</t>
  </si>
  <si>
    <t>プラスチック製日用雑貨・食卓用品製造業</t>
  </si>
  <si>
    <t>1892</t>
  </si>
  <si>
    <t>プラスチック製容器製造業</t>
  </si>
  <si>
    <t>1897</t>
  </si>
  <si>
    <t>他に分類されないプラスチック製品製造業</t>
  </si>
  <si>
    <t>1898</t>
  </si>
  <si>
    <t>他に分類されないプラスチック製品加工業</t>
  </si>
  <si>
    <t>1900</t>
  </si>
  <si>
    <t>1909</t>
  </si>
  <si>
    <t>1911</t>
  </si>
  <si>
    <t>自動車タイヤ・チューブ製造業</t>
  </si>
  <si>
    <t>1919</t>
  </si>
  <si>
    <t>その他のタイヤ・チューブ製造業</t>
  </si>
  <si>
    <t>1921</t>
  </si>
  <si>
    <t>ゴム製履物・同附属品製造業</t>
  </si>
  <si>
    <t>1922</t>
  </si>
  <si>
    <t>プラスチック製履物・同附属品製造業</t>
  </si>
  <si>
    <t>1931</t>
  </si>
  <si>
    <t>ゴムベルト製造業</t>
  </si>
  <si>
    <t>1932</t>
  </si>
  <si>
    <t>ゴムホース製造業</t>
  </si>
  <si>
    <t>1933</t>
  </si>
  <si>
    <t>工業用ゴム製品製造業</t>
  </si>
  <si>
    <t>1991</t>
  </si>
  <si>
    <t>ゴム引布・同製品製造業</t>
  </si>
  <si>
    <t>1992</t>
  </si>
  <si>
    <t>医療・衛生用ゴム製品製造業</t>
  </si>
  <si>
    <t>1993</t>
  </si>
  <si>
    <t>ゴム練生地製造業</t>
  </si>
  <si>
    <t>1994</t>
  </si>
  <si>
    <t>更生タイヤ製造業</t>
  </si>
  <si>
    <t>1995</t>
  </si>
  <si>
    <t>再生ゴム製造業</t>
  </si>
  <si>
    <t>1999</t>
  </si>
  <si>
    <t>他に分類されないゴム製品製造業</t>
  </si>
  <si>
    <t>2000</t>
  </si>
  <si>
    <t>2009</t>
  </si>
  <si>
    <t>2011</t>
  </si>
  <si>
    <t>なめし革製造業</t>
  </si>
  <si>
    <t>2021</t>
  </si>
  <si>
    <t>工業用革製品製造業（手袋を除く）</t>
  </si>
  <si>
    <t>2031</t>
  </si>
  <si>
    <t>革製履物用材料・同附属品製造業</t>
  </si>
  <si>
    <t>2041</t>
  </si>
  <si>
    <t>革製履物製造業</t>
  </si>
  <si>
    <t>2051</t>
  </si>
  <si>
    <t>革製手袋製造業</t>
  </si>
  <si>
    <t>2061</t>
  </si>
  <si>
    <t>かばん製造業</t>
  </si>
  <si>
    <t>2071</t>
  </si>
  <si>
    <t>袋物製造業（ハンドバッグを除く）</t>
  </si>
  <si>
    <t>2072</t>
  </si>
  <si>
    <t>ハンドバッグ製造業</t>
  </si>
  <si>
    <t>2081</t>
  </si>
  <si>
    <t>毛皮製造業</t>
  </si>
  <si>
    <t>2099</t>
  </si>
  <si>
    <t>その他のなめし革製品製造業</t>
  </si>
  <si>
    <t>2100</t>
  </si>
  <si>
    <t>2109</t>
  </si>
  <si>
    <t>2111</t>
  </si>
  <si>
    <t>板ガラス製造業</t>
  </si>
  <si>
    <t>2112</t>
  </si>
  <si>
    <t>板ガラス加工業</t>
  </si>
  <si>
    <t>2113</t>
  </si>
  <si>
    <t>ガラス製加工素材製造業</t>
  </si>
  <si>
    <t>2114</t>
  </si>
  <si>
    <t>ガラス容器製造業</t>
  </si>
  <si>
    <t>2115</t>
  </si>
  <si>
    <t>理化学用・医療用ガラス器具製造業</t>
  </si>
  <si>
    <t>2116</t>
  </si>
  <si>
    <t>卓上用・ちゅう房用ガラス器具製造業</t>
  </si>
  <si>
    <t>2117</t>
  </si>
  <si>
    <t>ガラス繊維・同製品製造業</t>
  </si>
  <si>
    <t>2119</t>
  </si>
  <si>
    <t>その他のガラス・同製品製造業</t>
  </si>
  <si>
    <t>2121</t>
  </si>
  <si>
    <t>セメント製造業</t>
  </si>
  <si>
    <t>2122</t>
  </si>
  <si>
    <t>生コンクリート製造業</t>
  </si>
  <si>
    <t>2123</t>
  </si>
  <si>
    <t>コンクリート製品製造業</t>
  </si>
  <si>
    <t>2129</t>
  </si>
  <si>
    <t>その他のセメント製品製造業</t>
  </si>
  <si>
    <t>2131</t>
  </si>
  <si>
    <t>粘土かわら製造業</t>
  </si>
  <si>
    <t>2132</t>
  </si>
  <si>
    <t>普通れんが製造業</t>
  </si>
  <si>
    <t>2139</t>
  </si>
  <si>
    <t>その他の建設用粘土製品製造業</t>
  </si>
  <si>
    <t>2141</t>
  </si>
  <si>
    <t>衛生陶器製造業</t>
  </si>
  <si>
    <t>2142</t>
  </si>
  <si>
    <t>食卓用・ちゅう房用陶磁器製造業</t>
  </si>
  <si>
    <t>2143</t>
  </si>
  <si>
    <t>陶磁器製置物製造業</t>
  </si>
  <si>
    <t>2144</t>
  </si>
  <si>
    <t>電気用陶磁器製造業</t>
  </si>
  <si>
    <t>2145</t>
  </si>
  <si>
    <t>理化学用・工業用陶磁器製造業</t>
  </si>
  <si>
    <t>2146</t>
  </si>
  <si>
    <t>陶磁器製タイル製造業</t>
  </si>
  <si>
    <t>2147</t>
  </si>
  <si>
    <t>陶磁器絵付業</t>
  </si>
  <si>
    <t>2148</t>
  </si>
  <si>
    <t>陶磁器用はい（坏）土製造業</t>
  </si>
  <si>
    <t>2149</t>
  </si>
  <si>
    <t>その他の陶磁器・同関連製品製造業</t>
  </si>
  <si>
    <t>2151</t>
  </si>
  <si>
    <t>耐火れんが製造業</t>
  </si>
  <si>
    <t>2152</t>
  </si>
  <si>
    <t>不定形耐火物製造業</t>
  </si>
  <si>
    <t>2159</t>
  </si>
  <si>
    <t>その他の耐火物製造業</t>
  </si>
  <si>
    <t>2161</t>
  </si>
  <si>
    <t>炭素質電極製造業</t>
  </si>
  <si>
    <t>2169</t>
  </si>
  <si>
    <t>その他の炭素・黒鉛製品製造業</t>
  </si>
  <si>
    <t>2171</t>
  </si>
  <si>
    <t>研磨材製造業</t>
  </si>
  <si>
    <t>2172</t>
  </si>
  <si>
    <t>研削と石製造業</t>
  </si>
  <si>
    <t>2173</t>
  </si>
  <si>
    <t>研磨布紙製造業</t>
  </si>
  <si>
    <t>2179</t>
  </si>
  <si>
    <t>その他の研磨材・同製品製造業</t>
  </si>
  <si>
    <t>2181</t>
  </si>
  <si>
    <t>砕石製造業</t>
  </si>
  <si>
    <t>2182</t>
  </si>
  <si>
    <t>再生骨材製造業</t>
  </si>
  <si>
    <t>2183</t>
  </si>
  <si>
    <t>人工骨材製造業</t>
  </si>
  <si>
    <t>2184</t>
  </si>
  <si>
    <t>石工品製造業</t>
  </si>
  <si>
    <t>2185</t>
  </si>
  <si>
    <t>けいそう土・同製品製造業</t>
  </si>
  <si>
    <t>2186</t>
  </si>
  <si>
    <t>鉱物・土石粉砕等処理業</t>
  </si>
  <si>
    <t>2191</t>
  </si>
  <si>
    <t>ロックウール・同製品製造業</t>
  </si>
  <si>
    <t>2192</t>
  </si>
  <si>
    <t>石こう（膏）製品製造業</t>
  </si>
  <si>
    <t>2193</t>
  </si>
  <si>
    <t>石灰製造業</t>
  </si>
  <si>
    <t>2194</t>
  </si>
  <si>
    <t>鋳型製造業（中子を含む）</t>
  </si>
  <si>
    <t>2199</t>
  </si>
  <si>
    <t>他に分類されない窯業・土石製品製造業</t>
  </si>
  <si>
    <t>2200</t>
  </si>
  <si>
    <t>2209</t>
  </si>
  <si>
    <t>2211</t>
  </si>
  <si>
    <t>高炉による製鉄業</t>
  </si>
  <si>
    <t>2212</t>
  </si>
  <si>
    <t>高炉によらない製鉄業</t>
  </si>
  <si>
    <t>2213</t>
  </si>
  <si>
    <t>フェロアロイ製造業</t>
  </si>
  <si>
    <t>2221</t>
  </si>
  <si>
    <t>製鋼・製鋼圧延業</t>
  </si>
  <si>
    <t>2231</t>
  </si>
  <si>
    <t>熱間圧延業（鋼管，伸鉄を除く）</t>
  </si>
  <si>
    <t>2232</t>
  </si>
  <si>
    <t>冷間圧延業（鋼管，伸鉄を除く）</t>
  </si>
  <si>
    <t>2233</t>
  </si>
  <si>
    <t>冷間ロール成型形鋼製造業</t>
  </si>
  <si>
    <t>2234</t>
  </si>
  <si>
    <t>鋼管製造業</t>
  </si>
  <si>
    <t>2235</t>
  </si>
  <si>
    <t>伸鉄業</t>
  </si>
  <si>
    <t>2236</t>
  </si>
  <si>
    <t>磨棒鋼製造業</t>
  </si>
  <si>
    <t>2237</t>
  </si>
  <si>
    <t>引抜鋼管製造業</t>
  </si>
  <si>
    <t>2238</t>
  </si>
  <si>
    <t>伸線業</t>
  </si>
  <si>
    <t>2239</t>
  </si>
  <si>
    <t>その他の製鋼を行わない鋼材製造業（表面処理鋼材を除く)</t>
  </si>
  <si>
    <t>2241</t>
  </si>
  <si>
    <t>亜鉛鉄板製造業</t>
  </si>
  <si>
    <t>2249</t>
  </si>
  <si>
    <t>その他の表面処理鋼材製造業</t>
  </si>
  <si>
    <t>2251</t>
  </si>
  <si>
    <t>銑鉄鋳物製造業（鋳鉄管，可鍛鋳鉄を除く）</t>
  </si>
  <si>
    <t>2252</t>
  </si>
  <si>
    <t>可鍛鋳鉄製造業</t>
  </si>
  <si>
    <t>2253</t>
  </si>
  <si>
    <t>鋳鋼製造業</t>
  </si>
  <si>
    <t>2254</t>
  </si>
  <si>
    <t>鍛工品製造業</t>
  </si>
  <si>
    <t>2255</t>
  </si>
  <si>
    <t>鍛鋼製造業</t>
  </si>
  <si>
    <t>2291</t>
  </si>
  <si>
    <t>鉄鋼シャースリット業</t>
  </si>
  <si>
    <t>2292</t>
  </si>
  <si>
    <t>鉄スクラップ加工処理業</t>
  </si>
  <si>
    <t>2293</t>
  </si>
  <si>
    <t>鋳鉄管製造業</t>
  </si>
  <si>
    <t>2299</t>
  </si>
  <si>
    <t>他に分類されない鉄鋼業</t>
  </si>
  <si>
    <t>2300</t>
  </si>
  <si>
    <t>2309</t>
  </si>
  <si>
    <t>2311</t>
  </si>
  <si>
    <t>銅第１次製錬・精製業</t>
  </si>
  <si>
    <t>2312</t>
  </si>
  <si>
    <t>亜鉛第１次製錬・精製業</t>
  </si>
  <si>
    <t>2319</t>
  </si>
  <si>
    <t>その他の非鉄金属第１次製錬・精製業</t>
  </si>
  <si>
    <t>2321</t>
  </si>
  <si>
    <t>鉛第２次製錬・精製業（鉛合金製造業を含む)</t>
  </si>
  <si>
    <t>2322</t>
  </si>
  <si>
    <t>アルミニウム第２次製錬・精製業（アルミニウム合金製造業を含む）</t>
  </si>
  <si>
    <t>2329</t>
  </si>
  <si>
    <t>その他の非鉄金属第２次製錬・精製業（非鉄金属合金製造業を含む）</t>
  </si>
  <si>
    <t>2331</t>
  </si>
  <si>
    <t>伸銅品製造業</t>
  </si>
  <si>
    <t>2332</t>
  </si>
  <si>
    <t>アルミニウム・同合金圧延業（抽伸，押出しを含む）</t>
  </si>
  <si>
    <t>2339</t>
  </si>
  <si>
    <t>その他の非鉄金属・同合金圧延業（抽伸，押出しを含む）</t>
  </si>
  <si>
    <t>2341</t>
  </si>
  <si>
    <t>電線・ケーブル製造業（光ファイバケーブルを除く）</t>
  </si>
  <si>
    <t>2342</t>
  </si>
  <si>
    <t>光ファイバケーブル製造業（通信複合ケーブルを含む）</t>
  </si>
  <si>
    <t>2351</t>
  </si>
  <si>
    <t>銅・同合金鋳物製造業（ダイカストを除く）</t>
  </si>
  <si>
    <t>2352</t>
  </si>
  <si>
    <t>非鉄金属鋳物製造業（銅・同合金鋳物及びダイカストを除く）</t>
  </si>
  <si>
    <t>2353</t>
  </si>
  <si>
    <t>アルミニウム・同合金ダイカスト製造業</t>
  </si>
  <si>
    <t>2354</t>
  </si>
  <si>
    <t>非鉄金属ダイカスト製造業（アルミニウム・同合金ダイカストを除く）</t>
  </si>
  <si>
    <t>2355</t>
  </si>
  <si>
    <t>非鉄金属鍛造品製造業</t>
  </si>
  <si>
    <t>2391</t>
  </si>
  <si>
    <t>核燃料製造業</t>
  </si>
  <si>
    <t>2399</t>
  </si>
  <si>
    <t>他に分類されない非鉄金属製造業</t>
  </si>
  <si>
    <t>2400</t>
  </si>
  <si>
    <t>2409</t>
  </si>
  <si>
    <t>2411</t>
  </si>
  <si>
    <t>ブリキ缶・その他のめっき板等製品製造業</t>
  </si>
  <si>
    <t>2421</t>
  </si>
  <si>
    <t>洋食器製造業</t>
  </si>
  <si>
    <t>2422</t>
  </si>
  <si>
    <t>機械刃物製造業</t>
  </si>
  <si>
    <t>2423</t>
  </si>
  <si>
    <t>利器工匠具・手道具製造業（やすり，のこぎり，食卓用刃物を除く）</t>
  </si>
  <si>
    <t>2424</t>
  </si>
  <si>
    <t>作業工具製造業</t>
  </si>
  <si>
    <t>2425</t>
  </si>
  <si>
    <t>手引のこぎり・のこ刃製造業</t>
  </si>
  <si>
    <t>2426</t>
  </si>
  <si>
    <t>農業用器具製造業（農業用機械を除く）</t>
  </si>
  <si>
    <t>2429</t>
  </si>
  <si>
    <t>その他の金物類製造業</t>
  </si>
  <si>
    <t>2431</t>
  </si>
  <si>
    <t>配管工事用附属品製造業（バルブ，コックを除く）</t>
  </si>
  <si>
    <t>2432</t>
  </si>
  <si>
    <t>ガス機器・石油機器製造業</t>
  </si>
  <si>
    <t>2433</t>
  </si>
  <si>
    <t>温風・温水暖房装置製造業</t>
  </si>
  <si>
    <t>2439</t>
  </si>
  <si>
    <t>その他の暖房・調理装置製造業（電気機械器具，ガス機器，石油機器を除く）</t>
  </si>
  <si>
    <t>2441</t>
  </si>
  <si>
    <t>鉄骨製造業</t>
  </si>
  <si>
    <t>2442</t>
  </si>
  <si>
    <t>建設用金属製品製造業（鉄骨を除く）</t>
  </si>
  <si>
    <t>2443</t>
  </si>
  <si>
    <t>金属製サッシ・ドア製造業</t>
  </si>
  <si>
    <t>2444</t>
  </si>
  <si>
    <t>鉄骨系プレハブ住宅製造業</t>
  </si>
  <si>
    <t>2445</t>
  </si>
  <si>
    <t>建築用金属製品製造業（サッシ，ドア，建築用金物を除く）</t>
  </si>
  <si>
    <t>2446</t>
  </si>
  <si>
    <t>製缶板金業</t>
  </si>
  <si>
    <t>2451</t>
  </si>
  <si>
    <t>アルミニウム・同合金プレス製品製造業</t>
  </si>
  <si>
    <t>2452</t>
  </si>
  <si>
    <t>金属プレス製品製造業（アルミニウム・同合金を除く）</t>
  </si>
  <si>
    <t>2453</t>
  </si>
  <si>
    <t>粉末や金製品製造業</t>
  </si>
  <si>
    <t>2461</t>
  </si>
  <si>
    <t>金属製品塗装業</t>
  </si>
  <si>
    <t>2462</t>
  </si>
  <si>
    <t>溶融めっき業（表面処理鋼材製造業を除く）</t>
  </si>
  <si>
    <t>2463</t>
  </si>
  <si>
    <t>金属彫刻業</t>
  </si>
  <si>
    <t>2464</t>
  </si>
  <si>
    <t>電気めっき業（表面処理鋼材製造業を除く）</t>
  </si>
  <si>
    <t>2465</t>
  </si>
  <si>
    <t>金属熱処理業</t>
  </si>
  <si>
    <t>2469</t>
  </si>
  <si>
    <t>その他の金属表面処理業</t>
  </si>
  <si>
    <t>2471</t>
  </si>
  <si>
    <t>くぎ製造業</t>
  </si>
  <si>
    <t>2479</t>
  </si>
  <si>
    <t>その他の金属線製品製造業</t>
  </si>
  <si>
    <t>2481</t>
  </si>
  <si>
    <t>ボルト・ナット・リベット・小ねじ・木ねじ等製造業</t>
  </si>
  <si>
    <t>2491</t>
  </si>
  <si>
    <t>金庫製造業</t>
  </si>
  <si>
    <t>2492</t>
  </si>
  <si>
    <t>金属製スプリング製造業</t>
  </si>
  <si>
    <t>2499</t>
  </si>
  <si>
    <t>他に分類されない金属製品製造業</t>
  </si>
  <si>
    <t>2500</t>
  </si>
  <si>
    <t>2509</t>
  </si>
  <si>
    <t>2511</t>
  </si>
  <si>
    <t>ボイラ製造業</t>
  </si>
  <si>
    <t>2512</t>
  </si>
  <si>
    <t>蒸気機関・タービン・水力タービン製造業（舶用を除く）</t>
  </si>
  <si>
    <t>2513</t>
  </si>
  <si>
    <t>はん用内燃機関製造業</t>
  </si>
  <si>
    <t>2519</t>
  </si>
  <si>
    <t>その他の原動機製造業</t>
  </si>
  <si>
    <t>2521</t>
  </si>
  <si>
    <t>ポンプ・同装置製造業</t>
  </si>
  <si>
    <t>2522</t>
  </si>
  <si>
    <t>空気圧縮機・ガス圧縮機・送風機製造業</t>
  </si>
  <si>
    <t>2523</t>
  </si>
  <si>
    <t>油圧・空圧機器製造業</t>
  </si>
  <si>
    <t>2531</t>
  </si>
  <si>
    <t>動力伝導装置製造業（玉軸受，ころ軸受を除く）</t>
  </si>
  <si>
    <t>2532</t>
  </si>
  <si>
    <t>エレベータ・エスカレータ製造業</t>
  </si>
  <si>
    <t>2533</t>
  </si>
  <si>
    <t>物流運搬設備製造業</t>
  </si>
  <si>
    <t>2534</t>
  </si>
  <si>
    <t>工業窯炉製造業</t>
  </si>
  <si>
    <t>2535</t>
  </si>
  <si>
    <t>冷凍機・温湿調整装置製造業</t>
  </si>
  <si>
    <t>2591</t>
  </si>
  <si>
    <t>消火器具・消火装置製造業</t>
  </si>
  <si>
    <t>2592</t>
  </si>
  <si>
    <t>弁・同附属品製造業</t>
  </si>
  <si>
    <t>2593</t>
  </si>
  <si>
    <t>パイプ加工・パイプ附属品加工業</t>
  </si>
  <si>
    <t>2594</t>
  </si>
  <si>
    <t>玉軸受・ころ軸受製造業</t>
  </si>
  <si>
    <t>2595</t>
  </si>
  <si>
    <t>ピストンリング製造業</t>
  </si>
  <si>
    <t>2596</t>
  </si>
  <si>
    <t>他に分類されないはん用機械・装置製造業</t>
  </si>
  <si>
    <t>2599</t>
  </si>
  <si>
    <t>各種機械・同部分品製造修理業（注文製造・修理）</t>
  </si>
  <si>
    <t>2600</t>
  </si>
  <si>
    <t>2609</t>
  </si>
  <si>
    <t>2611</t>
  </si>
  <si>
    <t>農業用機械製造業（農業用器具を除く）</t>
  </si>
  <si>
    <t>2621</t>
  </si>
  <si>
    <t>建設機械・鉱山機械製造業</t>
  </si>
  <si>
    <t>2631</t>
  </si>
  <si>
    <t>化学繊維機械・紡績機械製造業</t>
  </si>
  <si>
    <t>2632</t>
  </si>
  <si>
    <t>製織機械・編組機械製造業</t>
  </si>
  <si>
    <t>2633</t>
  </si>
  <si>
    <t>染色整理仕上機械製造業</t>
  </si>
  <si>
    <t>2634</t>
  </si>
  <si>
    <t>繊維機械部分品・取付具・附属品製造業</t>
  </si>
  <si>
    <t>2635</t>
  </si>
  <si>
    <t>縫製機械製造業</t>
  </si>
  <si>
    <t>2641</t>
  </si>
  <si>
    <t>食品機械・同装置製造業</t>
  </si>
  <si>
    <t>2642</t>
  </si>
  <si>
    <t>木材加工機械製造業</t>
  </si>
  <si>
    <t>2643</t>
  </si>
  <si>
    <t>パルプ装置・製紙機械製造業</t>
  </si>
  <si>
    <t>2644</t>
  </si>
  <si>
    <t>印刷・製本・紙工機械製造業</t>
  </si>
  <si>
    <t>2645</t>
  </si>
  <si>
    <t>包装・荷造機械製造業</t>
  </si>
  <si>
    <t>2651</t>
  </si>
  <si>
    <t>鋳造装置製造業</t>
  </si>
  <si>
    <t>2652</t>
  </si>
  <si>
    <t>化学機械・同装置製造業</t>
  </si>
  <si>
    <t>2653</t>
  </si>
  <si>
    <t>プラスチック加工機械・同附属装置製造業</t>
  </si>
  <si>
    <t>2661</t>
  </si>
  <si>
    <t>金属工作機械製造業</t>
  </si>
  <si>
    <t>2662</t>
  </si>
  <si>
    <t>金属加工機械製造業（金属工作機械を除く）</t>
  </si>
  <si>
    <t>2663</t>
  </si>
  <si>
    <t>金属工作機械用・金属加工機械用部分品・附属品製造業（機械工具，金型を除く）</t>
  </si>
  <si>
    <t>2664</t>
  </si>
  <si>
    <t>機械工具製造業（粉末や金業を除く）</t>
  </si>
  <si>
    <t>2671</t>
  </si>
  <si>
    <t>半導体製造装置製造業</t>
  </si>
  <si>
    <t>2672</t>
  </si>
  <si>
    <t>フラットパネルディスプレイ製造装置製造業</t>
  </si>
  <si>
    <t>2691</t>
  </si>
  <si>
    <t>金属用金型・同部分品・附属品製造業</t>
  </si>
  <si>
    <t>2692</t>
  </si>
  <si>
    <t>非金属用金型・同部分品・附属品製造業</t>
  </si>
  <si>
    <t>2693</t>
  </si>
  <si>
    <t>真空装置・真空機器製造業</t>
  </si>
  <si>
    <t>2694</t>
  </si>
  <si>
    <t>ロボット製造業</t>
  </si>
  <si>
    <t>2699</t>
  </si>
  <si>
    <t>他に分類されない生産用機械・同部分品製造業</t>
  </si>
  <si>
    <t>2700</t>
  </si>
  <si>
    <t>2709</t>
  </si>
  <si>
    <t>2711</t>
  </si>
  <si>
    <t>複写機製造業</t>
  </si>
  <si>
    <t>2719</t>
  </si>
  <si>
    <t>その他の事務用機械器具製造業</t>
  </si>
  <si>
    <t>2721</t>
  </si>
  <si>
    <t>サービス用機械器具製造業</t>
  </si>
  <si>
    <t>2722</t>
  </si>
  <si>
    <t>娯楽用機械製造業</t>
  </si>
  <si>
    <t>2723</t>
  </si>
  <si>
    <t>自動販売機製造業</t>
  </si>
  <si>
    <t>2729</t>
  </si>
  <si>
    <t>その他のサービス用・娯楽用機械器具製造業</t>
  </si>
  <si>
    <t>2731</t>
  </si>
  <si>
    <t>体積計製造業</t>
  </si>
  <si>
    <t>2732</t>
  </si>
  <si>
    <t>はかり製造業</t>
  </si>
  <si>
    <t>2733</t>
  </si>
  <si>
    <t>圧力計・流量計・液面計等製造業</t>
  </si>
  <si>
    <t>2734</t>
  </si>
  <si>
    <t>精密測定器製造業</t>
  </si>
  <si>
    <t>2735</t>
  </si>
  <si>
    <t>分析機器製造業</t>
  </si>
  <si>
    <t>2736</t>
  </si>
  <si>
    <t>試験機製造業</t>
  </si>
  <si>
    <t>2737</t>
  </si>
  <si>
    <t>測量機械器具製造業</t>
  </si>
  <si>
    <t>2738</t>
  </si>
  <si>
    <t>理化学機械器具製造業</t>
  </si>
  <si>
    <t>2739</t>
  </si>
  <si>
    <t>その他の計量器・測定器・分析機器・試験機・測量機械器具・理化学機械器具製造業</t>
  </si>
  <si>
    <t>2741</t>
  </si>
  <si>
    <t>医療用機械器具製造業</t>
  </si>
  <si>
    <t>2742</t>
  </si>
  <si>
    <t>歯科用機械器具製造業</t>
  </si>
  <si>
    <t>2743</t>
  </si>
  <si>
    <t>医療用品製造業（動物用医療機械器具を含む）</t>
  </si>
  <si>
    <t>2744</t>
  </si>
  <si>
    <t>歯科材料製造業</t>
  </si>
  <si>
    <t>2751</t>
  </si>
  <si>
    <t>顕微鏡・望遠鏡等製造業</t>
  </si>
  <si>
    <t>2752</t>
  </si>
  <si>
    <t>写真機・映画用機械・同附属品製造業</t>
  </si>
  <si>
    <t>2753</t>
  </si>
  <si>
    <t>光学機械用レンズ・プリズム製造業</t>
  </si>
  <si>
    <t>2761</t>
  </si>
  <si>
    <t>武器製造業</t>
  </si>
  <si>
    <t>2800</t>
  </si>
  <si>
    <t>2809</t>
  </si>
  <si>
    <t>2811</t>
  </si>
  <si>
    <t>電子管製造業</t>
  </si>
  <si>
    <t>2812</t>
  </si>
  <si>
    <t>光電変換素子製造業</t>
  </si>
  <si>
    <t>2813</t>
  </si>
  <si>
    <t>半導体素子製造業（光電変換素子を除く）</t>
  </si>
  <si>
    <t>2814</t>
  </si>
  <si>
    <t>集積回路製造業</t>
  </si>
  <si>
    <t>2815</t>
  </si>
  <si>
    <t>液晶パネル・フラットパネル製造業</t>
  </si>
  <si>
    <t>2821</t>
  </si>
  <si>
    <t>抵抗器・コンデンサ・変成器・複合部品製造業</t>
  </si>
  <si>
    <t>2822</t>
  </si>
  <si>
    <t>音響部品・磁気ヘッド・小形モータ製造業</t>
  </si>
  <si>
    <t>2823</t>
  </si>
  <si>
    <t>コネクタ・スイッチ・リレー製造業</t>
  </si>
  <si>
    <t>2831</t>
  </si>
  <si>
    <t>半導体メモリメディア製造業</t>
  </si>
  <si>
    <t>2832</t>
  </si>
  <si>
    <t>光ディスク・磁気ディスク・磁気テープ製造業</t>
  </si>
  <si>
    <t>2841</t>
  </si>
  <si>
    <t>電子回路基板製造業</t>
  </si>
  <si>
    <t>2842</t>
  </si>
  <si>
    <t>電子回路実装基板製造業</t>
  </si>
  <si>
    <t>2851</t>
  </si>
  <si>
    <t>電源ユニット・高周波ユニット・コントロールユニット製造業</t>
  </si>
  <si>
    <t>2859</t>
  </si>
  <si>
    <t>その他のユニット部品製造業</t>
  </si>
  <si>
    <t>2899</t>
  </si>
  <si>
    <t>その他の電子部品・デバイス・電子回路製造業</t>
  </si>
  <si>
    <t>2900</t>
  </si>
  <si>
    <t>2909</t>
  </si>
  <si>
    <t>2911</t>
  </si>
  <si>
    <t>発電機・電動機・その他の回転電気機械製造業</t>
  </si>
  <si>
    <t>2912</t>
  </si>
  <si>
    <t>変圧器類製造業（電子機器用を除く)</t>
  </si>
  <si>
    <t>2913</t>
  </si>
  <si>
    <t>電力開閉装置製造業</t>
  </si>
  <si>
    <t>2914</t>
  </si>
  <si>
    <t>配電盤・電力制御装置製造業</t>
  </si>
  <si>
    <t>2915</t>
  </si>
  <si>
    <t>配線器具・配線附属品製造業</t>
  </si>
  <si>
    <t>2921</t>
  </si>
  <si>
    <t>電気溶接機製造業</t>
  </si>
  <si>
    <t>2922</t>
  </si>
  <si>
    <t>内燃機関電装品製造業</t>
  </si>
  <si>
    <t>2929</t>
  </si>
  <si>
    <t>その他の産業用電気機械器具製造業（車両用，船舶用を含む）</t>
  </si>
  <si>
    <t>2931</t>
  </si>
  <si>
    <t>ちゅう房機器製造業</t>
  </si>
  <si>
    <t>2932</t>
  </si>
  <si>
    <t>空調・住宅関連機器製造業</t>
  </si>
  <si>
    <t>2933</t>
  </si>
  <si>
    <t>衣料衛生関連機器製造業</t>
  </si>
  <si>
    <t>2939</t>
  </si>
  <si>
    <t>その他の民生用電気機械器具製造業</t>
  </si>
  <si>
    <t>2941</t>
  </si>
  <si>
    <t>電球製造業</t>
  </si>
  <si>
    <t>2942</t>
  </si>
  <si>
    <t>電気照明器具製造業</t>
  </si>
  <si>
    <t>2951</t>
  </si>
  <si>
    <t>蓄電池製造業</t>
  </si>
  <si>
    <t>2952</t>
  </si>
  <si>
    <t>一次電池（乾電池，湿電池）製造業</t>
  </si>
  <si>
    <t>2961</t>
  </si>
  <si>
    <t>Ｘ線装置製造業</t>
  </si>
  <si>
    <t>2962</t>
  </si>
  <si>
    <t>医療用電子応用装置製造業</t>
  </si>
  <si>
    <t>2969</t>
  </si>
  <si>
    <t>その他の電子応用装置製造業</t>
  </si>
  <si>
    <t>2971</t>
  </si>
  <si>
    <t>電気計測器製造業（別掲を除く）</t>
  </si>
  <si>
    <t>2972</t>
  </si>
  <si>
    <t>工業計器製造業</t>
  </si>
  <si>
    <t>2973</t>
  </si>
  <si>
    <t>医療用計測器製造業</t>
  </si>
  <si>
    <t>2999</t>
  </si>
  <si>
    <t>その他の電気機械器具製造業</t>
  </si>
  <si>
    <t>3000</t>
  </si>
  <si>
    <t>3009</t>
  </si>
  <si>
    <t>3011</t>
  </si>
  <si>
    <t>有線通信機械器具製造業</t>
  </si>
  <si>
    <t>3012</t>
  </si>
  <si>
    <t>携帯電話機・ＰＨＳ電話機製造業</t>
  </si>
  <si>
    <t>3013</t>
  </si>
  <si>
    <t>無線通信機械器具製造業</t>
  </si>
  <si>
    <t>3014</t>
  </si>
  <si>
    <t>ラジオ受信機・テレビジョン受信機製造業</t>
  </si>
  <si>
    <t>3015</t>
  </si>
  <si>
    <t>交通信号保安装置製造業</t>
  </si>
  <si>
    <t>3019</t>
  </si>
  <si>
    <t>その他の通信機械器具・同関連機械器具製造業</t>
  </si>
  <si>
    <t>3021</t>
  </si>
  <si>
    <t>ビデオ機器製造業</t>
  </si>
  <si>
    <t>3022</t>
  </si>
  <si>
    <t>デジタルカメラ製造業</t>
  </si>
  <si>
    <t>3023</t>
  </si>
  <si>
    <t>電気音響機械器具製造業</t>
  </si>
  <si>
    <t>3031</t>
  </si>
  <si>
    <t>電子計算機製造業（パーソナルコンピュータを除く）</t>
  </si>
  <si>
    <t>3032</t>
  </si>
  <si>
    <t>パーソナルコンピュータ製造業</t>
  </si>
  <si>
    <t>3033</t>
  </si>
  <si>
    <t>外部記憶装置製造業</t>
  </si>
  <si>
    <t>3034</t>
  </si>
  <si>
    <t>印刷装置製造業</t>
  </si>
  <si>
    <t>3035</t>
  </si>
  <si>
    <t>表示装置製造業</t>
  </si>
  <si>
    <t>3039</t>
  </si>
  <si>
    <t>その他の附属装置製造業</t>
  </si>
  <si>
    <t>3100</t>
  </si>
  <si>
    <t>3109</t>
  </si>
  <si>
    <t>3111</t>
  </si>
  <si>
    <t>自動車製造業（二輪自動車を含む）</t>
  </si>
  <si>
    <t>3112</t>
  </si>
  <si>
    <t>自動車車体・附随車製造業</t>
  </si>
  <si>
    <t>3113</t>
  </si>
  <si>
    <t>自動車部分品・附属品製造業</t>
  </si>
  <si>
    <t>3121</t>
  </si>
  <si>
    <t>鉄道車両製造業</t>
  </si>
  <si>
    <t>3122</t>
  </si>
  <si>
    <t>鉄道車両用部分品製造業</t>
  </si>
  <si>
    <t>3131</t>
  </si>
  <si>
    <t>船舶製造・修理業</t>
  </si>
  <si>
    <t>3132</t>
  </si>
  <si>
    <t>船体ブロック製造業</t>
  </si>
  <si>
    <t>3133</t>
  </si>
  <si>
    <t>舟艇製造・修理業</t>
  </si>
  <si>
    <t>3134</t>
  </si>
  <si>
    <t>舶用機関製造業</t>
  </si>
  <si>
    <t>3141</t>
  </si>
  <si>
    <t>航空機製造業</t>
  </si>
  <si>
    <t>3142</t>
  </si>
  <si>
    <t>航空機用原動機製造業</t>
  </si>
  <si>
    <t>3149</t>
  </si>
  <si>
    <t>その他の航空機部分品・補助装置製造業</t>
  </si>
  <si>
    <t>3151</t>
  </si>
  <si>
    <t>フォークリフトトラック・同部分品・附属品製造業</t>
  </si>
  <si>
    <t>3159</t>
  </si>
  <si>
    <t>その他の産業用運搬車両・同部分品・附属品製造業</t>
  </si>
  <si>
    <t>3191</t>
  </si>
  <si>
    <t>自転車・同部分品製造業</t>
  </si>
  <si>
    <t>3199</t>
  </si>
  <si>
    <t>他に分類されない輸送用機械器具製造業</t>
  </si>
  <si>
    <t>3200</t>
  </si>
  <si>
    <t>3209</t>
  </si>
  <si>
    <t>3211</t>
  </si>
  <si>
    <t>貴金属・宝石製装身具（ジュエリー）製品製造業</t>
  </si>
  <si>
    <t>3212</t>
  </si>
  <si>
    <t>貴金属・宝石製装身具（ジュエリー）附属品・同材料加工業</t>
  </si>
  <si>
    <t>3219</t>
  </si>
  <si>
    <t>その他の貴金属製品製造業</t>
  </si>
  <si>
    <t>3221</t>
  </si>
  <si>
    <t>装身具・装飾品製造業（貴金属・宝石製を除く）</t>
  </si>
  <si>
    <t>3222</t>
  </si>
  <si>
    <t>造花・装飾用羽毛製造業</t>
  </si>
  <si>
    <t>3223</t>
  </si>
  <si>
    <t>ボタン製造業</t>
  </si>
  <si>
    <t>3224</t>
  </si>
  <si>
    <t>針・ピン・ホック・スナップ・同関連品製造業</t>
  </si>
  <si>
    <t>3229</t>
  </si>
  <si>
    <t>その他の装身具・装飾品製造業</t>
  </si>
  <si>
    <t>3231</t>
  </si>
  <si>
    <t>時計・同部分品製造業</t>
  </si>
  <si>
    <t>3241</t>
  </si>
  <si>
    <t>ピアノ製造業</t>
  </si>
  <si>
    <t>3249</t>
  </si>
  <si>
    <t>その他の楽器・楽器部品・同材料製造業</t>
  </si>
  <si>
    <t>3251</t>
  </si>
  <si>
    <t>娯楽用具・がん具製造業（人形を除く）</t>
  </si>
  <si>
    <t>3252</t>
  </si>
  <si>
    <t>人形製造業</t>
  </si>
  <si>
    <t>3253</t>
  </si>
  <si>
    <t>運動用具製造業</t>
  </si>
  <si>
    <t>3261</t>
  </si>
  <si>
    <t>万年筆・ペン類・鉛筆製造業</t>
  </si>
  <si>
    <t>3262</t>
  </si>
  <si>
    <t>毛筆・絵画用品製造業（鉛筆を除く）</t>
  </si>
  <si>
    <t>3269</t>
  </si>
  <si>
    <t>その他の事務用品製造業</t>
  </si>
  <si>
    <t>3271</t>
  </si>
  <si>
    <t>漆器製造業</t>
  </si>
  <si>
    <t>3281</t>
  </si>
  <si>
    <t>麦わら・パナマ類帽子・わら工品製造業</t>
  </si>
  <si>
    <t>3282</t>
  </si>
  <si>
    <t>畳製造業</t>
  </si>
  <si>
    <t>3283</t>
  </si>
  <si>
    <t>うちわ・扇子・ちょうちん製造業</t>
  </si>
  <si>
    <t>3284</t>
  </si>
  <si>
    <t>ほうき・ブラシ製造業</t>
  </si>
  <si>
    <t>3285</t>
  </si>
  <si>
    <t>喫煙用具製造業（貴金属・宝石製を除く）</t>
  </si>
  <si>
    <t>3289</t>
  </si>
  <si>
    <t>その他の生活雑貨製品製造業</t>
  </si>
  <si>
    <t>3291</t>
  </si>
  <si>
    <t>煙火製造業</t>
  </si>
  <si>
    <t>3292</t>
  </si>
  <si>
    <t>看板・標識機製造業</t>
  </si>
  <si>
    <t>3293</t>
  </si>
  <si>
    <t>パレット製造業</t>
  </si>
  <si>
    <t>3294</t>
  </si>
  <si>
    <t>モデル・模型製造業</t>
  </si>
  <si>
    <t>3295</t>
  </si>
  <si>
    <t>工業用模型製造業</t>
  </si>
  <si>
    <t>3296</t>
  </si>
  <si>
    <t>情報記録物製造業（新聞，書籍等の印刷物を除く）</t>
  </si>
  <si>
    <t>3297</t>
  </si>
  <si>
    <t>眼鏡製造業（枠を含む）</t>
  </si>
  <si>
    <t>3299</t>
  </si>
  <si>
    <t>他に分類されないその他の製造業</t>
  </si>
  <si>
    <t>3300</t>
  </si>
  <si>
    <t>3309</t>
  </si>
  <si>
    <t>3311</t>
  </si>
  <si>
    <t>発電所</t>
  </si>
  <si>
    <t>3312</t>
  </si>
  <si>
    <t>変電所</t>
  </si>
  <si>
    <t>3400</t>
  </si>
  <si>
    <t>3409</t>
  </si>
  <si>
    <t>3411</t>
  </si>
  <si>
    <t>ガス製造工場</t>
  </si>
  <si>
    <t>3412</t>
  </si>
  <si>
    <t>ガス供給所</t>
  </si>
  <si>
    <t>3500</t>
  </si>
  <si>
    <t>3509</t>
  </si>
  <si>
    <t>3511</t>
  </si>
  <si>
    <t>熱供給業</t>
  </si>
  <si>
    <t>3600</t>
  </si>
  <si>
    <t>3609</t>
  </si>
  <si>
    <t>3611</t>
  </si>
  <si>
    <t>上水道業</t>
  </si>
  <si>
    <t>3621</t>
  </si>
  <si>
    <t>工業用水道業</t>
  </si>
  <si>
    <t>3631</t>
  </si>
  <si>
    <t>下水道処理施設維持管理業</t>
  </si>
  <si>
    <t>3632</t>
  </si>
  <si>
    <t>下水道管路施設維持管理業</t>
  </si>
  <si>
    <t>3700</t>
  </si>
  <si>
    <t>3709</t>
  </si>
  <si>
    <t>3711</t>
  </si>
  <si>
    <t>地域電気通信業（有線放送電話業を除く）</t>
  </si>
  <si>
    <t>3712</t>
  </si>
  <si>
    <t>長距離電気通信業</t>
  </si>
  <si>
    <t>3713</t>
  </si>
  <si>
    <t>有線放送電話業</t>
  </si>
  <si>
    <t>3719</t>
  </si>
  <si>
    <t>その他の固定電気通信業</t>
  </si>
  <si>
    <t>3721</t>
  </si>
  <si>
    <t>移動電気通信業</t>
  </si>
  <si>
    <t>3731</t>
  </si>
  <si>
    <t>電気通信に附帯するサービス業</t>
  </si>
  <si>
    <t>3800</t>
  </si>
  <si>
    <t>3809</t>
  </si>
  <si>
    <t>3811</t>
  </si>
  <si>
    <t>公共放送業（有線放送業を除く）</t>
  </si>
  <si>
    <t>3821</t>
  </si>
  <si>
    <t>テレビジョン放送業（衛星放送業を除く）</t>
  </si>
  <si>
    <t>3822</t>
  </si>
  <si>
    <t>ラジオ放送業（衛星放送業を除く）</t>
  </si>
  <si>
    <t>3823</t>
  </si>
  <si>
    <t>衛星放送業</t>
  </si>
  <si>
    <t>3829</t>
  </si>
  <si>
    <t>その他の民間放送業</t>
  </si>
  <si>
    <t>3831</t>
  </si>
  <si>
    <t>有線テレビジョン放送業</t>
  </si>
  <si>
    <t>3832</t>
  </si>
  <si>
    <t>有線ラジオ放送業</t>
  </si>
  <si>
    <t>3900</t>
  </si>
  <si>
    <t>3909</t>
  </si>
  <si>
    <t>3911</t>
  </si>
  <si>
    <t>受託開発ソフトウェア業</t>
  </si>
  <si>
    <t>3912</t>
  </si>
  <si>
    <t>組込みソフトウェア業</t>
  </si>
  <si>
    <t>3913</t>
  </si>
  <si>
    <t>パッケージソフトウェア業</t>
  </si>
  <si>
    <t>3914</t>
  </si>
  <si>
    <t>ゲームソフトウェア業</t>
  </si>
  <si>
    <t>3921</t>
  </si>
  <si>
    <t>情報処理サービス業</t>
  </si>
  <si>
    <t>3922</t>
  </si>
  <si>
    <t>情報提供サービス業</t>
  </si>
  <si>
    <t>3923</t>
  </si>
  <si>
    <t>市場調査・世論調査・社会調査業</t>
    <rPh sb="0" eb="2">
      <t>シジョウ</t>
    </rPh>
    <rPh sb="2" eb="4">
      <t>チョウサ</t>
    </rPh>
    <rPh sb="5" eb="7">
      <t>セロン</t>
    </rPh>
    <rPh sb="7" eb="9">
      <t>チョウサ</t>
    </rPh>
    <rPh sb="10" eb="12">
      <t>シャカイ</t>
    </rPh>
    <rPh sb="12" eb="14">
      <t>チョウサ</t>
    </rPh>
    <rPh sb="14" eb="15">
      <t>ギョウ</t>
    </rPh>
    <phoneticPr fontId="4"/>
  </si>
  <si>
    <t>3929</t>
  </si>
  <si>
    <t>その他の情報処理・提供サービス業</t>
  </si>
  <si>
    <t>4000</t>
  </si>
  <si>
    <t>4009</t>
  </si>
  <si>
    <t>4011</t>
  </si>
  <si>
    <t>ポータルサイト・サーバ運営業</t>
  </si>
  <si>
    <t>4012</t>
  </si>
  <si>
    <t>アプリケーション・サービス・コンテンツ・プロバイダ</t>
  </si>
  <si>
    <t>4013</t>
  </si>
  <si>
    <t>インターネット利用サポート業</t>
  </si>
  <si>
    <t>4100</t>
  </si>
  <si>
    <t>4109</t>
  </si>
  <si>
    <t>4111</t>
  </si>
  <si>
    <t>映画・ビデオ制作業（テレビジョン番組制作業，アニメーション制作業を除く）</t>
  </si>
  <si>
    <t>4112</t>
  </si>
  <si>
    <t>テレビジョン番組制作業（アニメーション制作業を除く）</t>
  </si>
  <si>
    <t>4113</t>
  </si>
  <si>
    <t>アニメーション制作業</t>
  </si>
  <si>
    <t>4114</t>
  </si>
  <si>
    <t>映画・ビデオ・テレビジョン番組配給業</t>
  </si>
  <si>
    <t>4121</t>
  </si>
  <si>
    <t>レコード制作業</t>
  </si>
  <si>
    <t>4122</t>
  </si>
  <si>
    <t>ラジオ番組制作業</t>
  </si>
  <si>
    <t>4131</t>
  </si>
  <si>
    <t>新聞業</t>
  </si>
  <si>
    <t>4141</t>
  </si>
  <si>
    <t>出版業</t>
  </si>
  <si>
    <t>4151</t>
  </si>
  <si>
    <t>広告制作業</t>
  </si>
  <si>
    <t>4161</t>
  </si>
  <si>
    <t>ニュース供給業</t>
  </si>
  <si>
    <t>4169</t>
  </si>
  <si>
    <t>その他の映像・音声・文字情報制作に附帯するサービス業</t>
  </si>
  <si>
    <t>4200</t>
  </si>
  <si>
    <t>4209</t>
  </si>
  <si>
    <t>4211</t>
  </si>
  <si>
    <t>普通鉄道業</t>
  </si>
  <si>
    <t>4212</t>
  </si>
  <si>
    <t>軌道業</t>
  </si>
  <si>
    <t>4213</t>
  </si>
  <si>
    <t>地下鉄道業</t>
  </si>
  <si>
    <t>4214</t>
  </si>
  <si>
    <t>モノレール鉄道業（地下鉄道業を除く）</t>
  </si>
  <si>
    <t>4215</t>
  </si>
  <si>
    <t>案内軌条式鉄道業（地下鉄道業を除く）</t>
  </si>
  <si>
    <t>4216</t>
  </si>
  <si>
    <t>鋼索鉄道業</t>
  </si>
  <si>
    <t>4217</t>
  </si>
  <si>
    <t>索道業</t>
  </si>
  <si>
    <t>4219</t>
  </si>
  <si>
    <t>その他の鉄道業</t>
  </si>
  <si>
    <t>4300</t>
  </si>
  <si>
    <t>4309</t>
  </si>
  <si>
    <t>4311</t>
  </si>
  <si>
    <t>一般乗合旅客自動車運送業</t>
  </si>
  <si>
    <t>4321</t>
  </si>
  <si>
    <t>一般乗用旅客自動車運送業</t>
  </si>
  <si>
    <t>4331</t>
  </si>
  <si>
    <t>一般貸切旅客自動車運送業</t>
  </si>
  <si>
    <t>4391</t>
  </si>
  <si>
    <t>特定旅客自動車運送業</t>
  </si>
  <si>
    <t>4399</t>
  </si>
  <si>
    <t>他に分類されない道路旅客運送業</t>
  </si>
  <si>
    <t>4400</t>
  </si>
  <si>
    <t>4409</t>
  </si>
  <si>
    <t>4411</t>
  </si>
  <si>
    <t>一般貨物自動車運送業（特別積合せ貨物運送業を除く）</t>
  </si>
  <si>
    <t>4412</t>
  </si>
  <si>
    <t>特別積合せ貨物運送業</t>
  </si>
  <si>
    <t>4421</t>
  </si>
  <si>
    <t>特定貨物自動車運送業</t>
  </si>
  <si>
    <t>4431</t>
  </si>
  <si>
    <t>貨物軽自動車運送業</t>
  </si>
  <si>
    <t>4441</t>
  </si>
  <si>
    <t>集配利用運送業</t>
  </si>
  <si>
    <t>4499</t>
  </si>
  <si>
    <t>その他の道路貨物運送業</t>
  </si>
  <si>
    <t>4500</t>
  </si>
  <si>
    <t>4509</t>
  </si>
  <si>
    <t>4511</t>
  </si>
  <si>
    <t>外航旅客海運業</t>
  </si>
  <si>
    <t>4512</t>
  </si>
  <si>
    <t>外航貨物海運業</t>
  </si>
  <si>
    <t>4521</t>
  </si>
  <si>
    <t>沿海旅客海運業</t>
  </si>
  <si>
    <t>4522</t>
  </si>
  <si>
    <t>沿海貨物海運業</t>
  </si>
  <si>
    <t>4531</t>
  </si>
  <si>
    <t>港湾旅客海運業</t>
  </si>
  <si>
    <t>4532</t>
  </si>
  <si>
    <t>河川水運業</t>
  </si>
  <si>
    <t>4533</t>
  </si>
  <si>
    <t>湖沼水運業</t>
  </si>
  <si>
    <t>4541</t>
  </si>
  <si>
    <t>船舶貸渡業（内航船舶貸渡業を除く）</t>
  </si>
  <si>
    <t>4542</t>
  </si>
  <si>
    <t>内航船舶貸渡業</t>
  </si>
  <si>
    <t>4600</t>
  </si>
  <si>
    <t>4609</t>
  </si>
  <si>
    <t>4611</t>
  </si>
  <si>
    <t>航空運送業</t>
  </si>
  <si>
    <t>4621</t>
  </si>
  <si>
    <t>航空機使用業（航空運送業を除く）</t>
  </si>
  <si>
    <t>4700</t>
  </si>
  <si>
    <t>4709</t>
  </si>
  <si>
    <t>4711</t>
  </si>
  <si>
    <t>倉庫業（冷蔵倉庫業を除く）</t>
  </si>
  <si>
    <t>4721</t>
  </si>
  <si>
    <t>冷蔵倉庫業</t>
  </si>
  <si>
    <t>4800</t>
  </si>
  <si>
    <t>4809</t>
  </si>
  <si>
    <t>4811</t>
  </si>
  <si>
    <t>港湾運送業</t>
  </si>
  <si>
    <t>4821</t>
  </si>
  <si>
    <t>利用運送業（集配利用運送業を除く）</t>
  </si>
  <si>
    <t>4822</t>
  </si>
  <si>
    <t>運送取次業</t>
  </si>
  <si>
    <t>4831</t>
  </si>
  <si>
    <t>運送代理店</t>
  </si>
  <si>
    <t>4841</t>
  </si>
  <si>
    <t>こん包業（組立こん包業を除く）</t>
  </si>
  <si>
    <t>4842</t>
  </si>
  <si>
    <t>組立こん包業</t>
  </si>
  <si>
    <t>4851</t>
  </si>
  <si>
    <t>鉄道施設提供業</t>
  </si>
  <si>
    <t>4852</t>
  </si>
  <si>
    <t>道路運送固定施設業</t>
  </si>
  <si>
    <t>4853</t>
  </si>
  <si>
    <t>自動車ターミナル業</t>
  </si>
  <si>
    <t>4854</t>
  </si>
  <si>
    <t>貨物荷扱固定施設業</t>
  </si>
  <si>
    <t>4855</t>
  </si>
  <si>
    <t>桟橋泊きょ業</t>
  </si>
  <si>
    <t>4856</t>
  </si>
  <si>
    <t>飛行場業</t>
  </si>
  <si>
    <t>4891</t>
  </si>
  <si>
    <t>海運仲立業</t>
  </si>
  <si>
    <t>4899</t>
  </si>
  <si>
    <t>他に分類されない運輸に附帯するサービス業</t>
  </si>
  <si>
    <t>4901</t>
  </si>
  <si>
    <t>管理，補助的経済活動を行う事業所</t>
  </si>
  <si>
    <t>4911</t>
  </si>
  <si>
    <t>郵便業（信書便事業を含む）</t>
  </si>
  <si>
    <t>5000</t>
  </si>
  <si>
    <t>5008</t>
  </si>
  <si>
    <t>自家用倉庫</t>
  </si>
  <si>
    <t>5009</t>
  </si>
  <si>
    <t>5011</t>
  </si>
  <si>
    <t>各種商品卸売業（従業者が常時100人以上のもの）</t>
  </si>
  <si>
    <t>5019</t>
  </si>
  <si>
    <t>その他の各種商品卸売業</t>
  </si>
  <si>
    <t>5100</t>
  </si>
  <si>
    <t>5108</t>
  </si>
  <si>
    <t>5109</t>
  </si>
  <si>
    <t>5111</t>
  </si>
  <si>
    <t>繊維原料卸売業</t>
  </si>
  <si>
    <t>5112</t>
  </si>
  <si>
    <t>糸卸売業</t>
  </si>
  <si>
    <t>5113</t>
  </si>
  <si>
    <t>織物卸売業（室内装飾繊維品を除く）</t>
  </si>
  <si>
    <t>5121</t>
  </si>
  <si>
    <t>男子服卸売業</t>
  </si>
  <si>
    <t>5122</t>
  </si>
  <si>
    <t>婦人・子供服卸売業</t>
  </si>
  <si>
    <t>5123</t>
  </si>
  <si>
    <t>下着類卸売業</t>
  </si>
  <si>
    <t>5129</t>
  </si>
  <si>
    <t>その他の衣服卸売業</t>
  </si>
  <si>
    <t>5131</t>
  </si>
  <si>
    <t>寝具類卸売業</t>
  </si>
  <si>
    <t>5132</t>
  </si>
  <si>
    <t>靴・履物卸売業</t>
  </si>
  <si>
    <t>5133</t>
  </si>
  <si>
    <t>かばん・袋物卸売業</t>
  </si>
  <si>
    <t>5139</t>
  </si>
  <si>
    <t>その他の身の回り品卸売業</t>
  </si>
  <si>
    <t>5200</t>
  </si>
  <si>
    <t>5208</t>
  </si>
  <si>
    <t>5209</t>
  </si>
  <si>
    <t>5211</t>
  </si>
  <si>
    <t>米麦卸売業</t>
  </si>
  <si>
    <t>5212</t>
  </si>
  <si>
    <t>雑穀・豆類卸売業</t>
  </si>
  <si>
    <t>5213</t>
  </si>
  <si>
    <t>野菜卸売業</t>
  </si>
  <si>
    <t>5214</t>
  </si>
  <si>
    <t>果実卸売業</t>
  </si>
  <si>
    <t>5215</t>
  </si>
  <si>
    <t>食肉卸売業</t>
  </si>
  <si>
    <t>5216</t>
  </si>
  <si>
    <t>生鮮魚介卸売業</t>
  </si>
  <si>
    <t>5219</t>
  </si>
  <si>
    <t>その他の農畜産物・水産物卸売業</t>
  </si>
  <si>
    <t>5221</t>
  </si>
  <si>
    <t>砂糖・味そ・しょう油卸売業</t>
  </si>
  <si>
    <t>5222</t>
  </si>
  <si>
    <t>酒類卸売業</t>
  </si>
  <si>
    <t>5223</t>
  </si>
  <si>
    <t>乾物卸売業</t>
  </si>
  <si>
    <t>5224</t>
  </si>
  <si>
    <t>菓子・パン類卸売業</t>
  </si>
  <si>
    <t>5225</t>
  </si>
  <si>
    <t>飲料卸売業（別掲を除く）</t>
  </si>
  <si>
    <t>5226</t>
  </si>
  <si>
    <t>茶類卸売業</t>
  </si>
  <si>
    <t>5227</t>
  </si>
  <si>
    <t>牛乳・乳製品卸売業</t>
  </si>
  <si>
    <t>5229</t>
  </si>
  <si>
    <t>その他の食料・飲料卸売業</t>
  </si>
  <si>
    <t>5300</t>
  </si>
  <si>
    <t>5308</t>
  </si>
  <si>
    <t>5309</t>
  </si>
  <si>
    <t>5311</t>
  </si>
  <si>
    <t>木材・竹材卸売業</t>
  </si>
  <si>
    <t>5312</t>
  </si>
  <si>
    <t>セメント卸売業</t>
  </si>
  <si>
    <t>5313</t>
  </si>
  <si>
    <t>板ガラス卸売業</t>
  </si>
  <si>
    <t>5314</t>
  </si>
  <si>
    <t>建築用金属製品卸売業（建築用金物を除く）</t>
  </si>
  <si>
    <t>5319</t>
  </si>
  <si>
    <t>その他の建築材料卸売業</t>
  </si>
  <si>
    <t>5321</t>
  </si>
  <si>
    <t>塗料卸売業</t>
  </si>
  <si>
    <t>5322</t>
  </si>
  <si>
    <t>プラスチック卸売業</t>
  </si>
  <si>
    <t>5329</t>
  </si>
  <si>
    <t>その他の化学製品卸売業</t>
  </si>
  <si>
    <t>5331</t>
  </si>
  <si>
    <t>石油卸売業</t>
  </si>
  <si>
    <t>5332</t>
  </si>
  <si>
    <t>鉱物卸売業（石油を除く）</t>
  </si>
  <si>
    <t>5341</t>
  </si>
  <si>
    <t>鉄鋼粗製品卸売業</t>
  </si>
  <si>
    <t>5342</t>
  </si>
  <si>
    <t>鉄鋼一次製品卸売業</t>
  </si>
  <si>
    <t>5349</t>
  </si>
  <si>
    <t>その他の鉄鋼製品卸売業</t>
  </si>
  <si>
    <t>5351</t>
  </si>
  <si>
    <t>非鉄金属地金卸売業</t>
  </si>
  <si>
    <t>5352</t>
  </si>
  <si>
    <t>非鉄金属製品卸売業</t>
  </si>
  <si>
    <t>5361</t>
  </si>
  <si>
    <t>空瓶・空缶等空容器卸売業</t>
  </si>
  <si>
    <t>5362</t>
  </si>
  <si>
    <t>鉄スクラップ卸売業</t>
  </si>
  <si>
    <t>5363</t>
  </si>
  <si>
    <t>非鉄金属スクラップ卸売業</t>
  </si>
  <si>
    <t>5364</t>
  </si>
  <si>
    <t>古紙卸売業</t>
  </si>
  <si>
    <t>5369</t>
  </si>
  <si>
    <t>その他の再生資源卸売業</t>
  </si>
  <si>
    <t>5400</t>
  </si>
  <si>
    <t>5408</t>
  </si>
  <si>
    <t>5409</t>
  </si>
  <si>
    <t>5411</t>
  </si>
  <si>
    <t>農業用機械器具卸売業</t>
  </si>
  <si>
    <t>5412</t>
  </si>
  <si>
    <t>建設機械・鉱山機械卸売業</t>
  </si>
  <si>
    <t>5413</t>
  </si>
  <si>
    <t>金属加工機械卸売業</t>
  </si>
  <si>
    <t>5414</t>
  </si>
  <si>
    <t>事務用機械器具卸売業</t>
  </si>
  <si>
    <t>5419</t>
  </si>
  <si>
    <t>その他の産業機械器具卸売業</t>
  </si>
  <si>
    <t>5421</t>
  </si>
  <si>
    <t>自動車卸売業（二輪自動車を含む）</t>
  </si>
  <si>
    <t>5422</t>
  </si>
  <si>
    <t>自動車部分品・附属品卸売業（中古品を除く）</t>
  </si>
  <si>
    <t>5423</t>
  </si>
  <si>
    <t>自動車中古部品卸売業</t>
  </si>
  <si>
    <t>5431</t>
  </si>
  <si>
    <t>家庭用電気機械器具卸売業</t>
  </si>
  <si>
    <t>5432</t>
  </si>
  <si>
    <t>電気機械器具卸売業（家庭用電気機械器具を除く）</t>
  </si>
  <si>
    <t>5491</t>
  </si>
  <si>
    <t>輸送用機械器具卸売業（自動車を除く）</t>
  </si>
  <si>
    <t>5492</t>
  </si>
  <si>
    <t>計量器・理化学機械器具・光学機械器具等卸売業</t>
  </si>
  <si>
    <t>5493</t>
  </si>
  <si>
    <t>医療用機械器具卸売業（歯科用機械器具を含む）</t>
  </si>
  <si>
    <t>5500</t>
  </si>
  <si>
    <t>5508</t>
  </si>
  <si>
    <t>5509</t>
  </si>
  <si>
    <t>5511</t>
  </si>
  <si>
    <t>家具・建具卸売業</t>
  </si>
  <si>
    <t>5512</t>
  </si>
  <si>
    <t>荒物卸売業</t>
  </si>
  <si>
    <t>5513</t>
  </si>
  <si>
    <t>畳卸売業</t>
  </si>
  <si>
    <t>5514</t>
  </si>
  <si>
    <t>室内装飾繊維品卸売業</t>
  </si>
  <si>
    <t>5515</t>
  </si>
  <si>
    <t>陶磁器・ガラス器卸売業</t>
  </si>
  <si>
    <t>5519</t>
  </si>
  <si>
    <t>その他のじゅう器卸売業</t>
  </si>
  <si>
    <t>5521</t>
  </si>
  <si>
    <t>医薬品卸売業</t>
  </si>
  <si>
    <t>5522</t>
  </si>
  <si>
    <t>医療用品卸売業</t>
  </si>
  <si>
    <t>5523</t>
  </si>
  <si>
    <t>化粧品卸売業</t>
  </si>
  <si>
    <t>5524</t>
  </si>
  <si>
    <t>合成洗剤卸売業</t>
  </si>
  <si>
    <t>5531</t>
  </si>
  <si>
    <t>紙卸売業</t>
  </si>
  <si>
    <t>5532</t>
  </si>
  <si>
    <t>紙製品卸売業</t>
  </si>
  <si>
    <t>5591</t>
  </si>
  <si>
    <t>金物卸売業</t>
  </si>
  <si>
    <t>5592</t>
  </si>
  <si>
    <t>肥料・飼料卸売業</t>
  </si>
  <si>
    <t>5593</t>
  </si>
  <si>
    <t>スポーツ用品卸売業</t>
  </si>
  <si>
    <t>5594</t>
  </si>
  <si>
    <t>娯楽用品・がん具卸売業</t>
  </si>
  <si>
    <t>5595</t>
  </si>
  <si>
    <t>たばこ卸売業</t>
  </si>
  <si>
    <t>5596</t>
  </si>
  <si>
    <t>ジュエリー製品卸売業</t>
  </si>
  <si>
    <t>5597</t>
  </si>
  <si>
    <t>書籍・雑誌卸売業</t>
  </si>
  <si>
    <t>5598</t>
  </si>
  <si>
    <t>代理商，仲立業</t>
  </si>
  <si>
    <t>5599</t>
  </si>
  <si>
    <t>他に分類されないその他の卸売業</t>
  </si>
  <si>
    <t>5600</t>
  </si>
  <si>
    <t>5608</t>
  </si>
  <si>
    <t>5609</t>
  </si>
  <si>
    <t>5611</t>
  </si>
  <si>
    <t>百貨店，総合スーパー</t>
  </si>
  <si>
    <t>5699</t>
  </si>
  <si>
    <t>その他の各種商品小売業（従業者が常時50人未満のもの）</t>
  </si>
  <si>
    <t>5700</t>
  </si>
  <si>
    <t>5708</t>
  </si>
  <si>
    <t>5709</t>
  </si>
  <si>
    <t>5711</t>
  </si>
  <si>
    <t>呉服・服地小売業</t>
  </si>
  <si>
    <t>5712</t>
  </si>
  <si>
    <t>寝具小売業</t>
  </si>
  <si>
    <t>5721</t>
  </si>
  <si>
    <t>男子服小売業</t>
  </si>
  <si>
    <t>5731</t>
  </si>
  <si>
    <t>婦人服小売業</t>
  </si>
  <si>
    <t>5732</t>
  </si>
  <si>
    <t>子供服小売業</t>
  </si>
  <si>
    <t>5741</t>
  </si>
  <si>
    <t>靴小売業</t>
  </si>
  <si>
    <t>5742</t>
  </si>
  <si>
    <t>履物小売業（靴を除く）</t>
  </si>
  <si>
    <t>5791</t>
  </si>
  <si>
    <t>かばん・袋物小売業</t>
  </si>
  <si>
    <t>5792</t>
  </si>
  <si>
    <t>下着類小売業</t>
  </si>
  <si>
    <t>5793</t>
  </si>
  <si>
    <t>洋品雑貨・小間物小売業</t>
  </si>
  <si>
    <t>5799</t>
  </si>
  <si>
    <t>他に分類されない織物・衣服・身の回り品小売業</t>
  </si>
  <si>
    <t>5800</t>
  </si>
  <si>
    <t>5808</t>
  </si>
  <si>
    <t>5809</t>
  </si>
  <si>
    <t>5811</t>
  </si>
  <si>
    <t>各種食料品小売業</t>
  </si>
  <si>
    <t>5821</t>
  </si>
  <si>
    <t>野菜小売業</t>
  </si>
  <si>
    <t>5822</t>
  </si>
  <si>
    <t>果実小売業</t>
  </si>
  <si>
    <t>5831</t>
  </si>
  <si>
    <t>食肉小売業（卵，鳥肉を除く）</t>
  </si>
  <si>
    <t>5832</t>
  </si>
  <si>
    <t>卵・鳥肉小売業</t>
  </si>
  <si>
    <t>5841</t>
  </si>
  <si>
    <t>鮮魚小売業</t>
  </si>
  <si>
    <t>5851</t>
  </si>
  <si>
    <t>酒小売業</t>
  </si>
  <si>
    <t>5861</t>
  </si>
  <si>
    <t>菓子小売業（製造小売）</t>
  </si>
  <si>
    <t>5862</t>
  </si>
  <si>
    <t>菓子小売業（製造小売でないもの）</t>
  </si>
  <si>
    <t>5863</t>
  </si>
  <si>
    <t>パン小売業（製造小売）</t>
  </si>
  <si>
    <t>5864</t>
  </si>
  <si>
    <t>パン小売業（製造小売でないもの）</t>
  </si>
  <si>
    <t>5891</t>
  </si>
  <si>
    <t>コンビニエンスストア（飲食料品を中心とするものに限る）</t>
  </si>
  <si>
    <t>5892</t>
  </si>
  <si>
    <t>牛乳小売業</t>
  </si>
  <si>
    <t>5893</t>
  </si>
  <si>
    <t>飲料小売業（別掲を除く）</t>
  </si>
  <si>
    <t>5894</t>
  </si>
  <si>
    <t>茶類小売業</t>
  </si>
  <si>
    <t>5895</t>
  </si>
  <si>
    <t>料理品小売業</t>
  </si>
  <si>
    <t>5896</t>
  </si>
  <si>
    <t>米穀類小売業</t>
  </si>
  <si>
    <t>5897</t>
  </si>
  <si>
    <t>豆腐・かまぼこ等加工食品小売業</t>
  </si>
  <si>
    <t>5898</t>
  </si>
  <si>
    <t>乾物小売業</t>
  </si>
  <si>
    <t>5899</t>
  </si>
  <si>
    <t>他に分類されない飲食料品小売業</t>
  </si>
  <si>
    <t>5900</t>
  </si>
  <si>
    <t>5908</t>
  </si>
  <si>
    <t>5909</t>
  </si>
  <si>
    <t>5911</t>
  </si>
  <si>
    <t>自動車（新車）小売業</t>
  </si>
  <si>
    <t>5912</t>
  </si>
  <si>
    <t>中古自動車小売業</t>
  </si>
  <si>
    <t>5913</t>
  </si>
  <si>
    <t>自動車部分品・附属品小売業</t>
  </si>
  <si>
    <t>5914</t>
  </si>
  <si>
    <t>二輪自動車小売業（原動機付自転車を含む）</t>
  </si>
  <si>
    <t>5921</t>
  </si>
  <si>
    <t>自転車小売業</t>
  </si>
  <si>
    <t>5931</t>
  </si>
  <si>
    <t>電気機械器具小売業（中古品を除く）</t>
  </si>
  <si>
    <t>5932</t>
  </si>
  <si>
    <t>電気事務機械器具小売業（中古品を除く）</t>
  </si>
  <si>
    <t>5933</t>
  </si>
  <si>
    <t>中古電気製品小売業</t>
  </si>
  <si>
    <t>5939</t>
  </si>
  <si>
    <t>その他の機械器具小売業</t>
  </si>
  <si>
    <t>6000</t>
  </si>
  <si>
    <t>6008</t>
  </si>
  <si>
    <t>6009</t>
  </si>
  <si>
    <t>6011</t>
  </si>
  <si>
    <t>家具小売業</t>
  </si>
  <si>
    <t>6012</t>
  </si>
  <si>
    <t>建具小売業</t>
  </si>
  <si>
    <t>6013</t>
  </si>
  <si>
    <t>畳小売業</t>
  </si>
  <si>
    <t>6014</t>
  </si>
  <si>
    <t>宗教用具小売業</t>
  </si>
  <si>
    <t>6021</t>
  </si>
  <si>
    <t>金物小売業</t>
  </si>
  <si>
    <t>6022</t>
  </si>
  <si>
    <t>荒物小売業</t>
  </si>
  <si>
    <t>6023</t>
  </si>
  <si>
    <t>陶磁器・ガラス器小売業</t>
  </si>
  <si>
    <t>6029</t>
  </si>
  <si>
    <t>他に分類されないじゅう器小売業</t>
  </si>
  <si>
    <t>6031</t>
  </si>
  <si>
    <t>ドラッグストア</t>
  </si>
  <si>
    <t>6032</t>
  </si>
  <si>
    <t>医薬品小売業（調剤薬局を除く）</t>
  </si>
  <si>
    <t>6033</t>
  </si>
  <si>
    <t>調剤薬局</t>
  </si>
  <si>
    <t>6034</t>
  </si>
  <si>
    <t>化粧品小売業</t>
  </si>
  <si>
    <t>6041</t>
  </si>
  <si>
    <t>農業用機械器具小売業</t>
  </si>
  <si>
    <t>6042</t>
  </si>
  <si>
    <t>苗・種子小売業</t>
  </si>
  <si>
    <t>6043</t>
  </si>
  <si>
    <t>肥料・飼料小売業</t>
  </si>
  <si>
    <t>6051</t>
  </si>
  <si>
    <t>ガソリンスタンド</t>
  </si>
  <si>
    <t>6052</t>
  </si>
  <si>
    <t>燃料小売業（ガソリンスタンドを除く）</t>
  </si>
  <si>
    <t>6061</t>
  </si>
  <si>
    <t>書籍・雑誌小売業（古本を除く）</t>
  </si>
  <si>
    <t>6062</t>
  </si>
  <si>
    <t>古本小売業</t>
  </si>
  <si>
    <t>6063</t>
  </si>
  <si>
    <t>新聞小売業</t>
  </si>
  <si>
    <t>6064</t>
  </si>
  <si>
    <t>紙・文房具小売業</t>
  </si>
  <si>
    <t>6071</t>
  </si>
  <si>
    <t>スポーツ用品小売業</t>
  </si>
  <si>
    <t>6072</t>
  </si>
  <si>
    <t>がん具・娯楽用品小売業</t>
  </si>
  <si>
    <t>6073</t>
  </si>
  <si>
    <t>楽器小売業</t>
  </si>
  <si>
    <t>6081</t>
  </si>
  <si>
    <t>写真機・写真材料小売業</t>
  </si>
  <si>
    <t>6082</t>
  </si>
  <si>
    <t>時計・眼鏡・光学機械小売業</t>
  </si>
  <si>
    <t>6091</t>
  </si>
  <si>
    <t>ホームセンター</t>
  </si>
  <si>
    <t>6092</t>
  </si>
  <si>
    <t>たばこ・喫煙具専門小売業</t>
  </si>
  <si>
    <t>6093</t>
  </si>
  <si>
    <t>花・植木小売業</t>
  </si>
  <si>
    <t>6094</t>
  </si>
  <si>
    <t>建築材料小売業</t>
  </si>
  <si>
    <t>6095</t>
  </si>
  <si>
    <t>ジュエリー製品小売業</t>
  </si>
  <si>
    <t>6096</t>
  </si>
  <si>
    <t>ペット・ペット用品小売業</t>
  </si>
  <si>
    <t>6097</t>
  </si>
  <si>
    <t>骨とう品小売業</t>
  </si>
  <si>
    <t>6098</t>
  </si>
  <si>
    <t>中古品小売業（骨とう品を除く）</t>
  </si>
  <si>
    <t>6099</t>
  </si>
  <si>
    <t>他に分類されないその他の小売業</t>
  </si>
  <si>
    <t>6100</t>
  </si>
  <si>
    <t>6108</t>
  </si>
  <si>
    <t>6109</t>
  </si>
  <si>
    <t>6111</t>
  </si>
  <si>
    <t>無店舗小売業（各種商品小売）</t>
  </si>
  <si>
    <t>6112</t>
  </si>
  <si>
    <t>無店舗小売業（織物・衣服・身の回り品小売）</t>
  </si>
  <si>
    <t>6113</t>
  </si>
  <si>
    <t>無店舗小売業（飲食料品小売）</t>
  </si>
  <si>
    <t>6114</t>
  </si>
  <si>
    <t>無店舗小売業（機械器具小売）</t>
  </si>
  <si>
    <t>6119</t>
  </si>
  <si>
    <t>無店舗小売業（その他の小売）</t>
  </si>
  <si>
    <t>6121</t>
  </si>
  <si>
    <t>自動販売機による小売業</t>
  </si>
  <si>
    <t>6199</t>
  </si>
  <si>
    <t>その他の無店舗小売業</t>
  </si>
  <si>
    <t>6200</t>
  </si>
  <si>
    <t>6209</t>
  </si>
  <si>
    <t>6211</t>
  </si>
  <si>
    <t>中央銀行</t>
  </si>
  <si>
    <t>6221</t>
  </si>
  <si>
    <t>普通銀行</t>
  </si>
  <si>
    <t>6222</t>
  </si>
  <si>
    <t>郵便貯金銀行</t>
  </si>
  <si>
    <t>6223</t>
  </si>
  <si>
    <t>信託銀行</t>
  </si>
  <si>
    <t>6229</t>
  </si>
  <si>
    <t>その他の銀行</t>
  </si>
  <si>
    <t>6300</t>
  </si>
  <si>
    <t>6309</t>
  </si>
  <si>
    <t>6311</t>
  </si>
  <si>
    <t>信用金庫・同連合会</t>
  </si>
  <si>
    <t>6312</t>
  </si>
  <si>
    <t>信用協同組合・同連合会</t>
  </si>
  <si>
    <t>6313</t>
  </si>
  <si>
    <t>商工組合中央金庫</t>
  </si>
  <si>
    <t>6314</t>
  </si>
  <si>
    <t>労働金庫・同連合会</t>
  </si>
  <si>
    <t>6321</t>
  </si>
  <si>
    <t>農林中央金庫</t>
  </si>
  <si>
    <t>6322</t>
  </si>
  <si>
    <t>信用農業協同組合連合会</t>
  </si>
  <si>
    <t>6323</t>
  </si>
  <si>
    <t>信用漁業協同組合連合会，信用水産加工業協同組合連合会</t>
  </si>
  <si>
    <t>6324</t>
  </si>
  <si>
    <t>農業協同組合</t>
  </si>
  <si>
    <t>6325</t>
  </si>
  <si>
    <t>漁業協同組合，水産加工業協同組合</t>
  </si>
  <si>
    <t>6400</t>
  </si>
  <si>
    <t>6409</t>
  </si>
  <si>
    <t>6411</t>
  </si>
  <si>
    <t>消費者向け貸金業</t>
  </si>
  <si>
    <t>6412</t>
  </si>
  <si>
    <t>事業者向け貸金業</t>
  </si>
  <si>
    <t>6421</t>
  </si>
  <si>
    <t>質屋</t>
  </si>
  <si>
    <t>6431</t>
  </si>
  <si>
    <t>クレジットカード業</t>
  </si>
  <si>
    <t>6432</t>
  </si>
  <si>
    <t>割賦金融業</t>
  </si>
  <si>
    <t>6491</t>
  </si>
  <si>
    <t>政府関係金融機関</t>
  </si>
  <si>
    <t>6492</t>
  </si>
  <si>
    <t>住宅専門金融業</t>
  </si>
  <si>
    <t>6493</t>
  </si>
  <si>
    <t>証券金融業</t>
  </si>
  <si>
    <t>6499</t>
  </si>
  <si>
    <t>他に分類されない非預金信用機関</t>
  </si>
  <si>
    <t>6500</t>
  </si>
  <si>
    <t>6509</t>
  </si>
  <si>
    <t>6511</t>
  </si>
  <si>
    <t>金融商品取引業（投資助言・代理・運用業，補助的金融商品取引業を除く）</t>
  </si>
  <si>
    <t>6512</t>
  </si>
  <si>
    <t>投資助言・代理業</t>
  </si>
  <si>
    <t>6513</t>
  </si>
  <si>
    <t>投資運用業</t>
  </si>
  <si>
    <t>6514</t>
  </si>
  <si>
    <t>補助的金融商品取引業</t>
  </si>
  <si>
    <t>6521</t>
  </si>
  <si>
    <t>商品先物取引業</t>
    <rPh sb="0" eb="2">
      <t>ショウヒン</t>
    </rPh>
    <rPh sb="2" eb="4">
      <t>サキモノ</t>
    </rPh>
    <rPh sb="4" eb="6">
      <t>トリヒキ</t>
    </rPh>
    <rPh sb="6" eb="7">
      <t>ギョウ</t>
    </rPh>
    <phoneticPr fontId="4"/>
  </si>
  <si>
    <t>6522</t>
  </si>
  <si>
    <t>商品投資顧問業</t>
    <rPh sb="0" eb="2">
      <t>ショウヒン</t>
    </rPh>
    <rPh sb="2" eb="4">
      <t>トウシ</t>
    </rPh>
    <rPh sb="4" eb="6">
      <t>コモン</t>
    </rPh>
    <rPh sb="6" eb="7">
      <t>ギョウ</t>
    </rPh>
    <phoneticPr fontId="4"/>
  </si>
  <si>
    <t>6529</t>
  </si>
  <si>
    <t>その他の商品先物取引業，商品投資顧問業</t>
    <rPh sb="16" eb="18">
      <t>コモン</t>
    </rPh>
    <phoneticPr fontId="4"/>
  </si>
  <si>
    <t>6600</t>
  </si>
  <si>
    <t>6609</t>
  </si>
  <si>
    <t>6611</t>
  </si>
  <si>
    <t>短資業</t>
  </si>
  <si>
    <t>6612</t>
  </si>
  <si>
    <t>手形交換所</t>
  </si>
  <si>
    <t>6613</t>
  </si>
  <si>
    <t>両替業</t>
  </si>
  <si>
    <t>6614</t>
  </si>
  <si>
    <t>信用保証機関</t>
  </si>
  <si>
    <t>6615</t>
  </si>
  <si>
    <t>信用保証再保険機関</t>
  </si>
  <si>
    <t>6616</t>
  </si>
  <si>
    <t>預・貯金等保険機関</t>
  </si>
  <si>
    <t>6617</t>
  </si>
  <si>
    <t>金融商品取引所</t>
  </si>
  <si>
    <t>6618</t>
  </si>
  <si>
    <t>商品取引所</t>
  </si>
  <si>
    <t>6619</t>
  </si>
  <si>
    <t>その他の補助的金融業，金融附帯業</t>
  </si>
  <si>
    <t>6621</t>
  </si>
  <si>
    <t>運用型信託業</t>
  </si>
  <si>
    <t>6622</t>
  </si>
  <si>
    <t>管理型信託業</t>
  </si>
  <si>
    <t>6631</t>
  </si>
  <si>
    <t>金融商品仲介業</t>
  </si>
  <si>
    <t>6632</t>
  </si>
  <si>
    <t>信託契約代理業</t>
  </si>
  <si>
    <t>6639</t>
  </si>
  <si>
    <t>その他の金融代理業</t>
  </si>
  <si>
    <t>6700</t>
  </si>
  <si>
    <t>6709</t>
  </si>
  <si>
    <t>6711</t>
  </si>
  <si>
    <t>生命保険業（郵便保険業，生命保険再保険業を除く）</t>
  </si>
  <si>
    <t>6712</t>
  </si>
  <si>
    <t>郵便保険業</t>
  </si>
  <si>
    <t>6713</t>
  </si>
  <si>
    <t>生命保険再保険業</t>
  </si>
  <si>
    <t>6719</t>
  </si>
  <si>
    <t>その他の生命保険業</t>
  </si>
  <si>
    <t>6721</t>
  </si>
  <si>
    <t>損害保険業（損害保険再保険業を除く）</t>
  </si>
  <si>
    <t>6722</t>
  </si>
  <si>
    <t>損害保険再保険業</t>
  </si>
  <si>
    <t>6729</t>
  </si>
  <si>
    <t>その他の損害保険業</t>
  </si>
  <si>
    <t>6731</t>
  </si>
  <si>
    <t>共済事業（各種災害補償法によるもの）</t>
  </si>
  <si>
    <t>6732</t>
  </si>
  <si>
    <t>共済事業（各種協同組合法等によるもの）</t>
  </si>
  <si>
    <t>6733</t>
  </si>
  <si>
    <t>少額短期保険業</t>
  </si>
  <si>
    <t>6741</t>
  </si>
  <si>
    <t>生命保険媒介業</t>
  </si>
  <si>
    <t>6742</t>
  </si>
  <si>
    <t>損害保険代理業</t>
  </si>
  <si>
    <t>6743</t>
  </si>
  <si>
    <t>共済事業媒介代理業・少額短期保険代理業</t>
  </si>
  <si>
    <t>6751</t>
  </si>
  <si>
    <t>保険料率算出団体</t>
  </si>
  <si>
    <t>6752</t>
  </si>
  <si>
    <t>損害査定業</t>
  </si>
  <si>
    <t>6759</t>
  </si>
  <si>
    <t>その他の保険サービス業</t>
  </si>
  <si>
    <t>6800</t>
  </si>
  <si>
    <t>6809</t>
  </si>
  <si>
    <t>6811</t>
  </si>
  <si>
    <t>建物売買業</t>
  </si>
  <si>
    <t>6812</t>
  </si>
  <si>
    <t>土地売買業</t>
  </si>
  <si>
    <t>6821</t>
  </si>
  <si>
    <t>不動産代理業・仲介業</t>
  </si>
  <si>
    <t>6900</t>
  </si>
  <si>
    <t>6909</t>
  </si>
  <si>
    <t>6911</t>
  </si>
  <si>
    <t>貸事務所業</t>
  </si>
  <si>
    <t>6912</t>
  </si>
  <si>
    <t>土地賃貸業</t>
  </si>
  <si>
    <t>6919</t>
  </si>
  <si>
    <t>その他の不動産賃貸業</t>
  </si>
  <si>
    <t>6921</t>
  </si>
  <si>
    <t>貸家業</t>
  </si>
  <si>
    <t>6922</t>
  </si>
  <si>
    <t>貸間業</t>
  </si>
  <si>
    <t>6931</t>
  </si>
  <si>
    <t>駐車場業</t>
  </si>
  <si>
    <t>6941</t>
  </si>
  <si>
    <t>不動産管理業</t>
  </si>
  <si>
    <t>7000</t>
  </si>
  <si>
    <t>7009</t>
  </si>
  <si>
    <t>7011</t>
  </si>
  <si>
    <t>総合リース業</t>
  </si>
  <si>
    <t>7019</t>
  </si>
  <si>
    <t>その他の各種物品賃貸業</t>
  </si>
  <si>
    <t>7021</t>
  </si>
  <si>
    <t>産業用機械器具賃貸業（建設機械器具を除く）</t>
  </si>
  <si>
    <t>7022</t>
  </si>
  <si>
    <t>建設機械器具賃貸業</t>
  </si>
  <si>
    <t>7031</t>
  </si>
  <si>
    <t>事務用機械器具賃貸業（電子計算機を除く）</t>
  </si>
  <si>
    <t>7032</t>
  </si>
  <si>
    <t>電子計算機・同関連機器賃貸業</t>
  </si>
  <si>
    <t>7041</t>
  </si>
  <si>
    <t>自動車賃貸業</t>
  </si>
  <si>
    <t>7051</t>
  </si>
  <si>
    <t>スポーツ・娯楽用品賃貸業</t>
  </si>
  <si>
    <t>7091</t>
  </si>
  <si>
    <t>映画・演劇用品賃貸業</t>
  </si>
  <si>
    <t>7092</t>
  </si>
  <si>
    <t>音楽・映像記録物賃貸業（別掲を除く）</t>
  </si>
  <si>
    <t>7093</t>
  </si>
  <si>
    <t>貸衣しょう業（別掲を除く）</t>
  </si>
  <si>
    <t>7099</t>
  </si>
  <si>
    <t>他に分類されない物品賃貸業</t>
  </si>
  <si>
    <t>7101</t>
  </si>
  <si>
    <t>7111</t>
  </si>
  <si>
    <t>理学研究所</t>
  </si>
  <si>
    <t>7112</t>
  </si>
  <si>
    <t>工学研究所</t>
  </si>
  <si>
    <t>7113</t>
  </si>
  <si>
    <t>農学研究所</t>
  </si>
  <si>
    <t>7114</t>
  </si>
  <si>
    <t>医学・薬学研究所</t>
  </si>
  <si>
    <t>7121</t>
  </si>
  <si>
    <t>人文・社会科学研究所</t>
  </si>
  <si>
    <t>7201</t>
  </si>
  <si>
    <t>7211</t>
  </si>
  <si>
    <t>法律事務所</t>
  </si>
  <si>
    <t>7212</t>
  </si>
  <si>
    <t>特許事務所</t>
  </si>
  <si>
    <t>7221</t>
  </si>
  <si>
    <t>公証人役場，司法書士事務所</t>
  </si>
  <si>
    <t>7222</t>
  </si>
  <si>
    <t>土地家屋調査士事務所</t>
  </si>
  <si>
    <t>7231</t>
  </si>
  <si>
    <t>行政書士事務所</t>
  </si>
  <si>
    <t>7241</t>
  </si>
  <si>
    <t>公認会計士事務所</t>
  </si>
  <si>
    <t>7242</t>
  </si>
  <si>
    <t>税理士事務所</t>
  </si>
  <si>
    <t>7251</t>
  </si>
  <si>
    <t>社会保険労務士事務所</t>
  </si>
  <si>
    <t>7261</t>
  </si>
  <si>
    <t>デザイン業</t>
  </si>
  <si>
    <t>7271</t>
  </si>
  <si>
    <t>著述家業</t>
  </si>
  <si>
    <t>7272</t>
  </si>
  <si>
    <t>芸術家業</t>
  </si>
  <si>
    <t>7281</t>
  </si>
  <si>
    <t>経営コンサルタント業</t>
  </si>
  <si>
    <t>7282</t>
  </si>
  <si>
    <t>純粋持株会社</t>
  </si>
  <si>
    <t>7291</t>
  </si>
  <si>
    <t>興信所</t>
  </si>
  <si>
    <t>7292</t>
  </si>
  <si>
    <t>翻訳業（著述家業を除く）</t>
  </si>
  <si>
    <t>7293</t>
  </si>
  <si>
    <t>通訳業，通訳案内業</t>
  </si>
  <si>
    <t>7294</t>
  </si>
  <si>
    <t>不動産鑑定業</t>
  </si>
  <si>
    <t>7299</t>
  </si>
  <si>
    <t>他に分類されない専門サービス業</t>
  </si>
  <si>
    <t>7300</t>
  </si>
  <si>
    <t>7309</t>
  </si>
  <si>
    <t>7311</t>
  </si>
  <si>
    <t>広告業</t>
  </si>
  <si>
    <t>7401</t>
  </si>
  <si>
    <t>7411</t>
  </si>
  <si>
    <t>獣医業</t>
  </si>
  <si>
    <t>7421</t>
  </si>
  <si>
    <t>建築設計業</t>
  </si>
  <si>
    <t>7422</t>
  </si>
  <si>
    <t>測量業</t>
  </si>
  <si>
    <t>7429</t>
  </si>
  <si>
    <t>その他の土木建築サービス業</t>
  </si>
  <si>
    <t>7431</t>
  </si>
  <si>
    <t>機械設計業</t>
  </si>
  <si>
    <t>7441</t>
  </si>
  <si>
    <t>商品検査業</t>
  </si>
  <si>
    <t>7442</t>
  </si>
  <si>
    <t>非破壊検査業</t>
  </si>
  <si>
    <t>7451</t>
  </si>
  <si>
    <t>一般計量証明業</t>
  </si>
  <si>
    <t>7452</t>
  </si>
  <si>
    <t>環境計量証明業</t>
  </si>
  <si>
    <t>7459</t>
  </si>
  <si>
    <t>その他の計量証明業</t>
  </si>
  <si>
    <t>7461</t>
  </si>
  <si>
    <t>写真業（商業写真業を除く）</t>
  </si>
  <si>
    <t>7462</t>
  </si>
  <si>
    <t>商業写真業</t>
  </si>
  <si>
    <t>7499</t>
  </si>
  <si>
    <t>その他の技術サービス業</t>
  </si>
  <si>
    <t>7500</t>
  </si>
  <si>
    <t>7509</t>
  </si>
  <si>
    <t>7511</t>
  </si>
  <si>
    <t>旅館，ホテル</t>
  </si>
  <si>
    <t>7521</t>
  </si>
  <si>
    <t>簡易宿所</t>
  </si>
  <si>
    <t>7531</t>
  </si>
  <si>
    <t>下宿業</t>
  </si>
  <si>
    <t>7591</t>
  </si>
  <si>
    <t>会社・団体の宿泊所</t>
  </si>
  <si>
    <t>7592</t>
  </si>
  <si>
    <t>リゾートクラブ</t>
  </si>
  <si>
    <t>7599</t>
  </si>
  <si>
    <t>他に分類されない宿泊業</t>
  </si>
  <si>
    <t>7600</t>
  </si>
  <si>
    <t>7609</t>
  </si>
  <si>
    <t>7611</t>
  </si>
  <si>
    <t>食堂，レストラン（専門料理店を除く）</t>
  </si>
  <si>
    <t>7621</t>
  </si>
  <si>
    <t>日本料理店</t>
  </si>
  <si>
    <t>7622</t>
  </si>
  <si>
    <t>料亭</t>
  </si>
  <si>
    <t>7623</t>
  </si>
  <si>
    <t>中華料理店</t>
  </si>
  <si>
    <t>7624</t>
  </si>
  <si>
    <t>ラーメン店</t>
  </si>
  <si>
    <t>7625</t>
  </si>
  <si>
    <t>焼肉店</t>
  </si>
  <si>
    <t>7629</t>
  </si>
  <si>
    <t>その他の専門料理店</t>
  </si>
  <si>
    <t>7631</t>
  </si>
  <si>
    <t>そば・うどん店</t>
  </si>
  <si>
    <t>7641</t>
  </si>
  <si>
    <t>すし店</t>
  </si>
  <si>
    <t>7651</t>
  </si>
  <si>
    <t>酒場，ビヤホール</t>
  </si>
  <si>
    <t>7661</t>
  </si>
  <si>
    <t>バー，キャバレー，ナイトクラブ</t>
  </si>
  <si>
    <t>7671</t>
  </si>
  <si>
    <t>喫茶店</t>
  </si>
  <si>
    <t>7691</t>
  </si>
  <si>
    <t>ハンバーガー店</t>
  </si>
  <si>
    <t>7692</t>
  </si>
  <si>
    <t>お好み焼き・焼きそば・たこ焼店</t>
  </si>
  <si>
    <t>7699</t>
  </si>
  <si>
    <t>7700</t>
  </si>
  <si>
    <t>7709</t>
  </si>
  <si>
    <t>7711</t>
  </si>
  <si>
    <t>持ち帰り飲食サービス業</t>
  </si>
  <si>
    <t>7721</t>
  </si>
  <si>
    <t>配達飲食サービス業</t>
  </si>
  <si>
    <t>7800</t>
  </si>
  <si>
    <t>7809</t>
  </si>
  <si>
    <t>7811</t>
  </si>
  <si>
    <t>普通洗濯業</t>
  </si>
  <si>
    <t>7812</t>
  </si>
  <si>
    <t>洗濯物取次業</t>
  </si>
  <si>
    <t>7813</t>
  </si>
  <si>
    <t>リネンサプライ業</t>
  </si>
  <si>
    <t>7821</t>
  </si>
  <si>
    <t>理容業</t>
  </si>
  <si>
    <t>7831</t>
  </si>
  <si>
    <t>美容業</t>
  </si>
  <si>
    <t>7841</t>
  </si>
  <si>
    <t>一般公衆浴場業</t>
  </si>
  <si>
    <t>7851</t>
  </si>
  <si>
    <t>その他の公衆浴場業</t>
  </si>
  <si>
    <t>7891</t>
  </si>
  <si>
    <t>洗張・染物業</t>
  </si>
  <si>
    <t>7892</t>
  </si>
  <si>
    <t>エステティック業</t>
  </si>
  <si>
    <t>7893</t>
  </si>
  <si>
    <t>リラクゼーション業（手技を用いるもの）</t>
    <rPh sb="8" eb="9">
      <t>ギョウ</t>
    </rPh>
    <rPh sb="10" eb="12">
      <t>シュギ</t>
    </rPh>
    <rPh sb="13" eb="14">
      <t>モチ</t>
    </rPh>
    <phoneticPr fontId="4"/>
  </si>
  <si>
    <t>7894</t>
  </si>
  <si>
    <t>7899</t>
  </si>
  <si>
    <t>他に分類されない洗濯・理容・美容・浴場業</t>
  </si>
  <si>
    <t>7900</t>
  </si>
  <si>
    <t>7909</t>
  </si>
  <si>
    <t>7911</t>
  </si>
  <si>
    <t>旅行業(旅行業者代理業を除く)</t>
  </si>
  <si>
    <t>7912</t>
  </si>
  <si>
    <t>旅行業者代理業</t>
  </si>
  <si>
    <t>7921</t>
  </si>
  <si>
    <t>家事サービス業（住込みのもの）</t>
  </si>
  <si>
    <t>7922</t>
  </si>
  <si>
    <t>家事サービス業（住込みでないもの）</t>
  </si>
  <si>
    <t>7931</t>
  </si>
  <si>
    <t>衣服裁縫修理業</t>
  </si>
  <si>
    <t>7941</t>
  </si>
  <si>
    <t>物品預り業</t>
  </si>
  <si>
    <t>7951</t>
  </si>
  <si>
    <t>火葬業</t>
  </si>
  <si>
    <t>7952</t>
  </si>
  <si>
    <t>墓地管理業</t>
  </si>
  <si>
    <t>7961</t>
  </si>
  <si>
    <t>葬儀業</t>
  </si>
  <si>
    <t>7962</t>
  </si>
  <si>
    <t>結婚式場業</t>
  </si>
  <si>
    <t>7963</t>
  </si>
  <si>
    <t>冠婚葬祭互助会</t>
  </si>
  <si>
    <t>7991</t>
  </si>
  <si>
    <t>食品賃加工業</t>
  </si>
  <si>
    <t>7992</t>
  </si>
  <si>
    <t>結婚相談業，結婚式場紹介業</t>
  </si>
  <si>
    <t>7993</t>
  </si>
  <si>
    <t>7999</t>
  </si>
  <si>
    <t>他に分類されないその他の生活関連サービス業</t>
  </si>
  <si>
    <t>8000</t>
  </si>
  <si>
    <t>8009</t>
  </si>
  <si>
    <t>8011</t>
  </si>
  <si>
    <t>映画館</t>
  </si>
  <si>
    <t>8021</t>
  </si>
  <si>
    <t>劇場</t>
  </si>
  <si>
    <t>8022</t>
  </si>
  <si>
    <t>興行場</t>
  </si>
  <si>
    <t>8023</t>
  </si>
  <si>
    <t>劇団</t>
  </si>
  <si>
    <t>8024</t>
  </si>
  <si>
    <t>楽団，舞踏団</t>
  </si>
  <si>
    <t>8025</t>
  </si>
  <si>
    <t>演芸・スポーツ等興行団</t>
  </si>
  <si>
    <t>8031</t>
  </si>
  <si>
    <t>競輪場</t>
  </si>
  <si>
    <t>8032</t>
  </si>
  <si>
    <t>競馬場</t>
  </si>
  <si>
    <t>8033</t>
  </si>
  <si>
    <t>自動車・モータボートの競走場</t>
  </si>
  <si>
    <t>8034</t>
  </si>
  <si>
    <t>競輪競技団</t>
  </si>
  <si>
    <t>8035</t>
  </si>
  <si>
    <t>競馬競技団</t>
  </si>
  <si>
    <t>8036</t>
  </si>
  <si>
    <t>自動車・モータボートの競技団</t>
  </si>
  <si>
    <t>8041</t>
  </si>
  <si>
    <t>スポーツ施設提供業（別掲を除く）</t>
  </si>
  <si>
    <t>8042</t>
  </si>
  <si>
    <t>体育館</t>
  </si>
  <si>
    <t>8043</t>
  </si>
  <si>
    <t>ゴルフ場</t>
  </si>
  <si>
    <t>8044</t>
  </si>
  <si>
    <t>ゴルフ練習場</t>
  </si>
  <si>
    <t>8045</t>
  </si>
  <si>
    <t>ボウリング場</t>
  </si>
  <si>
    <t>8046</t>
  </si>
  <si>
    <t>テニス場</t>
  </si>
  <si>
    <t>8047</t>
  </si>
  <si>
    <t>バッティング・テニス練習場</t>
  </si>
  <si>
    <t>8048</t>
  </si>
  <si>
    <t>フィットネスクラブ</t>
  </si>
  <si>
    <t>8051</t>
  </si>
  <si>
    <t>公園</t>
  </si>
  <si>
    <t>8052</t>
  </si>
  <si>
    <t>遊園地（テーマパークを除く）</t>
  </si>
  <si>
    <t>8053</t>
  </si>
  <si>
    <t>テーマパーク</t>
  </si>
  <si>
    <t>8061</t>
  </si>
  <si>
    <t>ビリヤード場</t>
  </si>
  <si>
    <t>8062</t>
  </si>
  <si>
    <t>囲碁・将棋所</t>
  </si>
  <si>
    <t>8063</t>
  </si>
  <si>
    <t>マージャンクラブ</t>
  </si>
  <si>
    <t>8064</t>
  </si>
  <si>
    <t>パチンコホール</t>
  </si>
  <si>
    <t>8065</t>
  </si>
  <si>
    <t>ゲームセンター</t>
  </si>
  <si>
    <t>8069</t>
  </si>
  <si>
    <t>その他の遊戯場</t>
  </si>
  <si>
    <t>8091</t>
  </si>
  <si>
    <t>ダンスホール</t>
  </si>
  <si>
    <t>8092</t>
  </si>
  <si>
    <t>マリーナ業</t>
  </si>
  <si>
    <t>8093</t>
  </si>
  <si>
    <t>遊漁船業</t>
  </si>
  <si>
    <t>8094</t>
  </si>
  <si>
    <t>芸ぎ業</t>
  </si>
  <si>
    <t>8095</t>
  </si>
  <si>
    <t>カラオケボックス業</t>
  </si>
  <si>
    <t>8096</t>
  </si>
  <si>
    <t>娯楽に附帯するサービス業</t>
  </si>
  <si>
    <t>8099</t>
  </si>
  <si>
    <t>他に分類されない娯楽業</t>
  </si>
  <si>
    <t>8101</t>
  </si>
  <si>
    <t>8111</t>
  </si>
  <si>
    <t>幼稚園</t>
  </si>
  <si>
    <t>8121</t>
  </si>
  <si>
    <t>小学校</t>
  </si>
  <si>
    <t>8131</t>
  </si>
  <si>
    <t>中学校</t>
  </si>
  <si>
    <t>8141</t>
  </si>
  <si>
    <t>高等学校</t>
  </si>
  <si>
    <t>8142</t>
  </si>
  <si>
    <t>中等教育学校</t>
  </si>
  <si>
    <t>8151</t>
  </si>
  <si>
    <t>特別支援学校</t>
  </si>
  <si>
    <t>8161</t>
  </si>
  <si>
    <t>大学</t>
  </si>
  <si>
    <t>8162</t>
  </si>
  <si>
    <t>短期大学</t>
  </si>
  <si>
    <t>8163</t>
  </si>
  <si>
    <t>高等専門学校</t>
  </si>
  <si>
    <t>8171</t>
  </si>
  <si>
    <t>専修学校</t>
  </si>
  <si>
    <t>8172</t>
  </si>
  <si>
    <t>各種学校</t>
  </si>
  <si>
    <t>8181</t>
  </si>
  <si>
    <t>学校教育支援機関</t>
  </si>
  <si>
    <t>幼保連携型認定こども園</t>
    <rPh sb="0" eb="1">
      <t>ヨウ</t>
    </rPh>
    <rPh sb="1" eb="2">
      <t>タモツ</t>
    </rPh>
    <rPh sb="2" eb="4">
      <t>レンケイ</t>
    </rPh>
    <rPh sb="4" eb="5">
      <t>カタ</t>
    </rPh>
    <rPh sb="5" eb="7">
      <t>ニンテイ</t>
    </rPh>
    <rPh sb="10" eb="11">
      <t>エン</t>
    </rPh>
    <phoneticPr fontId="4"/>
  </si>
  <si>
    <t>8200</t>
  </si>
  <si>
    <t>8209</t>
  </si>
  <si>
    <t>8211</t>
  </si>
  <si>
    <t>公民館</t>
  </si>
  <si>
    <t>8212</t>
  </si>
  <si>
    <t>図書館</t>
  </si>
  <si>
    <t>8213</t>
  </si>
  <si>
    <t>博物館，美術館</t>
  </si>
  <si>
    <t>8214</t>
  </si>
  <si>
    <t>動物園，植物園，水族館</t>
  </si>
  <si>
    <t>8215</t>
  </si>
  <si>
    <t>青少年教育施設</t>
  </si>
  <si>
    <t>8216</t>
  </si>
  <si>
    <t>社会通信教育</t>
  </si>
  <si>
    <t>8219</t>
  </si>
  <si>
    <t>その他の社会教育</t>
  </si>
  <si>
    <t>8221</t>
  </si>
  <si>
    <t>職員教育施設・支援業</t>
  </si>
  <si>
    <t>8222</t>
  </si>
  <si>
    <t>職業訓練施設</t>
  </si>
  <si>
    <t>8229</t>
  </si>
  <si>
    <t>その他の職業・教育支援施設</t>
  </si>
  <si>
    <t>8231</t>
  </si>
  <si>
    <t>学習塾</t>
  </si>
  <si>
    <t>8241</t>
  </si>
  <si>
    <t>音楽教授業</t>
  </si>
  <si>
    <t>8242</t>
  </si>
  <si>
    <t>書道教授業</t>
  </si>
  <si>
    <t>8243</t>
  </si>
  <si>
    <t>生花・茶道教授業</t>
  </si>
  <si>
    <t>8244</t>
  </si>
  <si>
    <t>そろばん教授業</t>
  </si>
  <si>
    <t>8245</t>
  </si>
  <si>
    <t>外国語会話教授業</t>
  </si>
  <si>
    <t>8246</t>
  </si>
  <si>
    <t>スポーツ・健康教授業</t>
  </si>
  <si>
    <t>8249</t>
  </si>
  <si>
    <t>その他の教養・技能教授業</t>
  </si>
  <si>
    <t>8299</t>
  </si>
  <si>
    <t>他に分類されない教育，学習支援業</t>
  </si>
  <si>
    <t>8300</t>
  </si>
  <si>
    <t>8309</t>
  </si>
  <si>
    <t>8311</t>
  </si>
  <si>
    <t>一般病院</t>
  </si>
  <si>
    <t>8312</t>
  </si>
  <si>
    <t>精神科病院</t>
  </si>
  <si>
    <t>8321</t>
  </si>
  <si>
    <t>有床診療所</t>
  </si>
  <si>
    <t>8322</t>
  </si>
  <si>
    <t>無床診療所</t>
  </si>
  <si>
    <t>8331</t>
  </si>
  <si>
    <t>歯科診療所</t>
  </si>
  <si>
    <t>8341</t>
  </si>
  <si>
    <t>助産所</t>
  </si>
  <si>
    <t>8342</t>
  </si>
  <si>
    <t>看護業</t>
  </si>
  <si>
    <t>8351</t>
  </si>
  <si>
    <t>あん摩マッサージ指圧師・はり師・きゅう師・柔道整復師の施術所</t>
  </si>
  <si>
    <t>8359</t>
  </si>
  <si>
    <t>その他の療術業</t>
  </si>
  <si>
    <t>8361</t>
  </si>
  <si>
    <t>歯科技工所</t>
  </si>
  <si>
    <t>8369</t>
  </si>
  <si>
    <t>その他の医療に附帯するサービス業</t>
  </si>
  <si>
    <t>8400</t>
  </si>
  <si>
    <t>8409</t>
  </si>
  <si>
    <t>8411</t>
  </si>
  <si>
    <t>保健所</t>
  </si>
  <si>
    <t>8421</t>
  </si>
  <si>
    <t>結核健康相談施設</t>
  </si>
  <si>
    <t>8422</t>
  </si>
  <si>
    <t>精神保健相談施設</t>
  </si>
  <si>
    <t>8423</t>
  </si>
  <si>
    <t>母子健康相談施設</t>
  </si>
  <si>
    <t>8429</t>
  </si>
  <si>
    <t>その他の健康相談施設</t>
  </si>
  <si>
    <t>8491</t>
  </si>
  <si>
    <t>検疫所（動物検疫所，植物防疫所を除く）</t>
  </si>
  <si>
    <t>8492</t>
  </si>
  <si>
    <t>検査業</t>
  </si>
  <si>
    <t>8493</t>
  </si>
  <si>
    <t>消毒業</t>
  </si>
  <si>
    <t>8499</t>
  </si>
  <si>
    <t>他に分類されない保健衛生</t>
  </si>
  <si>
    <t>8500</t>
  </si>
  <si>
    <t>8509</t>
  </si>
  <si>
    <t>8511</t>
  </si>
  <si>
    <t>社会保険事業団体</t>
  </si>
  <si>
    <t>8521</t>
  </si>
  <si>
    <t>福祉事務所</t>
  </si>
  <si>
    <t>8531</t>
  </si>
  <si>
    <t>保育所</t>
  </si>
  <si>
    <t>8539</t>
  </si>
  <si>
    <t>その他の児童福祉事業</t>
  </si>
  <si>
    <t>8541</t>
  </si>
  <si>
    <t>特別養護老人ホーム</t>
  </si>
  <si>
    <t>8542</t>
  </si>
  <si>
    <t>介護老人保健施設</t>
  </si>
  <si>
    <t>8543</t>
  </si>
  <si>
    <t>通所・短期入所介護事業</t>
  </si>
  <si>
    <t>8544</t>
  </si>
  <si>
    <t>訪問介護事業</t>
  </si>
  <si>
    <t>8545</t>
  </si>
  <si>
    <t>認知症老人グループホーム</t>
  </si>
  <si>
    <t>8546</t>
  </si>
  <si>
    <t>有料老人ホーム</t>
  </si>
  <si>
    <t>8549</t>
  </si>
  <si>
    <t>その他の老人福祉・介護事業</t>
  </si>
  <si>
    <t>8551</t>
  </si>
  <si>
    <t>居住支援事業</t>
  </si>
  <si>
    <t>8559</t>
  </si>
  <si>
    <t>その他の障害者福祉事業</t>
  </si>
  <si>
    <t>8591</t>
  </si>
  <si>
    <t>更生保護事業</t>
  </si>
  <si>
    <t>8599</t>
  </si>
  <si>
    <t>他に分類されない社会保険・社会福祉・介護事業</t>
  </si>
  <si>
    <t>8601</t>
  </si>
  <si>
    <t>8611</t>
  </si>
  <si>
    <t>郵便局</t>
  </si>
  <si>
    <t>8621</t>
  </si>
  <si>
    <t>簡易郵便局</t>
  </si>
  <si>
    <t>8629</t>
  </si>
  <si>
    <t>その他の郵便局受託業</t>
  </si>
  <si>
    <t>8701</t>
  </si>
  <si>
    <t>8711</t>
  </si>
  <si>
    <t>農業協同組合（他に分類されないもの）</t>
  </si>
  <si>
    <t>8712</t>
  </si>
  <si>
    <t>漁業協同組合（他に分類されないもの）</t>
  </si>
  <si>
    <t>8713</t>
  </si>
  <si>
    <t>水産加工業協同組合（他に分類されないもの）</t>
  </si>
  <si>
    <t>8714</t>
  </si>
  <si>
    <t>森林組合（他に分類されないもの）</t>
  </si>
  <si>
    <t>8721</t>
  </si>
  <si>
    <t>事業協同組合（他に分類されないもの）</t>
  </si>
  <si>
    <t>8800</t>
  </si>
  <si>
    <t>8809</t>
  </si>
  <si>
    <t>8811</t>
  </si>
  <si>
    <t>し尿収集運搬業</t>
  </si>
  <si>
    <t>8812</t>
  </si>
  <si>
    <t>し尿処分業</t>
  </si>
  <si>
    <t>8813</t>
  </si>
  <si>
    <t>浄化槽清掃業</t>
  </si>
  <si>
    <t>8814</t>
  </si>
  <si>
    <t>浄化槽保守点検業</t>
  </si>
  <si>
    <t>8815</t>
  </si>
  <si>
    <t>ごみ収集運搬業</t>
  </si>
  <si>
    <t>8816</t>
  </si>
  <si>
    <t>ごみ処分業</t>
  </si>
  <si>
    <t>8817</t>
  </si>
  <si>
    <t>清掃事務所</t>
  </si>
  <si>
    <t>8821</t>
  </si>
  <si>
    <t>産業廃棄物収集運搬業</t>
  </si>
  <si>
    <t>8822</t>
  </si>
  <si>
    <t>産業廃棄物処分業</t>
  </si>
  <si>
    <t>8823</t>
  </si>
  <si>
    <t>特別管理産業廃棄物収集運搬業</t>
  </si>
  <si>
    <t>8824</t>
  </si>
  <si>
    <t>特別管理産業廃棄物処分業</t>
  </si>
  <si>
    <t>8891</t>
  </si>
  <si>
    <t>死亡獣畜取扱業</t>
  </si>
  <si>
    <t>8899</t>
  </si>
  <si>
    <t>他に分類されない廃棄物処理業</t>
  </si>
  <si>
    <t>8901</t>
  </si>
  <si>
    <t>8911</t>
  </si>
  <si>
    <t>自動車一般整備業</t>
  </si>
  <si>
    <t>8919</t>
  </si>
  <si>
    <t>その他の自動車整備業</t>
  </si>
  <si>
    <t>9000</t>
  </si>
  <si>
    <t>9009</t>
  </si>
  <si>
    <t>9011</t>
  </si>
  <si>
    <t>一般機械修理業（建設・鉱山機械を除く）</t>
  </si>
  <si>
    <t>9012</t>
  </si>
  <si>
    <t>建設・鉱山機械整備業</t>
  </si>
  <si>
    <t>9021</t>
  </si>
  <si>
    <t>電気機械器具修理業</t>
  </si>
  <si>
    <t>9031</t>
  </si>
  <si>
    <t>表具業</t>
  </si>
  <si>
    <t>9091</t>
  </si>
  <si>
    <t>家具修理業</t>
  </si>
  <si>
    <t>9092</t>
  </si>
  <si>
    <t>時計修理業</t>
  </si>
  <si>
    <t>9093</t>
  </si>
  <si>
    <t>履物修理業</t>
  </si>
  <si>
    <t>9094</t>
  </si>
  <si>
    <t>かじ業</t>
  </si>
  <si>
    <t>9099</t>
  </si>
  <si>
    <t>他に分類されない修理業</t>
  </si>
  <si>
    <t>9100</t>
  </si>
  <si>
    <t>9109</t>
  </si>
  <si>
    <t>9111</t>
  </si>
  <si>
    <t>職業紹介業</t>
  </si>
  <si>
    <t>9121</t>
  </si>
  <si>
    <t>労働者派遣業</t>
  </si>
  <si>
    <t>9200</t>
  </si>
  <si>
    <t>9209</t>
  </si>
  <si>
    <t>9211</t>
  </si>
  <si>
    <t>速記・ワープロ入力業</t>
  </si>
  <si>
    <t>9212</t>
  </si>
  <si>
    <t>複写業</t>
  </si>
  <si>
    <t>9221</t>
  </si>
  <si>
    <t>ビルメンテナンス業</t>
  </si>
  <si>
    <t>9229</t>
  </si>
  <si>
    <t>その他の建物サービス業</t>
  </si>
  <si>
    <t>9231</t>
  </si>
  <si>
    <t>警備業</t>
  </si>
  <si>
    <t>9291</t>
  </si>
  <si>
    <t>ディスプレイ業</t>
  </si>
  <si>
    <t>9292</t>
  </si>
  <si>
    <t>産業用設備洗浄業</t>
  </si>
  <si>
    <t>9293</t>
  </si>
  <si>
    <t>看板書き業</t>
  </si>
  <si>
    <t>9294</t>
  </si>
  <si>
    <t>コールセンター業</t>
    <rPh sb="7" eb="8">
      <t>ギョウ</t>
    </rPh>
    <phoneticPr fontId="4"/>
  </si>
  <si>
    <t>9299</t>
  </si>
  <si>
    <t>他に分類されないその他の事業サービス業</t>
  </si>
  <si>
    <t>9311</t>
  </si>
  <si>
    <t>実業団体</t>
  </si>
  <si>
    <t>9312</t>
  </si>
  <si>
    <t>同業団体</t>
  </si>
  <si>
    <t>9321</t>
  </si>
  <si>
    <t>労働団体</t>
  </si>
  <si>
    <t>9331</t>
  </si>
  <si>
    <t>学術団体</t>
  </si>
  <si>
    <t>9332</t>
  </si>
  <si>
    <t>文化団体</t>
  </si>
  <si>
    <t>9341</t>
  </si>
  <si>
    <t>政治団体</t>
  </si>
  <si>
    <t>9399</t>
  </si>
  <si>
    <t>他に分類されない非営利的団体</t>
  </si>
  <si>
    <t>9411</t>
  </si>
  <si>
    <t>神社，神道教会</t>
  </si>
  <si>
    <t>9412</t>
  </si>
  <si>
    <t>教派事務所</t>
  </si>
  <si>
    <t>9421</t>
  </si>
  <si>
    <t>寺院，仏教教会</t>
  </si>
  <si>
    <t>9422</t>
  </si>
  <si>
    <t>宗派事務所</t>
  </si>
  <si>
    <t>9431</t>
  </si>
  <si>
    <t>キリスト教教会，修道院</t>
  </si>
  <si>
    <t>9432</t>
  </si>
  <si>
    <t>教団事務所</t>
  </si>
  <si>
    <t>9491</t>
  </si>
  <si>
    <t>その他の宗教の教会</t>
  </si>
  <si>
    <t>9499</t>
  </si>
  <si>
    <t>その他の宗教の教団事務所</t>
  </si>
  <si>
    <t>9501</t>
  </si>
  <si>
    <t>9511</t>
  </si>
  <si>
    <t>集会場</t>
  </si>
  <si>
    <t>9521</t>
  </si>
  <si>
    <t>と畜場</t>
  </si>
  <si>
    <t>9599</t>
  </si>
  <si>
    <t>他に分類されないサービス業</t>
  </si>
  <si>
    <t>9611</t>
  </si>
  <si>
    <t>外国公館</t>
  </si>
  <si>
    <t>9699</t>
  </si>
  <si>
    <t>その他の外国公務</t>
  </si>
  <si>
    <t>9711</t>
  </si>
  <si>
    <t>立法機関</t>
  </si>
  <si>
    <t>9721</t>
  </si>
  <si>
    <t>司法機関</t>
  </si>
  <si>
    <t>9731</t>
  </si>
  <si>
    <t>行政機関</t>
  </si>
  <si>
    <t>9811</t>
  </si>
  <si>
    <t>都道府県機関</t>
  </si>
  <si>
    <t>9821</t>
  </si>
  <si>
    <t>市町村機関</t>
  </si>
  <si>
    <t>織物製事務用・作業用・衛生用・スポーツ用衣服・学校服製造業（不織布製及びレース製を含む）</t>
  </si>
  <si>
    <t>他に分類されない飲食店</t>
  </si>
  <si>
    <t>ネイルサービス業</t>
  </si>
  <si>
    <t>写真プリント,現像・焼付業</t>
  </si>
  <si>
    <t>8191</t>
  </si>
  <si>
    <t>林業</t>
  </si>
  <si>
    <t>漁業（水産養殖業を除く）</t>
  </si>
  <si>
    <t>水産養殖業</t>
  </si>
  <si>
    <t>総合工事業</t>
  </si>
  <si>
    <t>職別工事業(設備工事業を除く)</t>
  </si>
  <si>
    <t>設備工事業</t>
  </si>
  <si>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</si>
  <si>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</si>
  <si>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</si>
  <si>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</si>
  <si>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</si>
  <si>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</si>
  <si>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</si>
  <si>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</si>
  <si>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</si>
  <si>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</si>
  <si>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</si>
  <si>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</si>
  <si>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</si>
  <si>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</si>
  <si>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</si>
  <si>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</si>
  <si>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</si>
  <si>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</si>
  <si>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</si>
  <si>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</si>
  <si>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</si>
  <si>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</si>
  <si>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</si>
  <si>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</si>
  <si>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</si>
  <si>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</si>
  <si>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水道業</t>
  </si>
  <si>
    <t>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</si>
  <si>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</si>
  <si>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</si>
  <si>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</si>
  <si>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</si>
  <si>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</si>
  <si>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</si>
  <si>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</si>
  <si>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</si>
  <si>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</si>
  <si>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</si>
  <si>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</si>
  <si>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各種商品卸売業</t>
  </si>
  <si>
    <t>繊維・衣服等卸売業</t>
  </si>
  <si>
    <t>飲食料品卸売業</t>
  </si>
  <si>
    <t>機械器具卸売業</t>
  </si>
  <si>
    <t>その他の卸売業</t>
  </si>
  <si>
    <t>各種商品小売業</t>
  </si>
  <si>
    <t>織物・衣服・身の回り品小売業</t>
  </si>
  <si>
    <t>飲食料品小売業</t>
  </si>
  <si>
    <t>機械器具小売業</t>
  </si>
  <si>
    <t>その他の小売業</t>
  </si>
  <si>
    <t>無店舗小売業</t>
  </si>
  <si>
    <t>銀行業</t>
  </si>
  <si>
    <t>協同組織金融業</t>
  </si>
  <si>
    <t>補助的金融業等</t>
  </si>
  <si>
    <t>不動産取引業</t>
  </si>
  <si>
    <t>不動産賃貸業・管理業</t>
  </si>
  <si>
    <t>物品賃貸業</t>
  </si>
  <si>
    <t>学術・開発研究機関</t>
  </si>
  <si>
    <t>専門サービス業（他に分類されないもの）</t>
  </si>
  <si>
    <t>技術サービス業（他に分類されないもの）</t>
  </si>
  <si>
    <t>飲食店</t>
  </si>
  <si>
    <t>持ち帰り・配達飲食サービス業</t>
  </si>
  <si>
    <t>洗濯・理容・美容・浴場業</t>
  </si>
  <si>
    <t>その他の生活関連サービス業</t>
  </si>
  <si>
    <t>娯楽業</t>
  </si>
  <si>
    <t>学校教育</t>
  </si>
  <si>
    <t>医療業</t>
  </si>
  <si>
    <t>保健衛生</t>
  </si>
  <si>
    <t>社会保険・社会福祉・介護事業</t>
  </si>
  <si>
    <t>協同組合（他に分類されないもの）</t>
  </si>
  <si>
    <t>廃棄物処理業</t>
  </si>
  <si>
    <t>自動車整備業</t>
  </si>
  <si>
    <t>機械等修理業（別掲を除く）</t>
  </si>
  <si>
    <t>職業紹介・労働者派遣業</t>
  </si>
  <si>
    <t>その他の事業サービス業</t>
  </si>
  <si>
    <t>政治・経済・文化団体</t>
  </si>
  <si>
    <t>宗教</t>
  </si>
  <si>
    <t>その他のサービス業</t>
  </si>
  <si>
    <t>外国公務</t>
  </si>
  <si>
    <t>国家公務</t>
  </si>
  <si>
    <t>地方公務</t>
  </si>
  <si>
    <t>分類不能の産業</t>
  </si>
  <si>
    <t>農業</t>
    <phoneticPr fontId="1"/>
  </si>
  <si>
    <t>鉱業、採石業、砂利採取業</t>
  </si>
  <si>
    <t>建築材料、鉱物・金属材料等卸売業</t>
  </si>
  <si>
    <t>貸金業、クレジットカード業等非預金信用機関</t>
  </si>
  <si>
    <t>金融商品取引業、商品先物取引業</t>
  </si>
  <si>
    <t>保険業（保険媒介代理業、保険サービス業を含む）</t>
  </si>
  <si>
    <t>その他の教育、学習支援業</t>
  </si>
  <si>
    <t>中分類</t>
    <rPh sb="0" eb="3">
      <t>チュウブンルイ</t>
    </rPh>
    <phoneticPr fontId="4"/>
  </si>
  <si>
    <t>01</t>
    <phoneticPr fontId="1"/>
  </si>
  <si>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</si>
  <si>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</si>
  <si>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</si>
  <si>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</si>
  <si>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</si>
  <si>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</si>
  <si>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</si>
  <si>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</si>
  <si>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</si>
  <si>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</si>
  <si>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</si>
  <si>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</si>
  <si>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</si>
  <si>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</si>
  <si>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</si>
  <si>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</si>
  <si>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</si>
  <si>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</si>
  <si>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</si>
  <si>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</si>
  <si>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</si>
  <si>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</si>
  <si>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</si>
  <si>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</si>
  <si>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</si>
  <si>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</si>
  <si>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</si>
  <si>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</si>
  <si>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</si>
  <si>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</si>
  <si>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</si>
  <si>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</si>
  <si>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</si>
  <si>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</si>
  <si>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</si>
  <si>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</si>
  <si>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</si>
  <si>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</si>
  <si>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</si>
  <si>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</si>
  <si>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</si>
  <si>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</si>
  <si>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</si>
  <si>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</si>
  <si>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</si>
  <si>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</si>
  <si>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</si>
  <si>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</si>
  <si>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</si>
  <si>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</si>
  <si>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</si>
  <si>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</si>
  <si>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</si>
  <si>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</si>
  <si>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</si>
  <si>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</si>
  <si>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</si>
  <si>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</si>
  <si>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</si>
  <si>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</si>
  <si>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</si>
  <si>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</si>
  <si>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</si>
  <si>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</si>
  <si>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</si>
  <si>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</si>
  <si>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</si>
  <si>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</si>
  <si>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</si>
  <si>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</si>
  <si>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</si>
  <si>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</si>
  <si>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</si>
  <si>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</si>
  <si>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</si>
  <si>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</si>
  <si>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</si>
  <si>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</si>
  <si>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</si>
  <si>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</si>
  <si>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</si>
  <si>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</si>
  <si>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</si>
  <si>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</si>
  <si>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</si>
  <si>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</si>
  <si>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</si>
  <si>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</si>
  <si>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</si>
  <si>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</si>
  <si>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</si>
  <si>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</si>
  <si>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</si>
  <si>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</si>
  <si>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</si>
  <si>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</si>
  <si>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</si>
  <si>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</si>
  <si>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細分類</t>
    <rPh sb="0" eb="3">
      <t>サイブンルイ</t>
    </rPh>
    <phoneticPr fontId="1"/>
  </si>
  <si>
    <t>排出原単位</t>
    <rPh sb="0" eb="2">
      <t>ハイシュツ</t>
    </rPh>
    <rPh sb="2" eb="5">
      <t>ゲンタンイ</t>
    </rPh>
    <phoneticPr fontId="1"/>
  </si>
  <si>
    <t>２　温室効果ガスの削減目標等</t>
    <rPh sb="2" eb="4">
      <t>オンシツ</t>
    </rPh>
    <rPh sb="4" eb="6">
      <t>コウカ</t>
    </rPh>
    <rPh sb="9" eb="11">
      <t>サクゲン</t>
    </rPh>
    <rPh sb="11" eb="13">
      <t>モクヒョウ</t>
    </rPh>
    <rPh sb="13" eb="14">
      <t>ナド</t>
    </rPh>
    <phoneticPr fontId="3"/>
  </si>
  <si>
    <t>テナント空調等推計値</t>
    <phoneticPr fontId="3"/>
  </si>
  <si>
    <t>tC/GJ</t>
  </si>
  <si>
    <t>買電量
(千kWh)</t>
    <phoneticPr fontId="3"/>
  </si>
  <si>
    <t>該当する
事業者の要件</t>
    <rPh sb="0" eb="2">
      <t>ガイトウ</t>
    </rPh>
    <rPh sb="5" eb="8">
      <t>ジギョウシャ</t>
    </rPh>
    <rPh sb="9" eb="11">
      <t>ヨウケン</t>
    </rPh>
    <phoneticPr fontId="3"/>
  </si>
  <si>
    <t>宿泊業</t>
    <phoneticPr fontId="1"/>
  </si>
  <si>
    <t>３　温室効果ガスの排出抑制に関する取組</t>
    <rPh sb="2" eb="4">
      <t>オンシツ</t>
    </rPh>
    <rPh sb="4" eb="6">
      <t>コウカ</t>
    </rPh>
    <rPh sb="9" eb="11">
      <t>ハイシュツ</t>
    </rPh>
    <rPh sb="11" eb="13">
      <t>ヨクセイ</t>
    </rPh>
    <rPh sb="14" eb="15">
      <t>カン</t>
    </rPh>
    <rPh sb="17" eb="19">
      <t>トリクミ</t>
    </rPh>
    <phoneticPr fontId="3"/>
  </si>
  <si>
    <t>項目</t>
    <rPh sb="0" eb="2">
      <t>コウモク</t>
    </rPh>
    <phoneticPr fontId="1"/>
  </si>
  <si>
    <t>基準年度実施率</t>
    <rPh sb="0" eb="2">
      <t>キジュン</t>
    </rPh>
    <rPh sb="2" eb="4">
      <t>ネンド</t>
    </rPh>
    <rPh sb="4" eb="6">
      <t>ジッシ</t>
    </rPh>
    <rPh sb="6" eb="7">
      <t>リツ</t>
    </rPh>
    <phoneticPr fontId="1"/>
  </si>
  <si>
    <t>目標年度実施率</t>
    <rPh sb="0" eb="2">
      <t>モクヒョウ</t>
    </rPh>
    <rPh sb="2" eb="4">
      <t>ネンド</t>
    </rPh>
    <rPh sb="4" eb="6">
      <t>ジッシ</t>
    </rPh>
    <rPh sb="6" eb="7">
      <t>リツ</t>
    </rPh>
    <phoneticPr fontId="1"/>
  </si>
  <si>
    <t>実施年度</t>
    <rPh sb="0" eb="2">
      <t>ジッシ</t>
    </rPh>
    <rPh sb="2" eb="4">
      <t>ネンド</t>
    </rPh>
    <phoneticPr fontId="1"/>
  </si>
  <si>
    <t>郵便番号</t>
    <rPh sb="0" eb="4">
      <t>ユウビンバンゴウ</t>
    </rPh>
    <phoneticPr fontId="3"/>
  </si>
  <si>
    <t>小分類</t>
    <rPh sb="0" eb="1">
      <t>ショウ</t>
    </rPh>
    <rPh sb="1" eb="3">
      <t>ブンルイ</t>
    </rPh>
    <phoneticPr fontId="4"/>
  </si>
  <si>
    <t>細分類</t>
    <rPh sb="0" eb="3">
      <t>サイブンルイ</t>
    </rPh>
    <phoneticPr fontId="4"/>
  </si>
  <si>
    <t>管理，補助的経済活動を行う事業所（01農業）</t>
  </si>
  <si>
    <t>耕種農業</t>
  </si>
  <si>
    <t>畜産農業</t>
  </si>
  <si>
    <t>農業サービス業（園芸サービス業を除く）</t>
  </si>
  <si>
    <t>管理，補助的経済活動を行う事業所（02林業）</t>
  </si>
  <si>
    <t>特用林産物生産業（きのこ類の栽培を除く）</t>
  </si>
  <si>
    <t>林業サービス業</t>
  </si>
  <si>
    <t>管理，補助的経済活動を行う事業所（03漁業）</t>
  </si>
  <si>
    <t>海面漁業</t>
  </si>
  <si>
    <t>管理，補助的経済活動を行う事業所（04水産養殖業）</t>
  </si>
  <si>
    <t>海面養殖業</t>
  </si>
  <si>
    <t>管理，補助的経済活動を行う事業所（05鉱業，採石業，砂利採取業）</t>
  </si>
  <si>
    <t>金属鉱業</t>
  </si>
  <si>
    <t>石炭・亜炭鉱業</t>
  </si>
  <si>
    <t>原油・天然ガス鉱業</t>
  </si>
  <si>
    <t>採石業，砂・砂利・玉石採取業</t>
  </si>
  <si>
    <t>窯業原料用鉱物鉱業（耐火物・陶磁器・ガラス・セメント原料用に限る）</t>
  </si>
  <si>
    <t>その他の鉱業</t>
  </si>
  <si>
    <t>管理，補助的経済活動を行う事業所（06総合工事業）</t>
  </si>
  <si>
    <t>土木工事業（舗装工事業を除く）</t>
  </si>
  <si>
    <t>管理，補助的経済活動を行う事業所（07職別工事業）</t>
  </si>
  <si>
    <t>大工工事業</t>
  </si>
  <si>
    <t>とび・土工・コンクリート工事業</t>
  </si>
  <si>
    <t>鉄骨・鉄筋工事業</t>
  </si>
  <si>
    <t>石工・れんが・タイル・ブロック工事業</t>
  </si>
  <si>
    <t>板金・金物工事業</t>
  </si>
  <si>
    <t>塗装工事業</t>
  </si>
  <si>
    <t>床・内装工事業</t>
  </si>
  <si>
    <t>その他の職別工事業</t>
  </si>
  <si>
    <t>管理，補助的経済活動を行う事業所（08設備工事業）</t>
  </si>
  <si>
    <t>電気工事業</t>
  </si>
  <si>
    <t>電気通信・信号装置工事業</t>
  </si>
  <si>
    <t>管工事業（さく井工事業を除く）</t>
  </si>
  <si>
    <t>機械器具設置工事業</t>
  </si>
  <si>
    <t>その他の設備工事業</t>
  </si>
  <si>
    <t>管理，補助的経済活動を行う事業所（09食料品製造業）</t>
  </si>
  <si>
    <t>畜産食料品製造業</t>
  </si>
  <si>
    <t>水産食料品製造業</t>
  </si>
  <si>
    <t>野菜缶詰・果実缶詰・農産保存食料品製造業</t>
  </si>
  <si>
    <t>調味料製造業</t>
  </si>
  <si>
    <t>糖類製造業</t>
  </si>
  <si>
    <t>精穀・製粉業</t>
  </si>
  <si>
    <t>パン・菓子製造業</t>
  </si>
  <si>
    <t>動植物油脂製造業</t>
  </si>
  <si>
    <t>その他の食料品製造業</t>
  </si>
  <si>
    <t>管理，補助的経済活動を行う事業所（10飲料・たばこ・飼料製造業）</t>
  </si>
  <si>
    <t>酒類製造業</t>
  </si>
  <si>
    <t>茶・コーヒー製造業（清涼飲料を除く）</t>
  </si>
  <si>
    <t>たばこ製造業</t>
  </si>
  <si>
    <t>飼料・有機質肥料製造業</t>
  </si>
  <si>
    <t>管理，補助的経済活動を行う事業所（11繊維工業）</t>
  </si>
  <si>
    <t>製糸業，紡績業，化学繊維・ねん糸等製造業</t>
  </si>
  <si>
    <t>織物業</t>
  </si>
  <si>
    <t>ニット生地製造業</t>
  </si>
  <si>
    <t>染色整理業</t>
  </si>
  <si>
    <t>綱・網・レース・繊維粗製品製造業</t>
  </si>
  <si>
    <t>外衣・シャツ製造業（和式を除く）</t>
  </si>
  <si>
    <t>下着類製造業</t>
  </si>
  <si>
    <t>和装製品・その他の衣服・繊維製身の回り品製造業</t>
  </si>
  <si>
    <t>その他の繊維製品製造業</t>
  </si>
  <si>
    <t>管理，補助的経済活動を行う事業所（12木材・木製品製造業）</t>
  </si>
  <si>
    <t>製材業，木製品製造業</t>
  </si>
  <si>
    <t>造作材・合板・建築用組立材料製造業</t>
  </si>
  <si>
    <t>木製容器製造業（竹，とうを含む）</t>
  </si>
  <si>
    <t>その他の木製品製造業(竹，とうを含む)</t>
  </si>
  <si>
    <t>管理，補助的経済活動を行う事業所（13家具・装備品製造業）</t>
  </si>
  <si>
    <t>家具製造業</t>
  </si>
  <si>
    <t>その他の家具・装備品製造業</t>
  </si>
  <si>
    <t>管理，補助的経済活動を行う事業所（14パルプ・紙・紙加工品製造業）</t>
  </si>
  <si>
    <t>紙製造業</t>
  </si>
  <si>
    <t>加工紙製造業</t>
  </si>
  <si>
    <t>紙製品製造業</t>
  </si>
  <si>
    <t>紙製容器製造業</t>
  </si>
  <si>
    <t>管理，補助的経済活動を行う事業所（15印刷・同関連業）</t>
  </si>
  <si>
    <t>印刷業</t>
  </si>
  <si>
    <t>製本業，印刷物加工業</t>
  </si>
  <si>
    <t>管理，補助的経済活動を行う事業所（16化学工業）</t>
  </si>
  <si>
    <t>化学肥料製造業</t>
  </si>
  <si>
    <t>無機化学工業製品製造業</t>
  </si>
  <si>
    <t>有機化学工業製品製造業</t>
  </si>
  <si>
    <t>油脂加工製品・石けん・合成洗剤・界面活性剤・塗料製造業</t>
  </si>
  <si>
    <t>医薬品製造業</t>
  </si>
  <si>
    <t>化粧品・歯磨・その他の化粧用調整品製造業</t>
  </si>
  <si>
    <t>その他の化学工業</t>
  </si>
  <si>
    <t>管理，補助的経済活動を行う事業所（17石油製品・石炭製品製造業）</t>
  </si>
  <si>
    <t>管理，補助的経済活動を行う事業所（18プラスチック製品製造業）</t>
  </si>
  <si>
    <t>プラスチック板・棒・管・継手・異形押出製品製造業</t>
  </si>
  <si>
    <t>プラスチックフィルム・シート・床材・合成皮革製造業</t>
  </si>
  <si>
    <t>工業用プラスチック製品製造業</t>
  </si>
  <si>
    <t>発泡・強化プラスチック製品製造業</t>
  </si>
  <si>
    <t>プラスチック成形材料製造業（廃プラスチックを含む）</t>
  </si>
  <si>
    <t>その他のプラスチック製品製造業</t>
  </si>
  <si>
    <t>管理，補助的経済活動を行う事業所（19ゴム製品製造業）</t>
  </si>
  <si>
    <t>タイヤ・チューブ製造業</t>
  </si>
  <si>
    <t>ゴム製・プラスチック製履物・同附属品製造業</t>
  </si>
  <si>
    <t>ゴムベルト・ゴムホース・工業用ゴム製品製造業</t>
  </si>
  <si>
    <t>その他のゴム製品製造業</t>
  </si>
  <si>
    <t>管理，補助的経済活動を行う事業所（20なめし革・同製品・毛皮製造業）</t>
  </si>
  <si>
    <t>袋物製造業</t>
  </si>
  <si>
    <t>管理，補助的経済活動を行う事業所（21窯業・土石製品製造業）</t>
  </si>
  <si>
    <t>ガラス・同製品製造業</t>
  </si>
  <si>
    <t>セメント・同製品製造業</t>
  </si>
  <si>
    <t>建設用粘土製品製造業（陶磁器製を除く)</t>
  </si>
  <si>
    <t>陶磁器・同関連製品製造業</t>
  </si>
  <si>
    <t>耐火物製造業</t>
  </si>
  <si>
    <t>炭素・黒鉛製品製造業</t>
  </si>
  <si>
    <t>研磨材・同製品製造業</t>
  </si>
  <si>
    <t>骨材・石工品等製造業</t>
  </si>
  <si>
    <t>その他の窯業・土石製品製造業</t>
  </si>
  <si>
    <t>管理，補助的経済活動を行う事業所（22鉄鋼業）</t>
  </si>
  <si>
    <t>製鉄業</t>
  </si>
  <si>
    <t>製鋼を行わない鋼材製造業（表面処理鋼材を除く）</t>
  </si>
  <si>
    <t>表面処理鋼材製造業</t>
  </si>
  <si>
    <t>鉄素形材製造業</t>
  </si>
  <si>
    <t>その他の鉄鋼業</t>
  </si>
  <si>
    <t>管理，補助的経済活動を行う事業所（23非鉄金属製造業）</t>
  </si>
  <si>
    <t>非鉄金属第1次製錬・精製業</t>
  </si>
  <si>
    <t>非鉄金属第2次製錬・精製業（非鉄金属合金製造業を含む）</t>
  </si>
  <si>
    <t>非鉄金属・同合金圧延業（抽伸，押出しを含む）</t>
  </si>
  <si>
    <t>電線・ケーブル製造業</t>
  </si>
  <si>
    <t>非鉄金属素形材製造業</t>
  </si>
  <si>
    <t>その他の非鉄金属製造業</t>
  </si>
  <si>
    <t>管理，補助的経済活動を行う事業所（24金属製品製造業）</t>
  </si>
  <si>
    <t>洋食器・刃物・手道具・金物類製造業</t>
  </si>
  <si>
    <t>暖房・調理等装置,配管工事用附属品製造業</t>
  </si>
  <si>
    <t>建設用・建築用金属製品製造業（製缶板金業を含む)</t>
  </si>
  <si>
    <t>金属素形材製品製造業</t>
  </si>
  <si>
    <t>金属被覆・彫刻業，熱処理業（ほうろう鉄器を除く）</t>
  </si>
  <si>
    <t>金属線製品製造業（ねじ類を除く)</t>
  </si>
  <si>
    <t>その他の金属製品製造業</t>
  </si>
  <si>
    <t>管理，補助的経済活動を行う事業所（25はん用機械器具製造業）</t>
  </si>
  <si>
    <t>ボイラ・原動機製造業</t>
  </si>
  <si>
    <t>ポンプ・圧縮機器製造業</t>
  </si>
  <si>
    <t>一般産業用機械・装置製造業</t>
  </si>
  <si>
    <t>その他のはん用機械・同部分品製造業</t>
  </si>
  <si>
    <t>管理，補助的経済活動を行う事業所（26生産用機械器具製造業）</t>
  </si>
  <si>
    <t>繊維機械製造業</t>
  </si>
  <si>
    <t>生活関連産業用機械製造業</t>
  </si>
  <si>
    <t>基礎素材産業用機械製造業</t>
  </si>
  <si>
    <t>金属加工機械製造業</t>
  </si>
  <si>
    <t>半導体・フラットパネルディスプレイ製造装置製造業</t>
  </si>
  <si>
    <t>その他の生産用機械・同部分品製造業</t>
  </si>
  <si>
    <t>管理，補助的経済活動を行う事業所（27業務用機械器具製造業）</t>
  </si>
  <si>
    <t>事務用機械器具製造業</t>
  </si>
  <si>
    <t>サービス用・娯楽用機械器具製造業</t>
  </si>
  <si>
    <t>計量器・測定器・分析機器・試験機・測量機械器具・理化学機械器具製造業</t>
  </si>
  <si>
    <t>医療用機械器具・医療用品製造業</t>
  </si>
  <si>
    <t>光学機械器具・レンズ製造業</t>
  </si>
  <si>
    <t>管理，補助的経済活動を行う事業所（28電子部品・デバイス・電子回路製造業）</t>
  </si>
  <si>
    <t>電子デバイス製造業</t>
  </si>
  <si>
    <t>電子部品製造業</t>
  </si>
  <si>
    <t>記録メディア製造業</t>
  </si>
  <si>
    <t>電子回路製造業</t>
  </si>
  <si>
    <t>ユニット部品製造業</t>
  </si>
  <si>
    <t>管理，補助的経済活動を行う事業所（29電気機械器具製造業）</t>
  </si>
  <si>
    <t>発電用・送電用・配電用電気機械器具製造業</t>
  </si>
  <si>
    <t>産業用電気機械器具製造業</t>
  </si>
  <si>
    <t>民生用電気機械器具製造業</t>
  </si>
  <si>
    <t>電球・電気照明器具製造業</t>
  </si>
  <si>
    <t>電池製造業</t>
  </si>
  <si>
    <t>電子応用装置製造業</t>
  </si>
  <si>
    <t>電気計測器製造業</t>
  </si>
  <si>
    <t>管理，補助的経済活動を行う事業所（30情報通信機械器具製造業）</t>
  </si>
  <si>
    <t>通信機械器具・同関連機械器具製造業</t>
  </si>
  <si>
    <t>映像・音響機械器具製造業</t>
  </si>
  <si>
    <t>電子計算機・同附属装置製造業</t>
  </si>
  <si>
    <t>管理，補助的経済活動を行う事業所（31輸送用機械器具製造業）</t>
  </si>
  <si>
    <t>自動車・同附属品製造業</t>
  </si>
  <si>
    <t>鉄道車両・同部分品製造業</t>
  </si>
  <si>
    <t>船舶製造・修理業，舶用機関製造業</t>
  </si>
  <si>
    <t>航空機・同附属品製造業</t>
  </si>
  <si>
    <t>産業用運搬車両・同部分品・附属品製造業</t>
  </si>
  <si>
    <t>その他の輸送用機械器具製造業</t>
  </si>
  <si>
    <t>管理，補助的経済活動を行う事業所（32その他の製造業）</t>
  </si>
  <si>
    <t>貴金属・宝石製品製造業</t>
  </si>
  <si>
    <t>装身具・装飾品・ボタン・同関連品製造業（貴金属・宝石製を除く）</t>
  </si>
  <si>
    <t>楽器製造業</t>
  </si>
  <si>
    <t>がん具・運動用具製造業</t>
  </si>
  <si>
    <t>ペン・鉛筆・絵画用品・その他の事務用品製造業</t>
  </si>
  <si>
    <t>畳等生活雑貨製品製造業</t>
  </si>
  <si>
    <t>他に分類されない製造業</t>
  </si>
  <si>
    <t>管理，補助的経済活動を行う事業所（33電気業）</t>
  </si>
  <si>
    <t>管理，補助的経済活動を行う事業所（34ガス業）</t>
  </si>
  <si>
    <t>管理，補助的経済活動を行う事業所（35熱供給業）</t>
  </si>
  <si>
    <t>管理，補助的経済活動を行う事業所（36水道業）</t>
  </si>
  <si>
    <t>下水道業</t>
  </si>
  <si>
    <t>管理，補助的経済活動を行う事業所（37通信業）</t>
  </si>
  <si>
    <t>固定電気通信業</t>
  </si>
  <si>
    <t>管理，補助的経済活動を行う事業所（38放送業）</t>
  </si>
  <si>
    <t>民間放送業（有線放送業を除く）</t>
  </si>
  <si>
    <t>有線放送業</t>
  </si>
  <si>
    <t>管理，補助的経済活動を行う事業所（39情報サービス業）</t>
  </si>
  <si>
    <t>ソフトウェア業</t>
  </si>
  <si>
    <t>情報処理・提供サービス業</t>
  </si>
  <si>
    <t>管理，補助的経済活動を行う事業所（40インターネット附随サービス業）</t>
  </si>
  <si>
    <t>管理，補助的経済活動を行う事業所（41映像・音声・文字情報制作業）</t>
  </si>
  <si>
    <t>映像情報制作・配給業</t>
  </si>
  <si>
    <t>音声情報制作業</t>
  </si>
  <si>
    <t>映像・音声・文字情報制作に附帯するサービス業</t>
  </si>
  <si>
    <t>管理，補助的経済活動を行う事業所（42鉄道業）</t>
  </si>
  <si>
    <t>管理，補助的経済活動を行う事業所（43道路旅客運送業）</t>
  </si>
  <si>
    <t>その他の道路旅客運送業</t>
  </si>
  <si>
    <t>管理，補助的経済活動を行う事業所（44道路貨物運送業）</t>
  </si>
  <si>
    <t>一般貨物自動車運送業</t>
  </si>
  <si>
    <t>管理，補助的経済活動を行う事業所（45水運業）</t>
  </si>
  <si>
    <t>外航海運業</t>
  </si>
  <si>
    <t>沿海海運業</t>
  </si>
  <si>
    <t>内陸水運業</t>
  </si>
  <si>
    <t>船舶貸渡業</t>
  </si>
  <si>
    <t>管理，補助的経済活動を行う事業所（46航空運輸業）</t>
  </si>
  <si>
    <t>管理，補助的経済活動を行う事業所（47倉庫業）</t>
  </si>
  <si>
    <t>管理，補助的経済活動を行う事業所（48運輸に附帯するサービス業）</t>
  </si>
  <si>
    <t>貨物運送取扱業（集配利用運送業を除く）</t>
  </si>
  <si>
    <t>こん包業</t>
  </si>
  <si>
    <t>運輸施設提供業</t>
  </si>
  <si>
    <t>その他の運輸に附帯するサービス業</t>
  </si>
  <si>
    <t>管理，補助的経済活動を行う事業所（49郵便業）</t>
  </si>
  <si>
    <t>管理，補助的経済活動を行う事業所（50各種商品卸売業）</t>
  </si>
  <si>
    <t>管理，補助的経済活動を行う事業所（51繊維・衣服等卸売業）</t>
  </si>
  <si>
    <t>繊維品卸売業（衣服，身の回り品を除く）</t>
  </si>
  <si>
    <t>衣服卸売業</t>
  </si>
  <si>
    <t>身の回り品卸売業</t>
  </si>
  <si>
    <t>管理，補助的経済活動を行う事業所（52飲食料品卸売業）</t>
  </si>
  <si>
    <t>農畜産物・水産物卸売業</t>
  </si>
  <si>
    <t>食料・飲料卸売業</t>
  </si>
  <si>
    <t>管理，補助的経済活動を行う事業所（53建築材料，鉱物・金属材料等卸売業）</t>
  </si>
  <si>
    <t>建築材料卸売業</t>
  </si>
  <si>
    <t>化学製品卸売業</t>
  </si>
  <si>
    <t>石油・鉱物卸売業</t>
  </si>
  <si>
    <t>鉄鋼製品卸売業</t>
  </si>
  <si>
    <t>非鉄金属卸売業</t>
  </si>
  <si>
    <t>再生資源卸売業</t>
  </si>
  <si>
    <t>管理，補助的経済活動を行う事業所（54機械器具卸売業）</t>
  </si>
  <si>
    <t>産業機械器具卸売業</t>
  </si>
  <si>
    <t>自動車卸売業</t>
  </si>
  <si>
    <t>電気機械器具卸売業</t>
  </si>
  <si>
    <t>その他の機械器具卸売業</t>
  </si>
  <si>
    <t>管理，補助的経済活動を行う事業所（55その他の卸売業）</t>
  </si>
  <si>
    <t>家具・建具・じゅう器等卸売業</t>
  </si>
  <si>
    <t>医薬品・化粧品等卸売業</t>
  </si>
  <si>
    <t>紙・紙製品卸売業</t>
  </si>
  <si>
    <t>他に分類されない卸売業</t>
  </si>
  <si>
    <t>管理，補助的経済活動を行う事業所（56各種商品小売業）</t>
  </si>
  <si>
    <t>管理，補助的経済活動を行う事業所（57織物・衣服・身の回り品小売業）</t>
  </si>
  <si>
    <t>呉服・服地・寝具小売業</t>
  </si>
  <si>
    <t>婦人・子供服小売業</t>
  </si>
  <si>
    <t>靴・履物小売業</t>
  </si>
  <si>
    <t>その他の織物・衣服・身の回り品小売業</t>
  </si>
  <si>
    <t>管理，補助的経済活動を行う事業所（58飲食料品小売業）</t>
  </si>
  <si>
    <t>野菜・果実小売業</t>
  </si>
  <si>
    <t>食肉小売業</t>
  </si>
  <si>
    <t>菓子・パン小売業</t>
  </si>
  <si>
    <t>その他の飲食料品小売業</t>
  </si>
  <si>
    <t>管理，補助的経済活動を行う事業所（59機械器具小売業）</t>
  </si>
  <si>
    <t>自動車小売業</t>
  </si>
  <si>
    <t>機械器具小売業（自動車，自転車を除く）</t>
  </si>
  <si>
    <t>管理，補助的経済活動を行う事業所（60その他の小売業）</t>
  </si>
  <si>
    <t>家具・建具・畳小売業</t>
  </si>
  <si>
    <t>じゅう器小売業</t>
  </si>
  <si>
    <t>医薬品・化粧品小売業</t>
  </si>
  <si>
    <t>農耕用品小売業</t>
  </si>
  <si>
    <t>燃料小売業</t>
  </si>
  <si>
    <t>書籍・文房具小売業</t>
  </si>
  <si>
    <t>スポーツ用品・がん具・娯楽用品・楽器小売業</t>
  </si>
  <si>
    <t>写真機・時計・眼鏡小売業</t>
  </si>
  <si>
    <t>他に分類されない小売業</t>
  </si>
  <si>
    <t>管理，補助的経済活動を行う事業所（61無店舗小売業）</t>
  </si>
  <si>
    <t>通信販売・訪問販売小売業</t>
  </si>
  <si>
    <t>管理，補助的経済活動を行う事業所（62銀行業）</t>
  </si>
  <si>
    <t>銀行（中央銀行を除く）</t>
  </si>
  <si>
    <t>管理，補助的経済活動を行う事業所（63協同組織金融業）</t>
  </si>
  <si>
    <t>中小企業等金融業</t>
  </si>
  <si>
    <t>農林水産金融業</t>
  </si>
  <si>
    <t>管理，補助的経済活動を行う事業所（64貸金業，クレジットカード業等非預金信用機関）</t>
  </si>
  <si>
    <t>貸金業</t>
  </si>
  <si>
    <t>クレジットカード業，割賦金融業</t>
  </si>
  <si>
    <t>その他の非預金信用機関</t>
  </si>
  <si>
    <t>管理，補助的経済活動を行う事業所（65金融商品取引業，商品先物取引業）</t>
  </si>
  <si>
    <t>金融商品取引業</t>
  </si>
  <si>
    <t>商品先物取引業，商品投資顧問業</t>
  </si>
  <si>
    <t>管理，補助的経済活動を行う事業所（66補助的金融業等）</t>
  </si>
  <si>
    <t>補助的金融業，金融附帯業</t>
  </si>
  <si>
    <t>信託業</t>
  </si>
  <si>
    <t>金融代理業</t>
  </si>
  <si>
    <t>管理，補助的経済活動を行う事業所（67保険業）</t>
  </si>
  <si>
    <t>生命保険業</t>
  </si>
  <si>
    <t>損害保険業</t>
  </si>
  <si>
    <t>共済事業，少額短期保険業</t>
  </si>
  <si>
    <t>保険媒介代理業</t>
  </si>
  <si>
    <t>保険サービス業</t>
  </si>
  <si>
    <t>管理，補助的経済活動を行う事業所（68不動産取引業）</t>
  </si>
  <si>
    <t>建物売買業，土地売買業</t>
  </si>
  <si>
    <t>管理，補助的経済活動を行う事業所（69不動産賃貸業・管理業）</t>
  </si>
  <si>
    <t>不動産賃貸業（貸家業，貸間業を除く）</t>
  </si>
  <si>
    <t>貸家業，貸間業</t>
  </si>
  <si>
    <t>管理，補助的経済活動を行う事業所（70物品賃貸業）</t>
  </si>
  <si>
    <t>各種物品賃貸業</t>
  </si>
  <si>
    <t>産業用機械器具賃貸業</t>
  </si>
  <si>
    <t>事務用機械器具賃貸業</t>
  </si>
  <si>
    <t>その他の物品賃貸業</t>
  </si>
  <si>
    <t>管理，補助的経済活動を行う事業所（71学術・開発研究機関）</t>
  </si>
  <si>
    <t>自然科学研究所</t>
  </si>
  <si>
    <t>管理，補助的経済活動を行う事業所（72専門サービス業）</t>
  </si>
  <si>
    <t>法律事務所，特許事務所</t>
  </si>
  <si>
    <t>公証人役場，司法書士事務所，土地家屋調査士事務所</t>
  </si>
  <si>
    <t>公認会計士事務所，税理士事務所</t>
  </si>
  <si>
    <t>著述・芸術家業</t>
  </si>
  <si>
    <t>経営コンサルタント業，純粋持株会社</t>
  </si>
  <si>
    <t>その他の専門サービス業</t>
  </si>
  <si>
    <t>管理，補助的経済活動を行う事業所（73広告業）</t>
  </si>
  <si>
    <t>管理，補助的経済活動を行う事業所（74技術サービス業）</t>
  </si>
  <si>
    <t>土木建築サービス業</t>
  </si>
  <si>
    <t>商品・非破壊検査業</t>
  </si>
  <si>
    <t>計量証明業</t>
  </si>
  <si>
    <t>写真業</t>
  </si>
  <si>
    <t>管理，補助的経済活動を行う事業所（75宿泊業）</t>
  </si>
  <si>
    <t>その他の宿泊業</t>
  </si>
  <si>
    <t>管理，補助的経済活動を行う事業所（76飲食店）</t>
  </si>
  <si>
    <t>専門料理店</t>
  </si>
  <si>
    <t>その他の飲食店</t>
  </si>
  <si>
    <t>管理，補助的経済活動を行う事業所（77持ち帰り・配達飲食サービス業）</t>
  </si>
  <si>
    <t>管理，補助的経済活動を行う事業所（78洗濯・理容・美容・浴場業）</t>
  </si>
  <si>
    <t>洗濯業</t>
  </si>
  <si>
    <t>その他の洗濯・理容・美容・浴場業</t>
  </si>
  <si>
    <t>管理，補助的経済活動を行う事業所（79その他の生活関連サービス業）</t>
  </si>
  <si>
    <t>旅行業</t>
  </si>
  <si>
    <t>家事サービス業</t>
  </si>
  <si>
    <t>火葬・墓地管理業</t>
  </si>
  <si>
    <t>冠婚葬祭業</t>
  </si>
  <si>
    <t>他に分類されない生活関連サービス業</t>
  </si>
  <si>
    <t>管理，補助的経済活動を行う事業所（80娯楽業）</t>
  </si>
  <si>
    <t>興行場（別掲を除く），興行団</t>
  </si>
  <si>
    <t>競輪・競馬等の競走場，競技団</t>
  </si>
  <si>
    <t>スポーツ施設提供業</t>
  </si>
  <si>
    <t>公園，遊園地</t>
  </si>
  <si>
    <t>遊戯場</t>
  </si>
  <si>
    <t>その他の娯楽業</t>
  </si>
  <si>
    <t>管理，補助的経済活動を行う事業所（81学校教育）</t>
  </si>
  <si>
    <t>高等学校，中等教育学校</t>
  </si>
  <si>
    <t>高等教育機関</t>
  </si>
  <si>
    <t>専修学校，各種学校</t>
  </si>
  <si>
    <t>幼保連携型認定こども園</t>
  </si>
  <si>
    <t>管理，補助的経済活動を行う事業所（82その他の教育，学習支援業）</t>
  </si>
  <si>
    <t>社会教育</t>
  </si>
  <si>
    <t>職業・教育支援施設</t>
  </si>
  <si>
    <t>教養・技能教授業</t>
  </si>
  <si>
    <t>管理，補助的経済活動を行う事業所（83医療業）</t>
  </si>
  <si>
    <t>病院</t>
  </si>
  <si>
    <t>一般診療所</t>
  </si>
  <si>
    <t>助産・看護業</t>
  </si>
  <si>
    <t>療術業</t>
  </si>
  <si>
    <t>医療に附帯するサービス業</t>
  </si>
  <si>
    <t>管理，補助的経済活動を行う事業所（84保健衛生）</t>
  </si>
  <si>
    <t>健康相談施設</t>
  </si>
  <si>
    <t>その他の保健衛生</t>
  </si>
  <si>
    <t>管理，補助的経済活動を行う事業所（85社会保険・社会福祉・介護事業）</t>
  </si>
  <si>
    <t>児童福祉事業</t>
  </si>
  <si>
    <t>老人福祉・介護事業</t>
  </si>
  <si>
    <t>障害者福祉事業</t>
  </si>
  <si>
    <t>その他の社会保険・社会福祉・介護事業</t>
  </si>
  <si>
    <t>管理，補助的経済活動を行う事業所（86郵便局）</t>
  </si>
  <si>
    <t>郵便局受託業</t>
  </si>
  <si>
    <t>管理，補助的経済活動を行う事業所（87協同組合）</t>
  </si>
  <si>
    <t>農林水産業協同組合（他に分類されないもの）</t>
  </si>
  <si>
    <t>管理，補助的経済活動を行う事業所（88廃棄物処理業）</t>
  </si>
  <si>
    <t>一般廃棄物処理業</t>
  </si>
  <si>
    <t>産業廃棄物処理業</t>
  </si>
  <si>
    <t>その他の廃棄物処理業</t>
  </si>
  <si>
    <t>管理，補助的経済活動を行う事業所（89自動車整備業）</t>
  </si>
  <si>
    <t>管理，補助的経済活動を行う事業所（90機械等修理業）</t>
  </si>
  <si>
    <t>機械修理業（電気機械器具を除く）</t>
  </si>
  <si>
    <t>その他の修理業</t>
  </si>
  <si>
    <t>管理，補助的経済活動を行う事業所（91職業紹介・労働者派遣業）</t>
  </si>
  <si>
    <t>管理，補助的経済活動を行う事業所（92その他の事業サービス業）</t>
  </si>
  <si>
    <t>速記・ワープロ入力・複写業</t>
  </si>
  <si>
    <t>建物サービス業</t>
  </si>
  <si>
    <t>他に分類されない事業サービス業</t>
  </si>
  <si>
    <t>経済団体</t>
  </si>
  <si>
    <t>学術・文化団体</t>
  </si>
  <si>
    <t>神道系宗教</t>
  </si>
  <si>
    <t>仏教系宗教</t>
  </si>
  <si>
    <t>キリスト教系宗教</t>
  </si>
  <si>
    <t>その他の宗教</t>
  </si>
  <si>
    <t>管理，補助的経済活動を行う事業所（95その他のサービス業）</t>
  </si>
  <si>
    <t>010</t>
  </si>
  <si>
    <t>011</t>
  </si>
  <si>
    <t>012</t>
  </si>
  <si>
    <t>013</t>
  </si>
  <si>
    <t>014</t>
  </si>
  <si>
    <t>020</t>
  </si>
  <si>
    <t>021</t>
  </si>
  <si>
    <t>022</t>
  </si>
  <si>
    <t>023</t>
  </si>
  <si>
    <t>024</t>
  </si>
  <si>
    <t>029</t>
  </si>
  <si>
    <t>030</t>
  </si>
  <si>
    <t>031</t>
  </si>
  <si>
    <t>032</t>
  </si>
  <si>
    <t>040</t>
  </si>
  <si>
    <t>041</t>
  </si>
  <si>
    <t>042</t>
  </si>
  <si>
    <t>050</t>
  </si>
  <si>
    <t>051</t>
  </si>
  <si>
    <t>052</t>
  </si>
  <si>
    <t>053</t>
  </si>
  <si>
    <t>054</t>
  </si>
  <si>
    <t>055</t>
  </si>
  <si>
    <t>059</t>
  </si>
  <si>
    <t>060</t>
  </si>
  <si>
    <t>061</t>
  </si>
  <si>
    <t>062</t>
  </si>
  <si>
    <t>063</t>
  </si>
  <si>
    <t>064</t>
  </si>
  <si>
    <t>065</t>
  </si>
  <si>
    <t>066</t>
  </si>
  <si>
    <t>070</t>
  </si>
  <si>
    <t>071</t>
  </si>
  <si>
    <t>072</t>
  </si>
  <si>
    <t>073</t>
  </si>
  <si>
    <t>074</t>
  </si>
  <si>
    <t>075</t>
  </si>
  <si>
    <t>076</t>
  </si>
  <si>
    <t>077</t>
  </si>
  <si>
    <t>078</t>
  </si>
  <si>
    <t>079</t>
  </si>
  <si>
    <t>080</t>
  </si>
  <si>
    <t>081</t>
  </si>
  <si>
    <t>082</t>
  </si>
  <si>
    <t>083</t>
  </si>
  <si>
    <t>084</t>
  </si>
  <si>
    <t>089</t>
  </si>
  <si>
    <t>090</t>
  </si>
  <si>
    <t>091</t>
  </si>
  <si>
    <t>092</t>
  </si>
  <si>
    <t>093</t>
  </si>
  <si>
    <t>094</t>
  </si>
  <si>
    <t>095</t>
  </si>
  <si>
    <t>096</t>
  </si>
  <si>
    <t>097</t>
  </si>
  <si>
    <t>098</t>
  </si>
  <si>
    <t>099</t>
  </si>
  <si>
    <t>主たる業種（中分類）</t>
    <rPh sb="0" eb="1">
      <t>シュ</t>
    </rPh>
    <rPh sb="3" eb="5">
      <t>ギョウシュ</t>
    </rPh>
    <rPh sb="6" eb="9">
      <t>チュウブンルイ</t>
    </rPh>
    <phoneticPr fontId="1"/>
  </si>
  <si>
    <t>小分類</t>
    <rPh sb="0" eb="1">
      <t>ショウ</t>
    </rPh>
    <rPh sb="1" eb="3">
      <t>ブンルイ</t>
    </rPh>
    <phoneticPr fontId="1"/>
  </si>
  <si>
    <t>主たる業種（小分類）</t>
    <rPh sb="0" eb="1">
      <t>シュ</t>
    </rPh>
    <rPh sb="3" eb="5">
      <t>ギョウシュ</t>
    </rPh>
    <rPh sb="6" eb="7">
      <t>ショウ</t>
    </rPh>
    <rPh sb="7" eb="9">
      <t>ブンルイ</t>
    </rPh>
    <phoneticPr fontId="1"/>
  </si>
  <si>
    <t>100</t>
  </si>
  <si>
    <t>101</t>
  </si>
  <si>
    <t>102</t>
  </si>
  <si>
    <t>103</t>
  </si>
  <si>
    <t>104</t>
  </si>
  <si>
    <t>105</t>
  </si>
  <si>
    <t>106</t>
  </si>
  <si>
    <t>110</t>
  </si>
  <si>
    <t>111</t>
  </si>
  <si>
    <t>112</t>
  </si>
  <si>
    <t>113</t>
  </si>
  <si>
    <t>114</t>
  </si>
  <si>
    <t>115</t>
  </si>
  <si>
    <t>116</t>
  </si>
  <si>
    <t>117</t>
  </si>
  <si>
    <t>118</t>
  </si>
  <si>
    <t>119</t>
  </si>
  <si>
    <t>120</t>
  </si>
  <si>
    <t>121</t>
  </si>
  <si>
    <t>122</t>
  </si>
  <si>
    <t>123</t>
  </si>
  <si>
    <t>129</t>
  </si>
  <si>
    <t>130</t>
  </si>
  <si>
    <t>131</t>
  </si>
  <si>
    <t>132</t>
  </si>
  <si>
    <t>133</t>
  </si>
  <si>
    <t>139</t>
  </si>
  <si>
    <t>140</t>
  </si>
  <si>
    <t>141</t>
  </si>
  <si>
    <t>142</t>
  </si>
  <si>
    <t>143</t>
  </si>
  <si>
    <t>144</t>
  </si>
  <si>
    <t>145</t>
  </si>
  <si>
    <t>149</t>
  </si>
  <si>
    <t>150</t>
  </si>
  <si>
    <t>151</t>
  </si>
  <si>
    <t>152</t>
  </si>
  <si>
    <t>153</t>
  </si>
  <si>
    <t>159</t>
  </si>
  <si>
    <t>160</t>
  </si>
  <si>
    <t>161</t>
  </si>
  <si>
    <t>162</t>
  </si>
  <si>
    <t>163</t>
  </si>
  <si>
    <t>164</t>
  </si>
  <si>
    <t>165</t>
  </si>
  <si>
    <t>166</t>
  </si>
  <si>
    <t>169</t>
  </si>
  <si>
    <t>170</t>
  </si>
  <si>
    <t>171</t>
  </si>
  <si>
    <t>172</t>
  </si>
  <si>
    <t>173</t>
  </si>
  <si>
    <t>174</t>
  </si>
  <si>
    <t>179</t>
  </si>
  <si>
    <t>180</t>
  </si>
  <si>
    <t>181</t>
  </si>
  <si>
    <t>182</t>
  </si>
  <si>
    <t>183</t>
  </si>
  <si>
    <t>184</t>
  </si>
  <si>
    <t>185</t>
  </si>
  <si>
    <t>189</t>
  </si>
  <si>
    <t>190</t>
  </si>
  <si>
    <t>191</t>
  </si>
  <si>
    <t>192</t>
  </si>
  <si>
    <t>193</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</si>
  <si>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</si>
  <si>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</si>
  <si>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</si>
  <si>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</si>
  <si>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</si>
  <si>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</si>
  <si>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</si>
  <si>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</si>
  <si>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</si>
  <si>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</si>
  <si>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</si>
  <si>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</si>
  <si>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</si>
  <si>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</si>
  <si>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</si>
  <si>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</si>
  <si>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</si>
  <si>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</si>
  <si>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</si>
  <si>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</si>
  <si>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</si>
  <si>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</si>
  <si>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</si>
  <si>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</si>
  <si>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</si>
  <si>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</si>
  <si>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</si>
  <si>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229</t>
  </si>
  <si>
    <t>230</t>
  </si>
  <si>
    <t>231</t>
  </si>
  <si>
    <t>232</t>
  </si>
  <si>
    <t>233</t>
  </si>
  <si>
    <t>234</t>
  </si>
  <si>
    <t>235</t>
  </si>
  <si>
    <t>239</t>
  </si>
  <si>
    <t>240</t>
  </si>
  <si>
    <t>241</t>
  </si>
  <si>
    <t>242</t>
  </si>
  <si>
    <t>243</t>
  </si>
  <si>
    <t>244</t>
  </si>
  <si>
    <t>245</t>
  </si>
  <si>
    <t>246</t>
  </si>
  <si>
    <t>247</t>
  </si>
  <si>
    <t>248</t>
  </si>
  <si>
    <t>249</t>
  </si>
  <si>
    <t>250</t>
  </si>
  <si>
    <t>251</t>
  </si>
  <si>
    <t>252</t>
  </si>
  <si>
    <t>253</t>
  </si>
  <si>
    <t>259</t>
  </si>
  <si>
    <t>260</t>
  </si>
  <si>
    <t>261</t>
  </si>
  <si>
    <t>262</t>
  </si>
  <si>
    <t>263</t>
  </si>
  <si>
    <t>264</t>
  </si>
  <si>
    <t>265</t>
  </si>
  <si>
    <t>266</t>
  </si>
  <si>
    <t>267</t>
  </si>
  <si>
    <t>269</t>
  </si>
  <si>
    <t>270</t>
  </si>
  <si>
    <t>271</t>
  </si>
  <si>
    <t>272</t>
  </si>
  <si>
    <t>273</t>
  </si>
  <si>
    <t>274</t>
  </si>
  <si>
    <t>275</t>
  </si>
  <si>
    <t>276</t>
  </si>
  <si>
    <t>280</t>
  </si>
  <si>
    <t>281</t>
  </si>
  <si>
    <t>282</t>
  </si>
  <si>
    <t>283</t>
  </si>
  <si>
    <t>284</t>
  </si>
  <si>
    <t>285</t>
  </si>
  <si>
    <t>289</t>
  </si>
  <si>
    <t>290</t>
  </si>
  <si>
    <t>291</t>
  </si>
  <si>
    <t>292</t>
  </si>
  <si>
    <t>293</t>
  </si>
  <si>
    <t>294</t>
  </si>
  <si>
    <t>295</t>
  </si>
  <si>
    <t>296</t>
  </si>
  <si>
    <t>297</t>
  </si>
  <si>
    <t>299</t>
  </si>
  <si>
    <t>300</t>
  </si>
  <si>
    <t>301</t>
  </si>
  <si>
    <t>302</t>
  </si>
  <si>
    <t>303</t>
  </si>
  <si>
    <t>310</t>
  </si>
  <si>
    <t>311</t>
  </si>
  <si>
    <t>312</t>
  </si>
  <si>
    <t>313</t>
  </si>
  <si>
    <t>314</t>
  </si>
  <si>
    <t>315</t>
  </si>
  <si>
    <t>319</t>
  </si>
  <si>
    <t>320</t>
  </si>
  <si>
    <t>321</t>
  </si>
  <si>
    <t>322</t>
  </si>
  <si>
    <t>323</t>
  </si>
  <si>
    <t>324</t>
  </si>
  <si>
    <t>325</t>
  </si>
  <si>
    <t>326</t>
  </si>
  <si>
    <t>327</t>
  </si>
  <si>
    <t>328</t>
  </si>
  <si>
    <t>329</t>
  </si>
  <si>
    <t>330</t>
  </si>
  <si>
    <t>331</t>
  </si>
  <si>
    <t>340</t>
  </si>
  <si>
    <t>341</t>
  </si>
  <si>
    <t>350</t>
  </si>
  <si>
    <t>351</t>
  </si>
  <si>
    <t>360</t>
  </si>
  <si>
    <t>361</t>
  </si>
  <si>
    <t>362</t>
  </si>
  <si>
    <t>363</t>
  </si>
  <si>
    <t>370</t>
  </si>
  <si>
    <t>371</t>
  </si>
  <si>
    <t>372</t>
  </si>
  <si>
    <t>373</t>
  </si>
  <si>
    <t>380</t>
  </si>
  <si>
    <t>381</t>
  </si>
  <si>
    <t>382</t>
  </si>
  <si>
    <t>383</t>
  </si>
  <si>
    <t>390</t>
  </si>
  <si>
    <t>391</t>
  </si>
  <si>
    <t>392</t>
  </si>
  <si>
    <t>400</t>
  </si>
  <si>
    <t>401</t>
  </si>
  <si>
    <t>410</t>
  </si>
  <si>
    <t>411</t>
  </si>
  <si>
    <t>412</t>
  </si>
  <si>
    <t>413</t>
  </si>
  <si>
    <t>414</t>
  </si>
  <si>
    <t>415</t>
  </si>
  <si>
    <t>416</t>
  </si>
  <si>
    <t>420</t>
  </si>
  <si>
    <t>421</t>
  </si>
  <si>
    <t>430</t>
  </si>
  <si>
    <t>431</t>
  </si>
  <si>
    <t>432</t>
  </si>
  <si>
    <t>433</t>
  </si>
  <si>
    <t>439</t>
  </si>
  <si>
    <t>440</t>
  </si>
  <si>
    <t>441</t>
  </si>
  <si>
    <t>442</t>
  </si>
  <si>
    <t>443</t>
  </si>
  <si>
    <t>444</t>
  </si>
  <si>
    <t>449</t>
  </si>
  <si>
    <t>450</t>
  </si>
  <si>
    <t>451</t>
  </si>
  <si>
    <t>452</t>
  </si>
  <si>
    <t>453</t>
  </si>
  <si>
    <t>454</t>
  </si>
  <si>
    <t>460</t>
  </si>
  <si>
    <t>461</t>
  </si>
  <si>
    <t>462</t>
  </si>
  <si>
    <t>470</t>
  </si>
  <si>
    <t>471</t>
  </si>
  <si>
    <t>472</t>
  </si>
  <si>
    <t>480</t>
  </si>
  <si>
    <t>481</t>
  </si>
  <si>
    <t>482</t>
  </si>
  <si>
    <t>483</t>
  </si>
  <si>
    <t>484</t>
  </si>
  <si>
    <t>485</t>
  </si>
  <si>
    <t>489</t>
  </si>
  <si>
    <t>490</t>
  </si>
  <si>
    <t>491</t>
  </si>
  <si>
    <t>500</t>
  </si>
  <si>
    <t>501</t>
  </si>
  <si>
    <t>510</t>
  </si>
  <si>
    <t>511</t>
  </si>
  <si>
    <t>512</t>
  </si>
  <si>
    <t>513</t>
  </si>
  <si>
    <t>520</t>
  </si>
  <si>
    <t>521</t>
  </si>
  <si>
    <t>522</t>
  </si>
  <si>
    <t>530</t>
  </si>
  <si>
    <t>531</t>
  </si>
  <si>
    <t>532</t>
  </si>
  <si>
    <t>533</t>
  </si>
  <si>
    <t>534</t>
  </si>
  <si>
    <t>535</t>
  </si>
  <si>
    <t>536</t>
  </si>
  <si>
    <t>540</t>
  </si>
  <si>
    <t>541</t>
  </si>
  <si>
    <t>542</t>
  </si>
  <si>
    <t>543</t>
  </si>
  <si>
    <t>549</t>
  </si>
  <si>
    <t>550</t>
  </si>
  <si>
    <t>551</t>
  </si>
  <si>
    <t>552</t>
  </si>
  <si>
    <t>553</t>
  </si>
  <si>
    <t>559</t>
  </si>
  <si>
    <t>560</t>
  </si>
  <si>
    <t>561</t>
  </si>
  <si>
    <t>569</t>
  </si>
  <si>
    <t>570</t>
  </si>
  <si>
    <t>571</t>
  </si>
  <si>
    <t>572</t>
  </si>
  <si>
    <t>573</t>
  </si>
  <si>
    <t>574</t>
  </si>
  <si>
    <t>579</t>
  </si>
  <si>
    <t>580</t>
  </si>
  <si>
    <t>581</t>
  </si>
  <si>
    <t>582</t>
  </si>
  <si>
    <t>583</t>
  </si>
  <si>
    <t>584</t>
  </si>
  <si>
    <t>585</t>
  </si>
  <si>
    <t>586</t>
  </si>
  <si>
    <t>589</t>
  </si>
  <si>
    <t>590</t>
  </si>
  <si>
    <t>591</t>
  </si>
  <si>
    <t>592</t>
  </si>
  <si>
    <t>593</t>
  </si>
  <si>
    <t>600</t>
  </si>
  <si>
    <t>601</t>
  </si>
  <si>
    <t>602</t>
  </si>
  <si>
    <t>603</t>
  </si>
  <si>
    <t>604</t>
  </si>
  <si>
    <t>605</t>
  </si>
  <si>
    <t>606</t>
  </si>
  <si>
    <t>607</t>
  </si>
  <si>
    <t>608</t>
  </si>
  <si>
    <t>609</t>
  </si>
  <si>
    <t>610</t>
  </si>
  <si>
    <t>611</t>
  </si>
  <si>
    <t>612</t>
  </si>
  <si>
    <t>619</t>
  </si>
  <si>
    <t>620</t>
  </si>
  <si>
    <t>621</t>
  </si>
  <si>
    <t>622</t>
  </si>
  <si>
    <t>630</t>
  </si>
  <si>
    <t>631</t>
  </si>
  <si>
    <t>632</t>
  </si>
  <si>
    <t>640</t>
  </si>
  <si>
    <t>641</t>
  </si>
  <si>
    <t>642</t>
  </si>
  <si>
    <t>643</t>
  </si>
  <si>
    <t>649</t>
  </si>
  <si>
    <t>650</t>
  </si>
  <si>
    <t>651</t>
  </si>
  <si>
    <t>652</t>
  </si>
  <si>
    <t>660</t>
  </si>
  <si>
    <t>661</t>
  </si>
  <si>
    <t>662</t>
  </si>
  <si>
    <t>663</t>
  </si>
  <si>
    <t>670</t>
  </si>
  <si>
    <t>671</t>
  </si>
  <si>
    <t>672</t>
  </si>
  <si>
    <t>673</t>
  </si>
  <si>
    <t>674</t>
  </si>
  <si>
    <t>675</t>
  </si>
  <si>
    <t>680</t>
  </si>
  <si>
    <t>681</t>
  </si>
  <si>
    <t>682</t>
  </si>
  <si>
    <t>690</t>
  </si>
  <si>
    <t>691</t>
  </si>
  <si>
    <t>692</t>
  </si>
  <si>
    <t>693</t>
  </si>
  <si>
    <t>694</t>
  </si>
  <si>
    <t>700</t>
  </si>
  <si>
    <t>701</t>
  </si>
  <si>
    <t>702</t>
  </si>
  <si>
    <t>703</t>
  </si>
  <si>
    <t>704</t>
  </si>
  <si>
    <t>705</t>
  </si>
  <si>
    <t>709</t>
  </si>
  <si>
    <t>710</t>
  </si>
  <si>
    <t>711</t>
  </si>
  <si>
    <t>712</t>
  </si>
  <si>
    <t>720</t>
  </si>
  <si>
    <t>721</t>
  </si>
  <si>
    <t>722</t>
  </si>
  <si>
    <t>723</t>
  </si>
  <si>
    <t>724</t>
  </si>
  <si>
    <t>725</t>
  </si>
  <si>
    <t>726</t>
  </si>
  <si>
    <t>727</t>
  </si>
  <si>
    <t>728</t>
  </si>
  <si>
    <t>729</t>
  </si>
  <si>
    <t>730</t>
  </si>
  <si>
    <t>731</t>
  </si>
  <si>
    <t>740</t>
  </si>
  <si>
    <t>741</t>
  </si>
  <si>
    <t>742</t>
  </si>
  <si>
    <t>743</t>
  </si>
  <si>
    <t>744</t>
  </si>
  <si>
    <t>745</t>
  </si>
  <si>
    <t>746</t>
  </si>
  <si>
    <t>749</t>
  </si>
  <si>
    <t>750</t>
  </si>
  <si>
    <t>751</t>
  </si>
  <si>
    <t>752</t>
  </si>
  <si>
    <t>753</t>
  </si>
  <si>
    <t>759</t>
  </si>
  <si>
    <t>760</t>
  </si>
  <si>
    <t>761</t>
  </si>
  <si>
    <t>762</t>
  </si>
  <si>
    <t>763</t>
  </si>
  <si>
    <t>764</t>
  </si>
  <si>
    <t>765</t>
  </si>
  <si>
    <t>766</t>
  </si>
  <si>
    <t>767</t>
  </si>
  <si>
    <t>769</t>
  </si>
  <si>
    <t>770</t>
  </si>
  <si>
    <t>771</t>
  </si>
  <si>
    <t>772</t>
  </si>
  <si>
    <t>780</t>
  </si>
  <si>
    <t>781</t>
  </si>
  <si>
    <t>782</t>
  </si>
  <si>
    <t>783</t>
  </si>
  <si>
    <t>784</t>
  </si>
  <si>
    <t>785</t>
  </si>
  <si>
    <t>789</t>
  </si>
  <si>
    <t>790</t>
  </si>
  <si>
    <t>791</t>
  </si>
  <si>
    <t>792</t>
  </si>
  <si>
    <t>793</t>
  </si>
  <si>
    <t>794</t>
  </si>
  <si>
    <t>795</t>
  </si>
  <si>
    <t>796</t>
  </si>
  <si>
    <t>799</t>
  </si>
  <si>
    <t>800</t>
  </si>
  <si>
    <t>801</t>
  </si>
  <si>
    <t>802</t>
  </si>
  <si>
    <t>803</t>
  </si>
  <si>
    <t>804</t>
  </si>
  <si>
    <t>805</t>
  </si>
  <si>
    <t>806</t>
  </si>
  <si>
    <t>809</t>
  </si>
  <si>
    <t>810</t>
  </si>
  <si>
    <t>811</t>
  </si>
  <si>
    <t>812</t>
  </si>
  <si>
    <t>813</t>
  </si>
  <si>
    <t>814</t>
  </si>
  <si>
    <t>815</t>
  </si>
  <si>
    <t>816</t>
  </si>
  <si>
    <t>817</t>
  </si>
  <si>
    <t>818</t>
  </si>
  <si>
    <t>819</t>
  </si>
  <si>
    <t>820</t>
  </si>
  <si>
    <t>821</t>
  </si>
  <si>
    <t>822</t>
  </si>
  <si>
    <t>823</t>
  </si>
  <si>
    <t>824</t>
  </si>
  <si>
    <t>829</t>
  </si>
  <si>
    <t>830</t>
  </si>
  <si>
    <t>831</t>
  </si>
  <si>
    <t>832</t>
  </si>
  <si>
    <t>833</t>
  </si>
  <si>
    <t>834</t>
  </si>
  <si>
    <t>835</t>
  </si>
  <si>
    <t>836</t>
  </si>
  <si>
    <t>840</t>
  </si>
  <si>
    <t>841</t>
  </si>
  <si>
    <t>842</t>
  </si>
  <si>
    <t>849</t>
  </si>
  <si>
    <t>850</t>
  </si>
  <si>
    <t>851</t>
  </si>
  <si>
    <t>852</t>
  </si>
  <si>
    <t>853</t>
  </si>
  <si>
    <t>854</t>
  </si>
  <si>
    <t>855</t>
  </si>
  <si>
    <t>859</t>
  </si>
  <si>
    <t>860</t>
  </si>
  <si>
    <t>861</t>
  </si>
  <si>
    <t>862</t>
  </si>
  <si>
    <t>870</t>
  </si>
  <si>
    <t>871</t>
  </si>
  <si>
    <t>872</t>
  </si>
  <si>
    <t>880</t>
  </si>
  <si>
    <t>881</t>
  </si>
  <si>
    <t>882</t>
  </si>
  <si>
    <t>889</t>
  </si>
  <si>
    <t>890</t>
  </si>
  <si>
    <t>891</t>
  </si>
  <si>
    <t>900</t>
  </si>
  <si>
    <t>901</t>
  </si>
  <si>
    <t>902</t>
  </si>
  <si>
    <t>903</t>
  </si>
  <si>
    <t>909</t>
  </si>
  <si>
    <t>910</t>
  </si>
  <si>
    <t>911</t>
  </si>
  <si>
    <t>912</t>
  </si>
  <si>
    <t>920</t>
  </si>
  <si>
    <t>921</t>
  </si>
  <si>
    <t>922</t>
  </si>
  <si>
    <t>923</t>
  </si>
  <si>
    <t>929</t>
  </si>
  <si>
    <t>931</t>
  </si>
  <si>
    <t>932</t>
  </si>
  <si>
    <t>933</t>
  </si>
  <si>
    <t>934</t>
  </si>
  <si>
    <t>939</t>
  </si>
  <si>
    <t>941</t>
  </si>
  <si>
    <t>942</t>
  </si>
  <si>
    <t>943</t>
  </si>
  <si>
    <t>949</t>
  </si>
  <si>
    <t>950</t>
  </si>
  <si>
    <t>951</t>
  </si>
  <si>
    <t>952</t>
  </si>
  <si>
    <t>959</t>
  </si>
  <si>
    <t>961</t>
  </si>
  <si>
    <t>969</t>
  </si>
  <si>
    <t>971</t>
  </si>
  <si>
    <t>972</t>
  </si>
  <si>
    <t>973</t>
  </si>
  <si>
    <t>981</t>
  </si>
  <si>
    <t>982</t>
  </si>
  <si>
    <t>999</t>
  </si>
  <si>
    <t>エネルギー管理推進体制の整備</t>
  </si>
  <si>
    <t>エネルギー使用量の把握</t>
  </si>
  <si>
    <t>省エネルギー教育の実施</t>
  </si>
  <si>
    <t>空調設定温度の管理</t>
  </si>
  <si>
    <t>エコドライブ実践</t>
  </si>
  <si>
    <t>　下記の者を代理人と定め、仙台市地球温暖化対策等の推進に関する条例第10条及び第11条に基づく手続きに関する一切の権限を委任します。</t>
    <rPh sb="1" eb="3">
      <t>カキ</t>
    </rPh>
    <rPh sb="4" eb="5">
      <t>モノ</t>
    </rPh>
    <rPh sb="6" eb="9">
      <t>ダイリニン</t>
    </rPh>
    <rPh sb="10" eb="11">
      <t>サダ</t>
    </rPh>
    <rPh sb="13" eb="24">
      <t>センダイシチキュウオンダンカタイサクナド</t>
    </rPh>
    <rPh sb="25" eb="27">
      <t>スイシン</t>
    </rPh>
    <rPh sb="28" eb="29">
      <t>カン</t>
    </rPh>
    <rPh sb="31" eb="34">
      <t>ジョウレイダイ</t>
    </rPh>
    <rPh sb="36" eb="37">
      <t>ジョウ</t>
    </rPh>
    <rPh sb="37" eb="38">
      <t>オヨ</t>
    </rPh>
    <rPh sb="39" eb="40">
      <t>ダイ</t>
    </rPh>
    <rPh sb="42" eb="43">
      <t>ジョウ</t>
    </rPh>
    <rPh sb="44" eb="45">
      <t>モト</t>
    </rPh>
    <rPh sb="47" eb="49">
      <t>テツヅ</t>
    </rPh>
    <rPh sb="51" eb="52">
      <t>カン</t>
    </rPh>
    <rPh sb="54" eb="56">
      <t>イッサイ</t>
    </rPh>
    <rPh sb="57" eb="59">
      <t>ケンゲン</t>
    </rPh>
    <rPh sb="60" eb="62">
      <t>イニン</t>
    </rPh>
    <phoneticPr fontId="3"/>
  </si>
  <si>
    <t>　仙台市地球温暖化対策等の推進に関する条例第10条第1項の規定により、別紙のとおり事業者温室効果ガス削減計画書を提出します。</t>
    <rPh sb="1" eb="12">
      <t>センダイシチキュウオンダンカタイサクナド</t>
    </rPh>
    <rPh sb="13" eb="15">
      <t>スイシン</t>
    </rPh>
    <rPh sb="16" eb="17">
      <t>カン</t>
    </rPh>
    <rPh sb="19" eb="22">
      <t>ジョウレイダイ</t>
    </rPh>
    <rPh sb="24" eb="25">
      <t>ジョウ</t>
    </rPh>
    <rPh sb="25" eb="26">
      <t>ダイ</t>
    </rPh>
    <rPh sb="27" eb="28">
      <t>コウ</t>
    </rPh>
    <rPh sb="35" eb="37">
      <t>ベッシ</t>
    </rPh>
    <rPh sb="41" eb="48">
      <t>ジギョウシャオンシツコウカ</t>
    </rPh>
    <rPh sb="50" eb="52">
      <t>サクゲン</t>
    </rPh>
    <rPh sb="52" eb="55">
      <t>ケイカクショ</t>
    </rPh>
    <phoneticPr fontId="3"/>
  </si>
  <si>
    <t>削減率</t>
    <rPh sb="0" eb="2">
      <t>サクゲン</t>
    </rPh>
    <rPh sb="2" eb="3">
      <t>リツ</t>
    </rPh>
    <phoneticPr fontId="1"/>
  </si>
  <si>
    <t>基準排出量</t>
    <rPh sb="0" eb="2">
      <t>キジュン</t>
    </rPh>
    <phoneticPr fontId="1"/>
  </si>
  <si>
    <t>目標排出量</t>
    <rPh sb="0" eb="2">
      <t>モクヒョウ</t>
    </rPh>
    <phoneticPr fontId="1"/>
  </si>
  <si>
    <t>基準原単位</t>
    <rPh sb="0" eb="2">
      <t>キジュン</t>
    </rPh>
    <phoneticPr fontId="1"/>
  </si>
  <si>
    <t>①原油換算エネルギー使用量が1,500kL以上の事業所
　　（条例第2条第5号イに該当する特定事業者）</t>
    <rPh sb="31" eb="33">
      <t>ジョウレイ</t>
    </rPh>
    <rPh sb="33" eb="34">
      <t>ダイ</t>
    </rPh>
    <rPh sb="35" eb="36">
      <t>ジョウ</t>
    </rPh>
    <rPh sb="36" eb="37">
      <t>ダイ</t>
    </rPh>
    <rPh sb="38" eb="39">
      <t>ゴウ</t>
    </rPh>
    <rPh sb="41" eb="43">
      <t>ガイトウ</t>
    </rPh>
    <rPh sb="45" eb="47">
      <t>トクテイ</t>
    </rPh>
    <rPh sb="47" eb="50">
      <t>ジギョウシャ</t>
    </rPh>
    <phoneticPr fontId="1"/>
  </si>
  <si>
    <t>③市内に100台以上の自動車を所有する運送事業者
　　（条例第2条第5号ハに該当する特定事業者）</t>
    <phoneticPr fontId="1"/>
  </si>
  <si>
    <t>該当要件</t>
    <rPh sb="0" eb="2">
      <t>ガイトウ</t>
    </rPh>
    <rPh sb="2" eb="4">
      <t>ヨウケン</t>
    </rPh>
    <phoneticPr fontId="1"/>
  </si>
  <si>
    <t>条例第２条第５号イ</t>
    <rPh sb="0" eb="2">
      <t>ジョウレイ</t>
    </rPh>
    <rPh sb="2" eb="3">
      <t>ダイ</t>
    </rPh>
    <rPh sb="4" eb="5">
      <t>ジョウ</t>
    </rPh>
    <rPh sb="5" eb="6">
      <t>ダイ</t>
    </rPh>
    <rPh sb="7" eb="8">
      <t>ゴウ</t>
    </rPh>
    <phoneticPr fontId="1"/>
  </si>
  <si>
    <t>条例第２条第５号ロ</t>
    <rPh sb="0" eb="2">
      <t>ジョウレイ</t>
    </rPh>
    <rPh sb="2" eb="3">
      <t>ダイ</t>
    </rPh>
    <rPh sb="4" eb="5">
      <t>ジョウ</t>
    </rPh>
    <rPh sb="5" eb="6">
      <t>ダイ</t>
    </rPh>
    <rPh sb="7" eb="8">
      <t>ゴウ</t>
    </rPh>
    <phoneticPr fontId="1"/>
  </si>
  <si>
    <t>条例第２条第５号ハ</t>
    <rPh sb="0" eb="2">
      <t>ジョウレイ</t>
    </rPh>
    <rPh sb="2" eb="3">
      <t>ダイ</t>
    </rPh>
    <rPh sb="4" eb="5">
      <t>ジョウ</t>
    </rPh>
    <rPh sb="5" eb="6">
      <t>ダイ</t>
    </rPh>
    <rPh sb="7" eb="8">
      <t>ゴウ</t>
    </rPh>
    <phoneticPr fontId="1"/>
  </si>
  <si>
    <t>①原油換算エネルギー使用量が1,500kL以上の事業所
　</t>
    <phoneticPr fontId="1"/>
  </si>
  <si>
    <t>③市内に100台以上の自動車を所有する運送事業者</t>
    <phoneticPr fontId="1"/>
  </si>
  <si>
    <t>条例第2条第5号イに該当する特定事業者</t>
    <rPh sb="0" eb="2">
      <t>ジョウレイ</t>
    </rPh>
    <rPh sb="2" eb="3">
      <t>ダイ</t>
    </rPh>
    <rPh sb="4" eb="5">
      <t>ジョウ</t>
    </rPh>
    <rPh sb="5" eb="6">
      <t>ダイ</t>
    </rPh>
    <rPh sb="7" eb="8">
      <t>ゴウ</t>
    </rPh>
    <rPh sb="10" eb="12">
      <t>ガイトウ</t>
    </rPh>
    <rPh sb="14" eb="16">
      <t>トクテイ</t>
    </rPh>
    <rPh sb="16" eb="19">
      <t>ジギョウシャ</t>
    </rPh>
    <phoneticPr fontId="1"/>
  </si>
  <si>
    <t>事業者の該当要件</t>
    <rPh sb="0" eb="3">
      <t>ジギョウシャ</t>
    </rPh>
    <rPh sb="4" eb="6">
      <t>ガイトウ</t>
    </rPh>
    <rPh sb="6" eb="8">
      <t>ヨウケン</t>
    </rPh>
    <phoneticPr fontId="1"/>
  </si>
  <si>
    <t>条例第2条第5号ロに該当する特定事業者</t>
    <phoneticPr fontId="1"/>
  </si>
  <si>
    <t>条例第2条第5号ハに該当する特定事業者</t>
    <phoneticPr fontId="1"/>
  </si>
  <si>
    <t>その他の対策の
実施計画</t>
    <rPh sb="4" eb="6">
      <t>タイサク</t>
    </rPh>
    <phoneticPr fontId="3"/>
  </si>
  <si>
    <t>事業者温室効果ガス削減計画書　提出書</t>
    <rPh sb="0" eb="3">
      <t>ジギョウシャ</t>
    </rPh>
    <rPh sb="3" eb="5">
      <t>オンシツ</t>
    </rPh>
    <rPh sb="5" eb="7">
      <t>コウカ</t>
    </rPh>
    <rPh sb="9" eb="11">
      <t>サクゲン</t>
    </rPh>
    <rPh sb="11" eb="13">
      <t>ケイカク</t>
    </rPh>
    <rPh sb="13" eb="14">
      <t>ショ</t>
    </rPh>
    <rPh sb="15" eb="17">
      <t>テイシュツ</t>
    </rPh>
    <rPh sb="17" eb="18">
      <t>ショ</t>
    </rPh>
    <phoneticPr fontId="1"/>
  </si>
  <si>
    <t>事業者温室効果ガス削減報告書　提出書</t>
    <rPh sb="0" eb="3">
      <t>ジギョウシャ</t>
    </rPh>
    <rPh sb="3" eb="5">
      <t>オンシツ</t>
    </rPh>
    <rPh sb="5" eb="7">
      <t>コウカ</t>
    </rPh>
    <rPh sb="9" eb="11">
      <t>サクゲン</t>
    </rPh>
    <rPh sb="11" eb="13">
      <t>ホウコク</t>
    </rPh>
    <rPh sb="13" eb="14">
      <t>ショ</t>
    </rPh>
    <rPh sb="15" eb="17">
      <t>テイシュツ</t>
    </rPh>
    <rPh sb="17" eb="18">
      <t>ショ</t>
    </rPh>
    <phoneticPr fontId="1"/>
  </si>
  <si>
    <t>　仙台市地球温暖化対策等の推進に関する条例第11条第1項の規定により、別紙のとおり事業者温室効果ガス削減報告書を提出します。</t>
    <rPh sb="1" eb="12">
      <t>センダイシチキュウオンダンカタイサクナド</t>
    </rPh>
    <rPh sb="13" eb="15">
      <t>スイシン</t>
    </rPh>
    <rPh sb="16" eb="17">
      <t>カン</t>
    </rPh>
    <rPh sb="19" eb="22">
      <t>ジョウレイダイ</t>
    </rPh>
    <rPh sb="24" eb="25">
      <t>ジョウ</t>
    </rPh>
    <rPh sb="25" eb="26">
      <t>ダイ</t>
    </rPh>
    <rPh sb="27" eb="28">
      <t>コウ</t>
    </rPh>
    <rPh sb="35" eb="37">
      <t>ベッシ</t>
    </rPh>
    <rPh sb="41" eb="48">
      <t>ジギョウシャオンシツコウカ</t>
    </rPh>
    <rPh sb="50" eb="52">
      <t>サクゲン</t>
    </rPh>
    <rPh sb="52" eb="55">
      <t>ホウコクショ</t>
    </rPh>
    <phoneticPr fontId="3"/>
  </si>
  <si>
    <t>③市内に100台以上の自動車を所有する運送事業者
　　（条例第2条第5号ハに該当する特定事業者）</t>
  </si>
  <si>
    <t>連絡先</t>
    <phoneticPr fontId="3"/>
  </si>
  <si>
    <t>住所</t>
    <rPh sb="0" eb="2">
      <t>ジュウショ</t>
    </rPh>
    <phoneticPr fontId="3"/>
  </si>
  <si>
    <t>電話番号</t>
    <phoneticPr fontId="3"/>
  </si>
  <si>
    <t>メールアドレス</t>
    <phoneticPr fontId="3"/>
  </si>
  <si>
    <t>主たる事業</t>
    <phoneticPr fontId="3"/>
  </si>
  <si>
    <t>２　温室効果ガスの排出状況等</t>
    <rPh sb="2" eb="4">
      <t>オンシツ</t>
    </rPh>
    <rPh sb="4" eb="6">
      <t>コウカ</t>
    </rPh>
    <rPh sb="13" eb="14">
      <t>ナド</t>
    </rPh>
    <phoneticPr fontId="3"/>
  </si>
  <si>
    <t>％</t>
    <phoneticPr fontId="1"/>
  </si>
  <si>
    <t>温室効果ガスの
排出状況</t>
    <rPh sb="0" eb="2">
      <t>オンシツ</t>
    </rPh>
    <rPh sb="2" eb="4">
      <t>コウカ</t>
    </rPh>
    <rPh sb="8" eb="10">
      <t>ハイシュツ</t>
    </rPh>
    <rPh sb="10" eb="12">
      <t>ジョウキョウ</t>
    </rPh>
    <phoneticPr fontId="1"/>
  </si>
  <si>
    <t>第１年度</t>
    <rPh sb="0" eb="1">
      <t>ダイ</t>
    </rPh>
    <rPh sb="2" eb="4">
      <t>ネンド</t>
    </rPh>
    <phoneticPr fontId="1"/>
  </si>
  <si>
    <t>排出量</t>
    <phoneticPr fontId="1"/>
  </si>
  <si>
    <t>排出原単位</t>
    <rPh sb="0" eb="2">
      <t>ハイシュツ</t>
    </rPh>
    <phoneticPr fontId="1"/>
  </si>
  <si>
    <t>排出量等の
増減理由</t>
    <phoneticPr fontId="1"/>
  </si>
  <si>
    <t>排出量等の
増減理由</t>
    <phoneticPr fontId="1"/>
  </si>
  <si>
    <t>第２年度</t>
    <rPh sb="0" eb="1">
      <t>ダイ</t>
    </rPh>
    <rPh sb="2" eb="4">
      <t>ネンド</t>
    </rPh>
    <phoneticPr fontId="1"/>
  </si>
  <si>
    <t>第３年度</t>
    <rPh sb="0" eb="1">
      <t>ダイ</t>
    </rPh>
    <rPh sb="2" eb="4">
      <t>ネンド</t>
    </rPh>
    <phoneticPr fontId="1"/>
  </si>
  <si>
    <t>基準年度</t>
    <rPh sb="0" eb="2">
      <t>キジュン</t>
    </rPh>
    <rPh sb="2" eb="4">
      <t>ネンド</t>
    </rPh>
    <phoneticPr fontId="1"/>
  </si>
  <si>
    <t>第１年度</t>
    <phoneticPr fontId="1"/>
  </si>
  <si>
    <t>第２年度</t>
  </si>
  <si>
    <t>第３年度</t>
  </si>
  <si>
    <t>実施状況</t>
    <rPh sb="0" eb="2">
      <t>ジッシ</t>
    </rPh>
    <rPh sb="2" eb="4">
      <t>ジョウキョウ</t>
    </rPh>
    <phoneticPr fontId="1"/>
  </si>
  <si>
    <t>その他の対策の
実施状況</t>
    <rPh sb="4" eb="6">
      <t>タイサク</t>
    </rPh>
    <rPh sb="8" eb="10">
      <t>ジッシ</t>
    </rPh>
    <rPh sb="10" eb="12">
      <t>ジョウキョウ</t>
    </rPh>
    <phoneticPr fontId="3"/>
  </si>
  <si>
    <t>評価点</t>
    <rPh sb="0" eb="2">
      <t>ヒョウカ</t>
    </rPh>
    <rPh sb="2" eb="3">
      <t>テン</t>
    </rPh>
    <phoneticPr fontId="1"/>
  </si>
  <si>
    <t>排出量</t>
    <rPh sb="0" eb="2">
      <t>ハイシュツ</t>
    </rPh>
    <rPh sb="2" eb="3">
      <t>リョウ</t>
    </rPh>
    <phoneticPr fontId="1"/>
  </si>
  <si>
    <t>原単位</t>
    <rPh sb="0" eb="3">
      <t>ゲンタンイ</t>
    </rPh>
    <phoneticPr fontId="1"/>
  </si>
  <si>
    <t>GJ</t>
    <phoneticPr fontId="1"/>
  </si>
  <si>
    <t>基本対策</t>
    <rPh sb="0" eb="2">
      <t>キホン</t>
    </rPh>
    <rPh sb="2" eb="4">
      <t>タイサク</t>
    </rPh>
    <phoneticPr fontId="1"/>
  </si>
  <si>
    <t>環境マネジメントシステムの導入</t>
  </si>
  <si>
    <t>従業員の自動車利用の抑制、公共交通機関の利用促進</t>
  </si>
  <si>
    <t>廃棄物削減対策の実施</t>
  </si>
  <si>
    <t>森林の保全・緑化の推進</t>
  </si>
  <si>
    <t>グリーン調達の実施</t>
  </si>
  <si>
    <t>カーボンオフセットの実施</t>
  </si>
  <si>
    <t>ヒートアイランド対策の実施</t>
  </si>
  <si>
    <t>計画期間以前の温室効果ガスの大幅な削減</t>
  </si>
  <si>
    <t>市が実施する環境関連事業への参画</t>
  </si>
  <si>
    <t>その他地球温暖化を防止する対策の実施</t>
  </si>
  <si>
    <t>目標年度</t>
    <rPh sb="0" eb="2">
      <t>モクヒョウ</t>
    </rPh>
    <rPh sb="2" eb="4">
      <t>ネンド</t>
    </rPh>
    <phoneticPr fontId="1"/>
  </si>
  <si>
    <t>定量項目</t>
    <rPh sb="0" eb="2">
      <t>テイリョウ</t>
    </rPh>
    <rPh sb="2" eb="4">
      <t>コウモク</t>
    </rPh>
    <phoneticPr fontId="1"/>
  </si>
  <si>
    <t>定性項目</t>
    <rPh sb="0" eb="4">
      <t>テイセイコウモク</t>
    </rPh>
    <phoneticPr fontId="1"/>
  </si>
  <si>
    <t>評価項目</t>
    <rPh sb="0" eb="2">
      <t>ヒョウカ</t>
    </rPh>
    <rPh sb="2" eb="4">
      <t>コウモク</t>
    </rPh>
    <phoneticPr fontId="1"/>
  </si>
  <si>
    <t>評価</t>
    <rPh sb="0" eb="2">
      <t>ヒョウカ</t>
    </rPh>
    <phoneticPr fontId="1"/>
  </si>
  <si>
    <t>S</t>
    <phoneticPr fontId="1"/>
  </si>
  <si>
    <t>A</t>
    <phoneticPr fontId="1"/>
  </si>
  <si>
    <t>B</t>
    <phoneticPr fontId="1"/>
  </si>
  <si>
    <t>以上</t>
    <rPh sb="0" eb="2">
      <t>イジョウ</t>
    </rPh>
    <phoneticPr fontId="1"/>
  </si>
  <si>
    <t>未満</t>
    <rPh sb="0" eb="2">
      <t>ミマン</t>
    </rPh>
    <phoneticPr fontId="1"/>
  </si>
  <si>
    <t>実施済</t>
  </si>
  <si>
    <t>基本対策</t>
    <rPh sb="0" eb="2">
      <t>キホン</t>
    </rPh>
    <rPh sb="2" eb="4">
      <t>タイサク</t>
    </rPh>
    <phoneticPr fontId="2"/>
  </si>
  <si>
    <t>選択対策</t>
    <rPh sb="0" eb="2">
      <t>センタク</t>
    </rPh>
    <rPh sb="2" eb="4">
      <t>タイサク</t>
    </rPh>
    <phoneticPr fontId="2"/>
  </si>
  <si>
    <t>その他対策</t>
    <rPh sb="2" eb="3">
      <t>タ</t>
    </rPh>
    <rPh sb="3" eb="5">
      <t>タイサク</t>
    </rPh>
    <phoneticPr fontId="2"/>
  </si>
  <si>
    <t>環境教育・学習の実施（従業員以外を対象にしたもの）</t>
  </si>
  <si>
    <t>全選択項目</t>
    <rPh sb="0" eb="3">
      <t>ゼンセンタク</t>
    </rPh>
    <rPh sb="3" eb="5">
      <t>コウモク</t>
    </rPh>
    <phoneticPr fontId="1"/>
  </si>
  <si>
    <t>リスト候補</t>
    <rPh sb="3" eb="5">
      <t>コウホ</t>
    </rPh>
    <phoneticPr fontId="1"/>
  </si>
  <si>
    <t>第3年度選択項目</t>
    <rPh sb="0" eb="1">
      <t>ダイ</t>
    </rPh>
    <rPh sb="2" eb="4">
      <t>ネンド</t>
    </rPh>
    <rPh sb="4" eb="8">
      <t>センタクコウモク</t>
    </rPh>
    <phoneticPr fontId="1"/>
  </si>
  <si>
    <t>第2年度選択項目</t>
    <rPh sb="0" eb="1">
      <t>ダイ</t>
    </rPh>
    <rPh sb="2" eb="4">
      <t>ネンド</t>
    </rPh>
    <rPh sb="4" eb="8">
      <t>センタクコウモク</t>
    </rPh>
    <phoneticPr fontId="1"/>
  </si>
  <si>
    <t>第1年度選択項目</t>
    <rPh sb="0" eb="1">
      <t>ダイ</t>
    </rPh>
    <rPh sb="2" eb="4">
      <t>ネンド</t>
    </rPh>
    <rPh sb="4" eb="8">
      <t>センタクコウモク</t>
    </rPh>
    <phoneticPr fontId="1"/>
  </si>
  <si>
    <t>一部実施済</t>
  </si>
  <si>
    <t>未実施</t>
  </si>
  <si>
    <t>第１年度追加（選択対策）</t>
    <rPh sb="0" eb="1">
      <t>ダイ</t>
    </rPh>
    <rPh sb="2" eb="4">
      <t>ネンド</t>
    </rPh>
    <rPh sb="4" eb="6">
      <t>ツイカ</t>
    </rPh>
    <rPh sb="7" eb="9">
      <t>センタク</t>
    </rPh>
    <rPh sb="9" eb="11">
      <t>タイサク</t>
    </rPh>
    <phoneticPr fontId="1"/>
  </si>
  <si>
    <t>第１年度追加（その他の対策）</t>
    <rPh sb="0" eb="1">
      <t>ダイ</t>
    </rPh>
    <rPh sb="2" eb="4">
      <t>ネンド</t>
    </rPh>
    <rPh sb="4" eb="6">
      <t>ツイカ</t>
    </rPh>
    <rPh sb="9" eb="10">
      <t>タ</t>
    </rPh>
    <rPh sb="11" eb="13">
      <t>タイサク</t>
    </rPh>
    <phoneticPr fontId="1"/>
  </si>
  <si>
    <t>第２年度追加（選択対策）</t>
    <rPh sb="0" eb="1">
      <t>ダイ</t>
    </rPh>
    <rPh sb="2" eb="4">
      <t>ネンド</t>
    </rPh>
    <rPh sb="4" eb="6">
      <t>ツイカ</t>
    </rPh>
    <rPh sb="7" eb="9">
      <t>センタク</t>
    </rPh>
    <rPh sb="9" eb="11">
      <t>タイサク</t>
    </rPh>
    <phoneticPr fontId="1"/>
  </si>
  <si>
    <t>第２年度追加（その他の対策）</t>
    <rPh sb="0" eb="1">
      <t>ダイ</t>
    </rPh>
    <rPh sb="2" eb="4">
      <t>ネンド</t>
    </rPh>
    <rPh sb="4" eb="6">
      <t>ツイカ</t>
    </rPh>
    <rPh sb="9" eb="10">
      <t>タ</t>
    </rPh>
    <rPh sb="11" eb="13">
      <t>タイサク</t>
    </rPh>
    <phoneticPr fontId="1"/>
  </si>
  <si>
    <t>第３年度追加（選択対策）</t>
    <rPh sb="0" eb="1">
      <t>ダイ</t>
    </rPh>
    <rPh sb="2" eb="4">
      <t>ネンド</t>
    </rPh>
    <rPh sb="4" eb="6">
      <t>ツイカ</t>
    </rPh>
    <rPh sb="7" eb="9">
      <t>センタク</t>
    </rPh>
    <rPh sb="9" eb="11">
      <t>タイサク</t>
    </rPh>
    <phoneticPr fontId="1"/>
  </si>
  <si>
    <t>第３年度追加（その他の対策）</t>
    <rPh sb="0" eb="1">
      <t>ダイ</t>
    </rPh>
    <rPh sb="2" eb="4">
      <t>ネンド</t>
    </rPh>
    <rPh sb="4" eb="6">
      <t>ツイカ</t>
    </rPh>
    <rPh sb="9" eb="10">
      <t>タ</t>
    </rPh>
    <rPh sb="11" eb="13">
      <t>タイサク</t>
    </rPh>
    <phoneticPr fontId="1"/>
  </si>
  <si>
    <t>第2年度</t>
  </si>
  <si>
    <t>第3年度</t>
  </si>
  <si>
    <t>全その他項目</t>
    <rPh sb="0" eb="1">
      <t>ゼン</t>
    </rPh>
    <rPh sb="3" eb="4">
      <t>タ</t>
    </rPh>
    <rPh sb="4" eb="6">
      <t>コウモク</t>
    </rPh>
    <phoneticPr fontId="1"/>
  </si>
  <si>
    <t>第3年度その他項目</t>
    <rPh sb="0" eb="1">
      <t>ダイ</t>
    </rPh>
    <rPh sb="2" eb="4">
      <t>ネンド</t>
    </rPh>
    <rPh sb="6" eb="7">
      <t>タ</t>
    </rPh>
    <rPh sb="7" eb="9">
      <t>コウモク</t>
    </rPh>
    <phoneticPr fontId="1"/>
  </si>
  <si>
    <t>第2年度その他項目</t>
    <rPh sb="0" eb="1">
      <t>ダイ</t>
    </rPh>
    <rPh sb="2" eb="4">
      <t>ネンド</t>
    </rPh>
    <rPh sb="6" eb="7">
      <t>タ</t>
    </rPh>
    <rPh sb="7" eb="9">
      <t>コウモク</t>
    </rPh>
    <phoneticPr fontId="1"/>
  </si>
  <si>
    <t>第1年度その他項目</t>
    <rPh sb="0" eb="1">
      <t>ダイ</t>
    </rPh>
    <rPh sb="2" eb="4">
      <t>ネンド</t>
    </rPh>
    <rPh sb="6" eb="7">
      <t>タ</t>
    </rPh>
    <rPh sb="7" eb="9">
      <t>コウモク</t>
    </rPh>
    <phoneticPr fontId="1"/>
  </si>
  <si>
    <t>第1年度</t>
  </si>
  <si>
    <t>項目数</t>
  </si>
  <si>
    <t>評価指標</t>
  </si>
  <si>
    <t>実施状況</t>
  </si>
  <si>
    <t>非該当</t>
  </si>
  <si>
    <t>合計</t>
  </si>
  <si>
    <t>平均</t>
  </si>
  <si>
    <t>評価点</t>
  </si>
  <si>
    <t>最終年度
評価点</t>
  </si>
  <si>
    <t>‡</t>
    <phoneticPr fontId="1"/>
  </si>
  <si>
    <t>🗡</t>
    <phoneticPr fontId="1"/>
  </si>
  <si>
    <t>第3年度その他取組内容</t>
    <rPh sb="0" eb="1">
      <t>ダイ</t>
    </rPh>
    <rPh sb="2" eb="4">
      <t>ネンド</t>
    </rPh>
    <rPh sb="6" eb="7">
      <t>タ</t>
    </rPh>
    <rPh sb="7" eb="9">
      <t>トリクミ</t>
    </rPh>
    <rPh sb="9" eb="11">
      <t>ナイヨウ</t>
    </rPh>
    <phoneticPr fontId="1"/>
  </si>
  <si>
    <t>第2年度その他取組内容</t>
    <rPh sb="0" eb="1">
      <t>ダイ</t>
    </rPh>
    <rPh sb="2" eb="4">
      <t>ネンド</t>
    </rPh>
    <rPh sb="6" eb="7">
      <t>タ</t>
    </rPh>
    <rPh sb="7" eb="9">
      <t>トリクミ</t>
    </rPh>
    <rPh sb="9" eb="11">
      <t>ナイヨウ</t>
    </rPh>
    <phoneticPr fontId="1"/>
  </si>
  <si>
    <t>第1年度その他取組内容</t>
    <rPh sb="0" eb="1">
      <t>ダイ</t>
    </rPh>
    <rPh sb="2" eb="4">
      <t>ネンド</t>
    </rPh>
    <rPh sb="6" eb="7">
      <t>タ</t>
    </rPh>
    <rPh sb="7" eb="9">
      <t>トリクミ</t>
    </rPh>
    <rPh sb="9" eb="11">
      <t>ナイヨウ</t>
    </rPh>
    <phoneticPr fontId="1"/>
  </si>
  <si>
    <t>実施状況第3年度</t>
    <phoneticPr fontId="1"/>
  </si>
  <si>
    <t>実施状況第1年度</t>
  </si>
  <si>
    <t>実施状況第2年度</t>
  </si>
  <si>
    <t>実施状況第基準年度</t>
    <rPh sb="5" eb="7">
      <t>キジュン</t>
    </rPh>
    <phoneticPr fontId="1"/>
  </si>
  <si>
    <t>基本対策の
実施計画</t>
    <rPh sb="0" eb="2">
      <t>キホン</t>
    </rPh>
    <rPh sb="2" eb="4">
      <t>タイサク</t>
    </rPh>
    <rPh sb="6" eb="8">
      <t>ジッシ</t>
    </rPh>
    <rPh sb="8" eb="10">
      <t>ケイカク</t>
    </rPh>
    <phoneticPr fontId="3"/>
  </si>
  <si>
    <t>選択対策の
実施計画</t>
    <rPh sb="0" eb="2">
      <t>センタク</t>
    </rPh>
    <rPh sb="2" eb="4">
      <t>タイサク</t>
    </rPh>
    <rPh sb="6" eb="8">
      <t>ジッシ</t>
    </rPh>
    <rPh sb="8" eb="10">
      <t>ケイカク</t>
    </rPh>
    <phoneticPr fontId="3"/>
  </si>
  <si>
    <t>選択対策の
実施状況</t>
    <rPh sb="0" eb="2">
      <t>センタク</t>
    </rPh>
    <rPh sb="2" eb="4">
      <t>タイサク</t>
    </rPh>
    <rPh sb="6" eb="8">
      <t>ジッシ</t>
    </rPh>
    <rPh sb="8" eb="10">
      <t>ジョウキョウ</t>
    </rPh>
    <phoneticPr fontId="3"/>
  </si>
  <si>
    <t>具体的な取組内容</t>
    <rPh sb="0" eb="2">
      <t>グタイ</t>
    </rPh>
    <rPh sb="2" eb="3">
      <t>テキ</t>
    </rPh>
    <rPh sb="4" eb="6">
      <t>トリクミ</t>
    </rPh>
    <rPh sb="6" eb="8">
      <t>ナイヨウ</t>
    </rPh>
    <phoneticPr fontId="1"/>
  </si>
  <si>
    <t>具体的な取組内容（自由記述）</t>
    <rPh sb="0" eb="2">
      <t>グタイ</t>
    </rPh>
    <rPh sb="2" eb="3">
      <t>テキ</t>
    </rPh>
    <rPh sb="4" eb="6">
      <t>トリクミ</t>
    </rPh>
    <rPh sb="6" eb="8">
      <t>ナイヨウ</t>
    </rPh>
    <rPh sb="9" eb="11">
      <t>ジユウ</t>
    </rPh>
    <rPh sb="11" eb="13">
      <t>キジュツ</t>
    </rPh>
    <phoneticPr fontId="1"/>
  </si>
  <si>
    <t>具体的な取組内容</t>
    <rPh sb="2" eb="3">
      <t>テキ</t>
    </rPh>
    <phoneticPr fontId="1"/>
  </si>
  <si>
    <t>LEN</t>
    <phoneticPr fontId="1"/>
  </si>
  <si>
    <t>-</t>
    <phoneticPr fontId="1"/>
  </si>
  <si>
    <t>基本対策の
実施状況</t>
    <rPh sb="0" eb="2">
      <t>キホン</t>
    </rPh>
    <rPh sb="2" eb="4">
      <t>タイサク</t>
    </rPh>
    <rPh sb="6" eb="8">
      <t>ジッシ</t>
    </rPh>
    <rPh sb="8" eb="10">
      <t>ジョウキョウ</t>
    </rPh>
    <phoneticPr fontId="3"/>
  </si>
  <si>
    <t>ＤＲ（デマンドレスポンス）の実施</t>
  </si>
  <si>
    <t>ジェット燃料油</t>
    <phoneticPr fontId="1"/>
  </si>
  <si>
    <t>化石燃料</t>
    <rPh sb="0" eb="2">
      <t>カセキ</t>
    </rPh>
    <rPh sb="2" eb="4">
      <t>ネンリョウ</t>
    </rPh>
    <phoneticPr fontId="1"/>
  </si>
  <si>
    <t>非化石燃料</t>
    <rPh sb="0" eb="3">
      <t>ヒカセキ</t>
    </rPh>
    <rPh sb="3" eb="5">
      <t>ネンリョウ</t>
    </rPh>
    <phoneticPr fontId="1"/>
  </si>
  <si>
    <t>電気</t>
    <rPh sb="0" eb="2">
      <t>デンキ</t>
    </rPh>
    <phoneticPr fontId="1"/>
  </si>
  <si>
    <t>輸入原料炭</t>
    <rPh sb="0" eb="2">
      <t>ユニュウ</t>
    </rPh>
    <phoneticPr fontId="27"/>
  </si>
  <si>
    <t>原料炭</t>
    <rPh sb="0" eb="2">
      <t>ゲンリョウ</t>
    </rPh>
    <rPh sb="2" eb="3">
      <t>スミ</t>
    </rPh>
    <phoneticPr fontId="1"/>
  </si>
  <si>
    <t>コークス用原料炭</t>
    <rPh sb="4" eb="5">
      <t>ヨウ</t>
    </rPh>
    <rPh sb="5" eb="7">
      <t>ゲンリョウ</t>
    </rPh>
    <rPh sb="7" eb="8">
      <t>スミ</t>
    </rPh>
    <phoneticPr fontId="1"/>
  </si>
  <si>
    <t>吹込用原料炭</t>
    <rPh sb="0" eb="2">
      <t>フキコ</t>
    </rPh>
    <rPh sb="2" eb="3">
      <t>ヨウ</t>
    </rPh>
    <rPh sb="3" eb="5">
      <t>ゲンリョウ</t>
    </rPh>
    <rPh sb="5" eb="6">
      <t>スミ</t>
    </rPh>
    <phoneticPr fontId="1"/>
  </si>
  <si>
    <t>一般炭</t>
    <rPh sb="0" eb="2">
      <t>イッパン</t>
    </rPh>
    <rPh sb="2" eb="3">
      <t>スミ</t>
    </rPh>
    <phoneticPr fontId="1"/>
  </si>
  <si>
    <t>輸入一般炭</t>
  </si>
  <si>
    <t>国産一般炭</t>
  </si>
  <si>
    <t>輸入無煙炭</t>
    <rPh sb="0" eb="2">
      <t>ユニュウ</t>
    </rPh>
    <rPh sb="2" eb="5">
      <t>ムエンタン</t>
    </rPh>
    <phoneticPr fontId="1"/>
  </si>
  <si>
    <t>発電用高炉ガス</t>
    <rPh sb="0" eb="3">
      <t>ハツデンヨウ</t>
    </rPh>
    <phoneticPr fontId="27"/>
  </si>
  <si>
    <t>t</t>
  </si>
  <si>
    <t>kl</t>
  </si>
  <si>
    <t>千㎥</t>
  </si>
  <si>
    <t>一般廃棄物</t>
    <phoneticPr fontId="1"/>
  </si>
  <si>
    <t>産業廃棄物</t>
    <phoneticPr fontId="1"/>
  </si>
  <si>
    <t>電気事業者からの買電
電気事業者名</t>
    <rPh sb="0" eb="2">
      <t>デンキ</t>
    </rPh>
    <rPh sb="2" eb="5">
      <t>ジギョウシャ</t>
    </rPh>
    <rPh sb="8" eb="10">
      <t>バイデン</t>
    </rPh>
    <rPh sb="11" eb="13">
      <t>デンキ</t>
    </rPh>
    <rPh sb="13" eb="16">
      <t>ジギョウシャ</t>
    </rPh>
    <rPh sb="16" eb="17">
      <t>メイ</t>
    </rPh>
    <phoneticPr fontId="3"/>
  </si>
  <si>
    <t>太陽光</t>
    <rPh sb="0" eb="3">
      <t>タイヨウコウ</t>
    </rPh>
    <phoneticPr fontId="1"/>
  </si>
  <si>
    <t>水力</t>
    <rPh sb="0" eb="2">
      <t>スイリョク</t>
    </rPh>
    <phoneticPr fontId="1"/>
  </si>
  <si>
    <t>風力</t>
    <rPh sb="0" eb="2">
      <t>フウリョク</t>
    </rPh>
    <phoneticPr fontId="1"/>
  </si>
  <si>
    <t>燃料及び熱の種類</t>
    <phoneticPr fontId="3"/>
  </si>
  <si>
    <t>単位発熱量</t>
    <rPh sb="2" eb="4">
      <t>ハツネツ</t>
    </rPh>
    <rPh sb="4" eb="5">
      <t>リョウ</t>
    </rPh>
    <phoneticPr fontId="1"/>
  </si>
  <si>
    <t>化
石
燃
料</t>
    <phoneticPr fontId="1"/>
  </si>
  <si>
    <t>非
化
石
燃
料</t>
    <rPh sb="0" eb="1">
      <t>ヒ</t>
    </rPh>
    <rPh sb="2" eb="3">
      <t>カ</t>
    </rPh>
    <phoneticPr fontId="28"/>
  </si>
  <si>
    <t>黒液</t>
    <rPh sb="0" eb="1">
      <t>クロ</t>
    </rPh>
    <rPh sb="1" eb="2">
      <t>エキ</t>
    </rPh>
    <phoneticPr fontId="5"/>
  </si>
  <si>
    <t>GJ/t</t>
  </si>
  <si>
    <t>木材</t>
    <rPh sb="0" eb="2">
      <t>モクザイ</t>
    </rPh>
    <phoneticPr fontId="5"/>
  </si>
  <si>
    <t>木質廃材</t>
    <rPh sb="0" eb="2">
      <t>モクシツ</t>
    </rPh>
    <rPh sb="2" eb="4">
      <t>ハイザイ</t>
    </rPh>
    <phoneticPr fontId="5"/>
  </si>
  <si>
    <t>バイオエタノール</t>
  </si>
  <si>
    <t>GJ/kl</t>
  </si>
  <si>
    <t>バイオディーゼル</t>
  </si>
  <si>
    <t>バイオガス</t>
  </si>
  <si>
    <t>GJ/千㎥</t>
  </si>
  <si>
    <t>その他バイオマス</t>
    <rPh sb="2" eb="3">
      <t>タ</t>
    </rPh>
    <phoneticPr fontId="5"/>
  </si>
  <si>
    <t>RDF</t>
  </si>
  <si>
    <t>RPF</t>
  </si>
  <si>
    <t>廃タイヤ</t>
    <rPh sb="0" eb="1">
      <t>ハイ</t>
    </rPh>
    <phoneticPr fontId="5"/>
  </si>
  <si>
    <t>廃プラスチック</t>
    <rPh sb="0" eb="1">
      <t>ハイ</t>
    </rPh>
    <phoneticPr fontId="5"/>
  </si>
  <si>
    <t>廃油</t>
    <rPh sb="0" eb="2">
      <t>ハイユ</t>
    </rPh>
    <phoneticPr fontId="5"/>
  </si>
  <si>
    <t>廃棄物ガス</t>
    <rPh sb="0" eb="3">
      <t>ハイキブツ</t>
    </rPh>
    <phoneticPr fontId="5"/>
  </si>
  <si>
    <t>混合廃材</t>
    <rPh sb="0" eb="2">
      <t>コンゴウ</t>
    </rPh>
    <rPh sb="2" eb="4">
      <t>ハイザイ</t>
    </rPh>
    <phoneticPr fontId="5"/>
  </si>
  <si>
    <t>水素</t>
    <rPh sb="0" eb="2">
      <t>スイソ</t>
    </rPh>
    <phoneticPr fontId="5"/>
  </si>
  <si>
    <t>アンモニア</t>
  </si>
  <si>
    <t>熱</t>
    <rPh sb="0" eb="1">
      <t>ネツ</t>
    </rPh>
    <phoneticPr fontId="1"/>
  </si>
  <si>
    <t>地熱</t>
    <rPh sb="0" eb="2">
      <t>チネツ</t>
    </rPh>
    <phoneticPr fontId="1"/>
  </si>
  <si>
    <t>地熱</t>
    <rPh sb="0" eb="2">
      <t>チネツ</t>
    </rPh>
    <phoneticPr fontId="5"/>
  </si>
  <si>
    <t>温泉熱</t>
    <rPh sb="0" eb="3">
      <t>オンセンネツ</t>
    </rPh>
    <phoneticPr fontId="5"/>
  </si>
  <si>
    <t>太陽熱</t>
    <rPh sb="0" eb="3">
      <t>タイヨウネツ</t>
    </rPh>
    <phoneticPr fontId="5"/>
  </si>
  <si>
    <t>雪氷熱</t>
    <rPh sb="0" eb="1">
      <t>セツ</t>
    </rPh>
    <rPh sb="1" eb="2">
      <t>コオリ</t>
    </rPh>
    <rPh sb="2" eb="3">
      <t>ネツ</t>
    </rPh>
    <phoneticPr fontId="5"/>
  </si>
  <si>
    <t>電
気</t>
    <rPh sb="0" eb="1">
      <t>デン</t>
    </rPh>
    <rPh sb="2" eb="3">
      <t>キ</t>
    </rPh>
    <phoneticPr fontId="1"/>
  </si>
  <si>
    <t>GＪ/千kWh</t>
    <rPh sb="3" eb="4">
      <t>セン</t>
    </rPh>
    <phoneticPr fontId="28"/>
  </si>
  <si>
    <t>自己託送
以外</t>
    <rPh sb="0" eb="2">
      <t>ジコ</t>
    </rPh>
    <rPh sb="2" eb="4">
      <t>タクソウ</t>
    </rPh>
    <rPh sb="5" eb="7">
      <t>イガイ</t>
    </rPh>
    <phoneticPr fontId="1"/>
  </si>
  <si>
    <t>電気事業者
からの買電</t>
    <phoneticPr fontId="28"/>
  </si>
  <si>
    <t>化石分</t>
    <rPh sb="0" eb="3">
      <t>カセキブン</t>
    </rPh>
    <phoneticPr fontId="28"/>
  </si>
  <si>
    <t>非化石分</t>
    <rPh sb="0" eb="3">
      <t>ヒカセキ</t>
    </rPh>
    <rPh sb="3" eb="4">
      <t>ブン</t>
    </rPh>
    <phoneticPr fontId="28"/>
  </si>
  <si>
    <t>オフサイト型
PPA</t>
    <rPh sb="5" eb="6">
      <t>ガタ</t>
    </rPh>
    <phoneticPr fontId="1"/>
  </si>
  <si>
    <t>非化石
重み付けなし</t>
    <rPh sb="0" eb="3">
      <t>ヒカセキ</t>
    </rPh>
    <rPh sb="4" eb="5">
      <t>オモ</t>
    </rPh>
    <rPh sb="6" eb="7">
      <t>ツ</t>
    </rPh>
    <phoneticPr fontId="28"/>
  </si>
  <si>
    <t>非化石
重み付けあり</t>
    <rPh sb="0" eb="3">
      <t>ヒカセキ</t>
    </rPh>
    <rPh sb="4" eb="5">
      <t>オモ</t>
    </rPh>
    <rPh sb="6" eb="7">
      <t>ツ</t>
    </rPh>
    <phoneticPr fontId="28"/>
  </si>
  <si>
    <t>自己託送</t>
    <phoneticPr fontId="1"/>
  </si>
  <si>
    <t>非燃料由来の非化石電気</t>
    <rPh sb="0" eb="1">
      <t>ヒ</t>
    </rPh>
    <rPh sb="1" eb="3">
      <t>ネンリョウ</t>
    </rPh>
    <rPh sb="3" eb="5">
      <t>ユライ</t>
    </rPh>
    <rPh sb="6" eb="9">
      <t>ヒカセキ</t>
    </rPh>
    <rPh sb="9" eb="11">
      <t>デンキ</t>
    </rPh>
    <phoneticPr fontId="5"/>
  </si>
  <si>
    <t>上記以外</t>
    <rPh sb="0" eb="2">
      <t>ジョウキ</t>
    </rPh>
    <rPh sb="2" eb="4">
      <t>イガイ</t>
    </rPh>
    <phoneticPr fontId="1"/>
  </si>
  <si>
    <t>自営線</t>
    <rPh sb="0" eb="3">
      <t>ジエイセン</t>
    </rPh>
    <phoneticPr fontId="1"/>
  </si>
  <si>
    <t>自家発電</t>
    <rPh sb="0" eb="2">
      <t>ジカ</t>
    </rPh>
    <rPh sb="2" eb="4">
      <t>ハツデン</t>
    </rPh>
    <phoneticPr fontId="1"/>
  </si>
  <si>
    <t>その他</t>
    <rPh sb="2" eb="3">
      <t>タ</t>
    </rPh>
    <phoneticPr fontId="5"/>
  </si>
  <si>
    <t>非燃料由来
の非化石</t>
    <phoneticPr fontId="1"/>
  </si>
  <si>
    <t>上記以外</t>
    <rPh sb="0" eb="2">
      <t>ジョウキ</t>
    </rPh>
    <rPh sb="2" eb="4">
      <t>イガイ</t>
    </rPh>
    <phoneticPr fontId="28"/>
  </si>
  <si>
    <t>温室効果ガスの
排出状況
及び削減目標
・
非化石エネルギー
の
使用割合目標</t>
    <rPh sb="0" eb="2">
      <t>オンシツ</t>
    </rPh>
    <rPh sb="2" eb="4">
      <t>コウカ</t>
    </rPh>
    <rPh sb="8" eb="10">
      <t>ハイシュツ</t>
    </rPh>
    <rPh sb="10" eb="12">
      <t>ジョウキョウ</t>
    </rPh>
    <rPh sb="13" eb="14">
      <t>オヨ</t>
    </rPh>
    <rPh sb="15" eb="17">
      <t>サクゲン</t>
    </rPh>
    <rPh sb="17" eb="19">
      <t>モクヒョウ</t>
    </rPh>
    <rPh sb="22" eb="23">
      <t>ヒ</t>
    </rPh>
    <rPh sb="23" eb="25">
      <t>カセキ</t>
    </rPh>
    <rPh sb="33" eb="35">
      <t>シヨウ</t>
    </rPh>
    <rPh sb="35" eb="37">
      <t>ワリアイ</t>
    </rPh>
    <rPh sb="37" eb="39">
      <t>モクヒョウ</t>
    </rPh>
    <phoneticPr fontId="3"/>
  </si>
  <si>
    <t>熱量
(GJ)</t>
    <rPh sb="0" eb="1">
      <t>ネツ</t>
    </rPh>
    <rPh sb="1" eb="2">
      <t>リョウ</t>
    </rPh>
    <phoneticPr fontId="3"/>
  </si>
  <si>
    <r>
      <t>千m</t>
    </r>
    <r>
      <rPr>
        <vertAlign val="superscript"/>
        <sz val="10"/>
        <color indexed="8"/>
        <rFont val="メイリオ"/>
        <family val="3"/>
        <charset val="128"/>
      </rPr>
      <t>3</t>
    </r>
    <rPh sb="0" eb="1">
      <t>セン</t>
    </rPh>
    <phoneticPr fontId="3"/>
  </si>
  <si>
    <t>千kWh</t>
    <rPh sb="0" eb="1">
      <t>セン</t>
    </rPh>
    <phoneticPr fontId="3"/>
  </si>
  <si>
    <r>
      <t>メタン（CH</t>
    </r>
    <r>
      <rPr>
        <vertAlign val="subscript"/>
        <sz val="10"/>
        <rFont val="メイリオ"/>
        <family val="3"/>
        <charset val="128"/>
      </rPr>
      <t>4</t>
    </r>
    <r>
      <rPr>
        <sz val="10"/>
        <rFont val="メイリオ"/>
        <family val="3"/>
        <charset val="128"/>
      </rPr>
      <t>）</t>
    </r>
    <phoneticPr fontId="3"/>
  </si>
  <si>
    <r>
      <t>一酸化二窒素（N</t>
    </r>
    <r>
      <rPr>
        <vertAlign val="subscript"/>
        <sz val="10"/>
        <rFont val="メイリオ"/>
        <family val="3"/>
        <charset val="128"/>
      </rPr>
      <t>2</t>
    </r>
    <r>
      <rPr>
        <sz val="10"/>
        <rFont val="メイリオ"/>
        <family val="3"/>
        <charset val="128"/>
      </rPr>
      <t>O）</t>
    </r>
    <rPh sb="0" eb="3">
      <t>イッサンカ</t>
    </rPh>
    <rPh sb="3" eb="4">
      <t>ニ</t>
    </rPh>
    <rPh sb="4" eb="6">
      <t>チッソ</t>
    </rPh>
    <phoneticPr fontId="3"/>
  </si>
  <si>
    <r>
      <t>六フッ化硫黄（SF</t>
    </r>
    <r>
      <rPr>
        <vertAlign val="subscript"/>
        <sz val="10"/>
        <rFont val="メイリオ"/>
        <family val="3"/>
        <charset val="128"/>
      </rPr>
      <t>6</t>
    </r>
    <r>
      <rPr>
        <sz val="10"/>
        <rFont val="メイリオ"/>
        <family val="3"/>
        <charset val="128"/>
      </rPr>
      <t>）</t>
    </r>
    <rPh sb="0" eb="1">
      <t>ロク</t>
    </rPh>
    <rPh sb="3" eb="4">
      <t>カ</t>
    </rPh>
    <rPh sb="4" eb="6">
      <t>イオウ</t>
    </rPh>
    <phoneticPr fontId="3"/>
  </si>
  <si>
    <r>
      <t>三フッ化窒素（NF</t>
    </r>
    <r>
      <rPr>
        <vertAlign val="subscript"/>
        <sz val="10"/>
        <rFont val="メイリオ"/>
        <family val="3"/>
        <charset val="128"/>
      </rPr>
      <t>3</t>
    </r>
    <r>
      <rPr>
        <sz val="10"/>
        <rFont val="メイリオ"/>
        <family val="3"/>
        <charset val="128"/>
      </rPr>
      <t>）</t>
    </r>
    <rPh sb="0" eb="1">
      <t>サン</t>
    </rPh>
    <rPh sb="3" eb="4">
      <t>カ</t>
    </rPh>
    <rPh sb="4" eb="6">
      <t>チッソ</t>
    </rPh>
    <phoneticPr fontId="3"/>
  </si>
  <si>
    <t>エネルギー名称区分</t>
    <rPh sb="5" eb="7">
      <t>メイショウ</t>
    </rPh>
    <rPh sb="7" eb="9">
      <t>クブン</t>
    </rPh>
    <phoneticPr fontId="1"/>
  </si>
  <si>
    <t>エネルギー区分</t>
    <rPh sb="5" eb="7">
      <t>クブン</t>
    </rPh>
    <phoneticPr fontId="1"/>
  </si>
  <si>
    <t>炭素排出係数</t>
    <rPh sb="0" eb="2">
      <t>タンソ</t>
    </rPh>
    <rPh sb="2" eb="4">
      <t>ハイシュツ</t>
    </rPh>
    <rPh sb="4" eb="6">
      <t>ケイスウ</t>
    </rPh>
    <phoneticPr fontId="1"/>
  </si>
  <si>
    <t>揮発油</t>
  </si>
  <si>
    <t>ジェット燃料油</t>
  </si>
  <si>
    <t>液化石油ガス     (LPG)</t>
  </si>
  <si>
    <t>石油系炭化水素ガス</t>
  </si>
  <si>
    <t>液化天然ガス     (LNG)</t>
  </si>
  <si>
    <t>ー</t>
    <phoneticPr fontId="28"/>
  </si>
  <si>
    <t>都市ガス</t>
  </si>
  <si>
    <t>テナント空調等推計値</t>
  </si>
  <si>
    <t>廃プラスチック_一般廃棄物</t>
    <phoneticPr fontId="1"/>
  </si>
  <si>
    <t>廃プラスチック_産業廃棄物</t>
    <phoneticPr fontId="1"/>
  </si>
  <si>
    <t>産業用蒸気_化石</t>
    <rPh sb="0" eb="3">
      <t>サンギョウヨウ</t>
    </rPh>
    <rPh sb="3" eb="5">
      <t>ジョウキ</t>
    </rPh>
    <phoneticPr fontId="10"/>
  </si>
  <si>
    <t>産業用以外の蒸気_化石</t>
    <rPh sb="0" eb="2">
      <t>サンギョウ</t>
    </rPh>
    <rPh sb="2" eb="3">
      <t>ヨウ</t>
    </rPh>
    <rPh sb="3" eb="5">
      <t>イガイ</t>
    </rPh>
    <rPh sb="6" eb="8">
      <t>ジョウキ</t>
    </rPh>
    <phoneticPr fontId="10"/>
  </si>
  <si>
    <t>温水_化石</t>
    <rPh sb="0" eb="2">
      <t>オンスイ</t>
    </rPh>
    <phoneticPr fontId="10"/>
  </si>
  <si>
    <t>冷水_化石</t>
    <rPh sb="0" eb="2">
      <t>レイスイ</t>
    </rPh>
    <phoneticPr fontId="10"/>
  </si>
  <si>
    <t>産業用蒸気_非化石</t>
    <rPh sb="0" eb="3">
      <t>サンギョウヨウ</t>
    </rPh>
    <rPh sb="3" eb="5">
      <t>ジョウキ</t>
    </rPh>
    <rPh sb="6" eb="7">
      <t>ヒ</t>
    </rPh>
    <rPh sb="7" eb="9">
      <t>カセキ</t>
    </rPh>
    <phoneticPr fontId="10"/>
  </si>
  <si>
    <t>産業用以外の蒸気_非化石</t>
    <rPh sb="0" eb="2">
      <t>サンギョウ</t>
    </rPh>
    <rPh sb="2" eb="3">
      <t>ヨウ</t>
    </rPh>
    <rPh sb="3" eb="5">
      <t>イガイ</t>
    </rPh>
    <rPh sb="6" eb="8">
      <t>ジョウキ</t>
    </rPh>
    <phoneticPr fontId="10"/>
  </si>
  <si>
    <t>温水_非化石</t>
    <rPh sb="0" eb="2">
      <t>オンスイ</t>
    </rPh>
    <phoneticPr fontId="10"/>
  </si>
  <si>
    <t>冷水_非化石</t>
    <rPh sb="0" eb="2">
      <t>レイスイ</t>
    </rPh>
    <phoneticPr fontId="10"/>
  </si>
  <si>
    <t>GＪ/GＪ</t>
    <phoneticPr fontId="1"/>
  </si>
  <si>
    <t>自家発電</t>
  </si>
  <si>
    <t>自己託送以外_電気事業者からの買電_化石分</t>
  </si>
  <si>
    <t>自己託送以外_電気事業者からの買電_非化石分</t>
  </si>
  <si>
    <t>自己託送以外_オフサイト型PPA_非化石重み付けなし</t>
    <phoneticPr fontId="1"/>
  </si>
  <si>
    <t>自己託送以外_オフサイト型PPA_非化石重み付けあり</t>
  </si>
  <si>
    <t>自己託送_非燃料由来の非化石電気</t>
  </si>
  <si>
    <t>自己託送_上記以外_化石分</t>
  </si>
  <si>
    <t>自己託送_上記以外_非化石分</t>
  </si>
  <si>
    <t>自営線_非燃料由来の非化石電気</t>
  </si>
  <si>
    <t>自営線_上記以外_化石分</t>
  </si>
  <si>
    <t>自営線_上記以外_非化石分</t>
  </si>
  <si>
    <t>自家発電_太陽光</t>
  </si>
  <si>
    <t>自家発電_風力</t>
  </si>
  <si>
    <t>自家発電_地熱</t>
  </si>
  <si>
    <t>自家発電_水力</t>
  </si>
  <si>
    <t>自家発電_その他_非燃料由来の非化石</t>
  </si>
  <si>
    <t>自家発電_その他_上記以外</t>
  </si>
  <si>
    <t>燃料の種類</t>
    <phoneticPr fontId="1"/>
  </si>
  <si>
    <t>水素</t>
  </si>
  <si>
    <t>電気の種類</t>
    <phoneticPr fontId="1"/>
  </si>
  <si>
    <t>電気事業者からの買電</t>
    <rPh sb="8" eb="10">
      <t>バイデン</t>
    </rPh>
    <phoneticPr fontId="10"/>
  </si>
  <si>
    <t>上記以外の買電</t>
    <rPh sb="0" eb="2">
      <t>ジョウキ</t>
    </rPh>
    <rPh sb="2" eb="4">
      <t>イガイ</t>
    </rPh>
    <rPh sb="5" eb="7">
      <t>バイデン</t>
    </rPh>
    <phoneticPr fontId="10"/>
  </si>
  <si>
    <t>上記以外の買電</t>
    <rPh sb="0" eb="2">
      <t>ジョウキ</t>
    </rPh>
    <rPh sb="2" eb="4">
      <t>イガイ</t>
    </rPh>
    <rPh sb="5" eb="7">
      <t>バイデン</t>
    </rPh>
    <phoneticPr fontId="3"/>
  </si>
  <si>
    <t>温室効果ガスの種類</t>
    <phoneticPr fontId="1"/>
  </si>
  <si>
    <t>クレジット等の種類</t>
    <phoneticPr fontId="1"/>
  </si>
  <si>
    <t>tC/GJ</t>
    <phoneticPr fontId="1"/>
  </si>
  <si>
    <t>千kWh</t>
    <phoneticPr fontId="3"/>
  </si>
  <si>
    <t>温室効果ガスの
排出状況
及び削減目標
・
非化石エネルギー
の
使用割合目標</t>
    <rPh sb="0" eb="2">
      <t>オンシツ</t>
    </rPh>
    <rPh sb="2" eb="4">
      <t>コウカ</t>
    </rPh>
    <rPh sb="8" eb="10">
      <t>ハイシュツ</t>
    </rPh>
    <rPh sb="10" eb="12">
      <t>ジョウキョウ</t>
    </rPh>
    <rPh sb="13" eb="14">
      <t>オヨ</t>
    </rPh>
    <rPh sb="15" eb="17">
      <t>サクゲン</t>
    </rPh>
    <rPh sb="17" eb="19">
      <t>モクヒョウ</t>
    </rPh>
    <phoneticPr fontId="3"/>
  </si>
  <si>
    <t>熱量(GJ)</t>
    <rPh sb="0" eb="1">
      <t>ネツ</t>
    </rPh>
    <rPh sb="1" eb="2">
      <t>リョウ</t>
    </rPh>
    <phoneticPr fontId="3"/>
  </si>
  <si>
    <t>基準年度</t>
    <rPh sb="0" eb="4">
      <t>キジュンネンド</t>
    </rPh>
    <phoneticPr fontId="1"/>
  </si>
  <si>
    <t>※排出係数は毎年度更新されます。計画書作成の際には、その時点の最新の排出係数検索ツールをご使用ください。</t>
    <rPh sb="1" eb="3">
      <t>ハイシュツ</t>
    </rPh>
    <rPh sb="3" eb="5">
      <t>ケイスウ</t>
    </rPh>
    <rPh sb="6" eb="9">
      <t>マイネンド</t>
    </rPh>
    <rPh sb="9" eb="11">
      <t>コウシン</t>
    </rPh>
    <rPh sb="16" eb="19">
      <t>ケイカクショ</t>
    </rPh>
    <rPh sb="19" eb="21">
      <t>サクセイ</t>
    </rPh>
    <rPh sb="22" eb="23">
      <t>サイ</t>
    </rPh>
    <rPh sb="28" eb="30">
      <t>ジテン</t>
    </rPh>
    <rPh sb="31" eb="33">
      <t>サイシン</t>
    </rPh>
    <rPh sb="34" eb="36">
      <t>ハイシュツ</t>
    </rPh>
    <rPh sb="36" eb="38">
      <t>ケイスウ</t>
    </rPh>
    <rPh sb="38" eb="40">
      <t>ケンサク</t>
    </rPh>
    <rPh sb="45" eb="47">
      <t>シヨウ</t>
    </rPh>
    <phoneticPr fontId="1"/>
  </si>
  <si>
    <t>買電量
(千kWh)</t>
    <phoneticPr fontId="1"/>
  </si>
  <si>
    <t>その他</t>
    <phoneticPr fontId="1"/>
  </si>
  <si>
    <t>４．クレジット等による削減量</t>
    <rPh sb="7" eb="8">
      <t>ナド</t>
    </rPh>
    <rPh sb="11" eb="13">
      <t>サクゲン</t>
    </rPh>
    <rPh sb="13" eb="14">
      <t>リョウ</t>
    </rPh>
    <phoneticPr fontId="1"/>
  </si>
  <si>
    <t>基準排出量</t>
    <rPh sb="0" eb="2">
      <t>キジュン</t>
    </rPh>
    <rPh sb="2" eb="4">
      <t>ハイシュツ</t>
    </rPh>
    <rPh sb="4" eb="5">
      <t>リョウ</t>
    </rPh>
    <phoneticPr fontId="1"/>
  </si>
  <si>
    <t>基準原単位</t>
    <rPh sb="0" eb="2">
      <t>キジュン</t>
    </rPh>
    <rPh sb="2" eb="5">
      <t>ゲンタンイ</t>
    </rPh>
    <phoneticPr fontId="1"/>
  </si>
  <si>
    <t>削減率</t>
    <phoneticPr fontId="1"/>
  </si>
  <si>
    <t>目標設定の
考え方</t>
    <phoneticPr fontId="1"/>
  </si>
  <si>
    <t>目標年度</t>
    <rPh sb="0" eb="4">
      <t>モクヒョウネンド</t>
    </rPh>
    <phoneticPr fontId="1"/>
  </si>
  <si>
    <t>第１年度：</t>
    <rPh sb="0" eb="1">
      <t>ダイ</t>
    </rPh>
    <rPh sb="2" eb="4">
      <t>ネンド</t>
    </rPh>
    <phoneticPr fontId="1"/>
  </si>
  <si>
    <t>第２年度：</t>
    <rPh sb="0" eb="1">
      <t>ダイ</t>
    </rPh>
    <rPh sb="2" eb="4">
      <t>ネンド</t>
    </rPh>
    <phoneticPr fontId="1"/>
  </si>
  <si>
    <t>第３年度：</t>
    <rPh sb="0" eb="1">
      <t>ダイ</t>
    </rPh>
    <rPh sb="2" eb="4">
      <t>ネンド</t>
    </rPh>
    <phoneticPr fontId="1"/>
  </si>
  <si>
    <t>排出量等の増減理由</t>
    <phoneticPr fontId="1"/>
  </si>
  <si>
    <t>重点的に実施する取組の実施状況（基本対策）</t>
    <rPh sb="0" eb="3">
      <t>ジュウテンテキ</t>
    </rPh>
    <rPh sb="4" eb="6">
      <t>ジッシ</t>
    </rPh>
    <rPh sb="8" eb="10">
      <t>トリクミ</t>
    </rPh>
    <rPh sb="11" eb="13">
      <t>ジッシ</t>
    </rPh>
    <rPh sb="13" eb="15">
      <t>ジョウキョウ</t>
    </rPh>
    <rPh sb="16" eb="18">
      <t>キホン</t>
    </rPh>
    <rPh sb="18" eb="20">
      <t>タイサク</t>
    </rPh>
    <phoneticPr fontId="3"/>
  </si>
  <si>
    <t>重点的に実施する取組の実施状況（選択対策）</t>
    <rPh sb="0" eb="3">
      <t>ジュウテンテキ</t>
    </rPh>
    <rPh sb="4" eb="6">
      <t>ジッシ</t>
    </rPh>
    <rPh sb="8" eb="10">
      <t>トリクミ</t>
    </rPh>
    <rPh sb="11" eb="13">
      <t>ジッシ</t>
    </rPh>
    <rPh sb="13" eb="15">
      <t>ジョウキョウ</t>
    </rPh>
    <rPh sb="16" eb="18">
      <t>センタク</t>
    </rPh>
    <rPh sb="18" eb="20">
      <t>タイサク</t>
    </rPh>
    <phoneticPr fontId="3"/>
  </si>
  <si>
    <t>重点的に実施する取組の実施計画（基本対策）</t>
    <phoneticPr fontId="1"/>
  </si>
  <si>
    <t>重点的に実施する取組の実施状況（その他の対策）</t>
    <rPh sb="0" eb="3">
      <t>ジュウテンテキ</t>
    </rPh>
    <rPh sb="4" eb="6">
      <t>ジッシ</t>
    </rPh>
    <rPh sb="8" eb="10">
      <t>トリクミ</t>
    </rPh>
    <rPh sb="11" eb="13">
      <t>ジッシ</t>
    </rPh>
    <rPh sb="13" eb="15">
      <t>ジョウキョウ</t>
    </rPh>
    <rPh sb="18" eb="19">
      <t>タ</t>
    </rPh>
    <rPh sb="20" eb="22">
      <t>タイサク</t>
    </rPh>
    <phoneticPr fontId="3"/>
  </si>
  <si>
    <t>５-１．温室効果ガスの排出原単位の指標について、名称・単位・数値をご入力ください。</t>
    <rPh sb="4" eb="6">
      <t>オンシツ</t>
    </rPh>
    <rPh sb="6" eb="8">
      <t>コウカ</t>
    </rPh>
    <rPh sb="11" eb="13">
      <t>ハイシュツ</t>
    </rPh>
    <rPh sb="13" eb="16">
      <t>ゲンタンイ</t>
    </rPh>
    <rPh sb="17" eb="19">
      <t>シヒョウ</t>
    </rPh>
    <rPh sb="24" eb="26">
      <t>メイショウ</t>
    </rPh>
    <rPh sb="27" eb="29">
      <t>タンイ</t>
    </rPh>
    <rPh sb="30" eb="32">
      <t>スウチ</t>
    </rPh>
    <rPh sb="34" eb="36">
      <t>ニュウリョク</t>
    </rPh>
    <phoneticPr fontId="1"/>
  </si>
  <si>
    <t>重点的に実施する取組の実施計画（その他の対策）</t>
    <rPh sb="0" eb="3">
      <t>ジュウテンテキ</t>
    </rPh>
    <rPh sb="4" eb="6">
      <t>ジッシ</t>
    </rPh>
    <rPh sb="8" eb="10">
      <t>トリクミ</t>
    </rPh>
    <rPh sb="11" eb="13">
      <t>ジッシ</t>
    </rPh>
    <rPh sb="13" eb="15">
      <t>ケイカク</t>
    </rPh>
    <rPh sb="18" eb="19">
      <t>タ</t>
    </rPh>
    <rPh sb="20" eb="22">
      <t>タイサク</t>
    </rPh>
    <phoneticPr fontId="3"/>
  </si>
  <si>
    <t>メニュー</t>
    <phoneticPr fontId="1"/>
  </si>
  <si>
    <t>Ａ重油</t>
    <phoneticPr fontId="58"/>
  </si>
  <si>
    <r>
      <t>千m</t>
    </r>
    <r>
      <rPr>
        <vertAlign val="superscript"/>
        <sz val="10"/>
        <color rgb="FFFF0000"/>
        <rFont val="メイリオ"/>
        <family val="3"/>
        <charset val="128"/>
      </rPr>
      <t>3</t>
    </r>
    <rPh sb="0" eb="1">
      <t>セン</t>
    </rPh>
    <phoneticPr fontId="3"/>
  </si>
  <si>
    <t>GＪ/千Nｍ３</t>
    <phoneticPr fontId="58"/>
  </si>
  <si>
    <t>電気事業者からの買電</t>
    <rPh sb="8" eb="10">
      <t>カイデン</t>
    </rPh>
    <phoneticPr fontId="58"/>
  </si>
  <si>
    <t>電気事業者からの買電</t>
    <rPh sb="0" eb="2">
      <t>デンキ</t>
    </rPh>
    <rPh sb="2" eb="5">
      <t>ジギョウシャ</t>
    </rPh>
    <rPh sb="8" eb="10">
      <t>カイデン</t>
    </rPh>
    <phoneticPr fontId="10"/>
  </si>
  <si>
    <t>５-１．温室効果ガスの排出原単位の指標について、数値をご入力ください。</t>
    <rPh sb="4" eb="6">
      <t>オンシツ</t>
    </rPh>
    <rPh sb="6" eb="8">
      <t>コウカ</t>
    </rPh>
    <rPh sb="11" eb="13">
      <t>ハイシュツ</t>
    </rPh>
    <rPh sb="13" eb="16">
      <t>ゲンタンイ</t>
    </rPh>
    <rPh sb="17" eb="19">
      <t>シヒョウ</t>
    </rPh>
    <rPh sb="24" eb="26">
      <t>スウチ</t>
    </rPh>
    <rPh sb="28" eb="30">
      <t>ニュウリョク</t>
    </rPh>
    <phoneticPr fontId="1"/>
  </si>
  <si>
    <t>新たに項目を選択すると、『重点的に実施する取組の実施状況（選択対策）』表へ自動に追加されます。</t>
    <rPh sb="35" eb="36">
      <t>ヒョウ</t>
    </rPh>
    <rPh sb="40" eb="42">
      <t>ツイカ</t>
    </rPh>
    <phoneticPr fontId="1"/>
  </si>
  <si>
    <t>実施状況
(基準年度)</t>
    <rPh sb="0" eb="2">
      <t>ジッシ</t>
    </rPh>
    <rPh sb="2" eb="4">
      <t>ジョウキョウ</t>
    </rPh>
    <rPh sb="6" eb="8">
      <t>キジュン</t>
    </rPh>
    <rPh sb="8" eb="9">
      <t>ネン</t>
    </rPh>
    <rPh sb="9" eb="10">
      <t>ド</t>
    </rPh>
    <phoneticPr fontId="1"/>
  </si>
  <si>
    <t>■基準年度におけるエネルギー使用量等の実績値を入力</t>
    <phoneticPr fontId="1"/>
  </si>
  <si>
    <t>■事業所等の概要を入力</t>
    <phoneticPr fontId="1"/>
  </si>
  <si>
    <t>計画書の提出年月日</t>
    <rPh sb="0" eb="3">
      <t>ケイカクショ</t>
    </rPh>
    <rPh sb="4" eb="6">
      <t>テイシュツ</t>
    </rPh>
    <rPh sb="6" eb="9">
      <t>ネンガッピ</t>
    </rPh>
    <phoneticPr fontId="1"/>
  </si>
  <si>
    <t>今日</t>
    <rPh sb="0" eb="2">
      <t>キョウ</t>
    </rPh>
    <phoneticPr fontId="58"/>
  </si>
  <si>
    <t>提出年度</t>
    <rPh sb="0" eb="2">
      <t>テイシュツ</t>
    </rPh>
    <rPh sb="2" eb="4">
      <t>ネンド</t>
    </rPh>
    <phoneticPr fontId="58"/>
  </si>
  <si>
    <t>年度</t>
    <rPh sb="0" eb="2">
      <t>ネンド</t>
    </rPh>
    <phoneticPr fontId="58"/>
  </si>
  <si>
    <t>現在の年度</t>
    <rPh sb="0" eb="2">
      <t>ゲンザイ</t>
    </rPh>
    <rPh sb="3" eb="5">
      <t>ネンド</t>
    </rPh>
    <phoneticPr fontId="58"/>
  </si>
  <si>
    <t>※本シートは、HP掲載時にシート保護＆非表示！</t>
    <rPh sb="1" eb="2">
      <t>ホン</t>
    </rPh>
    <rPh sb="9" eb="11">
      <t>ケイサイ</t>
    </rPh>
    <rPh sb="11" eb="12">
      <t>ジ</t>
    </rPh>
    <rPh sb="16" eb="18">
      <t>ホゴ</t>
    </rPh>
    <rPh sb="19" eb="22">
      <t>ヒヒョウジ</t>
    </rPh>
    <phoneticPr fontId="58"/>
  </si>
  <si>
    <t>※青色セル以外は触らない！</t>
    <rPh sb="1" eb="3">
      <t>アオイロ</t>
    </rPh>
    <rPh sb="5" eb="7">
      <t>イガイ</t>
    </rPh>
    <rPh sb="8" eb="9">
      <t>サワ</t>
    </rPh>
    <phoneticPr fontId="58"/>
  </si>
  <si>
    <t>現計画期間を入力</t>
    <rPh sb="0" eb="1">
      <t>ゲン</t>
    </rPh>
    <rPh sb="1" eb="3">
      <t>ケイカク</t>
    </rPh>
    <rPh sb="3" eb="5">
      <t>キカン</t>
    </rPh>
    <rPh sb="6" eb="8">
      <t>ニュウリョク</t>
    </rPh>
    <phoneticPr fontId="58"/>
  </si>
  <si>
    <t>第</t>
    <rPh sb="0" eb="1">
      <t>ダイ</t>
    </rPh>
    <phoneticPr fontId="58"/>
  </si>
  <si>
    <t>計画期間</t>
    <rPh sb="0" eb="2">
      <t>ケイカク</t>
    </rPh>
    <rPh sb="2" eb="4">
      <t>キカン</t>
    </rPh>
    <phoneticPr fontId="58"/>
  </si>
  <si>
    <t>現在の年度を入力　※毎年度更新</t>
    <rPh sb="0" eb="2">
      <t>ゲンザイ</t>
    </rPh>
    <rPh sb="3" eb="5">
      <t>ネンド</t>
    </rPh>
    <rPh sb="6" eb="8">
      <t>ニュウリョク</t>
    </rPh>
    <rPh sb="10" eb="13">
      <t>マイネンド</t>
    </rPh>
    <rPh sb="13" eb="15">
      <t>コウシン</t>
    </rPh>
    <phoneticPr fontId="58"/>
  </si>
  <si>
    <t>参加年度</t>
    <rPh sb="0" eb="2">
      <t>サンカ</t>
    </rPh>
    <rPh sb="2" eb="4">
      <t>ネンド</t>
    </rPh>
    <phoneticPr fontId="58"/>
  </si>
  <si>
    <t>１回目提出</t>
    <rPh sb="1" eb="3">
      <t>カイメ</t>
    </rPh>
    <rPh sb="3" eb="5">
      <t>テイシュツ</t>
    </rPh>
    <phoneticPr fontId="58"/>
  </si>
  <si>
    <t>２回目提出</t>
    <rPh sb="1" eb="2">
      <t>カイ</t>
    </rPh>
    <rPh sb="2" eb="3">
      <t>メ</t>
    </rPh>
    <rPh sb="3" eb="5">
      <t>テイシュツ</t>
    </rPh>
    <phoneticPr fontId="58"/>
  </si>
  <si>
    <t>３回目提出</t>
    <rPh sb="1" eb="3">
      <t>カイメ</t>
    </rPh>
    <rPh sb="3" eb="5">
      <t>テイシュツ</t>
    </rPh>
    <phoneticPr fontId="58"/>
  </si>
  <si>
    <t>４回目提出</t>
    <rPh sb="1" eb="3">
      <t>カイメ</t>
    </rPh>
    <rPh sb="3" eb="5">
      <t>テイシュツ</t>
    </rPh>
    <phoneticPr fontId="58"/>
  </si>
  <si>
    <t>電力排出係数の既定値</t>
    <rPh sb="0" eb="2">
      <t>デンリョク</t>
    </rPh>
    <rPh sb="2" eb="4">
      <t>ハイシュツ</t>
    </rPh>
    <rPh sb="4" eb="6">
      <t>ケイスウ</t>
    </rPh>
    <rPh sb="7" eb="10">
      <t>キテイチ</t>
    </rPh>
    <phoneticPr fontId="58"/>
  </si>
  <si>
    <t>予定なし</t>
  </si>
  <si>
    <t>対象期間より前</t>
  </si>
  <si>
    <t>対象外</t>
  </si>
  <si>
    <t>温室効果ガス排出量</t>
    <rPh sb="0" eb="4">
      <t>オンシツコウカ</t>
    </rPh>
    <rPh sb="6" eb="9">
      <t>ハイシュツリョウ</t>
    </rPh>
    <phoneticPr fontId="1"/>
  </si>
  <si>
    <t>いいえ</t>
    <phoneticPr fontId="1"/>
  </si>
  <si>
    <t>実施予定：実施状況（基準年度）で「未実施」を選択した項目については、実施を予定する年度をプルダウンから選択してください。</t>
    <rPh sb="0" eb="2">
      <t>ジッシ</t>
    </rPh>
    <rPh sb="2" eb="4">
      <t>ヨテイ</t>
    </rPh>
    <rPh sb="17" eb="20">
      <t>ミジッシ</t>
    </rPh>
    <rPh sb="22" eb="24">
      <t>センタク</t>
    </rPh>
    <rPh sb="26" eb="28">
      <t>コウモク</t>
    </rPh>
    <rPh sb="34" eb="36">
      <t>ジッシ</t>
    </rPh>
    <rPh sb="37" eb="39">
      <t>ヨテイ</t>
    </rPh>
    <rPh sb="41" eb="43">
      <t>ネンド</t>
    </rPh>
    <phoneticPr fontId="1"/>
  </si>
  <si>
    <t>項　　目：実施済の取組み、計画期間中に実施する予定の取組みをプルダウンから選択してください。</t>
    <rPh sb="5" eb="7">
      <t>ジッシ</t>
    </rPh>
    <rPh sb="7" eb="8">
      <t>ズ</t>
    </rPh>
    <rPh sb="9" eb="11">
      <t>トリク</t>
    </rPh>
    <rPh sb="13" eb="15">
      <t>ケイカク</t>
    </rPh>
    <rPh sb="15" eb="17">
      <t>キカン</t>
    </rPh>
    <rPh sb="17" eb="18">
      <t>チュウ</t>
    </rPh>
    <rPh sb="23" eb="25">
      <t>ヨテイ</t>
    </rPh>
    <rPh sb="26" eb="28">
      <t>トリク</t>
    </rPh>
    <phoneticPr fontId="1"/>
  </si>
  <si>
    <t>内　　容：取組みの具体的な内容を記入してください。</t>
    <rPh sb="0" eb="1">
      <t>ナイ</t>
    </rPh>
    <rPh sb="3" eb="4">
      <t>カタチ</t>
    </rPh>
    <rPh sb="9" eb="12">
      <t>グタイテキ</t>
    </rPh>
    <rPh sb="13" eb="15">
      <t>ナイヨウ</t>
    </rPh>
    <rPh sb="16" eb="18">
      <t>キニュウ</t>
    </rPh>
    <phoneticPr fontId="1"/>
  </si>
  <si>
    <t>実施予定：実施状況（基準年度）で「一部実施済」または「未実施」を選択した項目については、実施を予定する年度をプルダウンから選択してください。</t>
    <rPh sb="0" eb="2">
      <t>ジッシ</t>
    </rPh>
    <rPh sb="2" eb="4">
      <t>ヨテイ</t>
    </rPh>
    <rPh sb="17" eb="19">
      <t>イチブ</t>
    </rPh>
    <rPh sb="19" eb="21">
      <t>ジッシ</t>
    </rPh>
    <rPh sb="21" eb="22">
      <t>ズ</t>
    </rPh>
    <rPh sb="27" eb="30">
      <t>ミジッシ</t>
    </rPh>
    <rPh sb="32" eb="34">
      <t>センタク</t>
    </rPh>
    <rPh sb="36" eb="38">
      <t>コウモク</t>
    </rPh>
    <rPh sb="44" eb="46">
      <t>ジッシ</t>
    </rPh>
    <rPh sb="47" eb="49">
      <t>ヨテイ</t>
    </rPh>
    <rPh sb="51" eb="53">
      <t>ネンド</t>
    </rPh>
    <phoneticPr fontId="1"/>
  </si>
  <si>
    <t>選択対策の項目</t>
    <rPh sb="0" eb="2">
      <t>センタク</t>
    </rPh>
    <rPh sb="2" eb="4">
      <t>タイサク</t>
    </rPh>
    <rPh sb="5" eb="7">
      <t>コウモク</t>
    </rPh>
    <phoneticPr fontId="2"/>
  </si>
  <si>
    <t>入力シート（計画書）</t>
    <phoneticPr fontId="1"/>
  </si>
  <si>
    <t>　　　　　　はい</t>
    <phoneticPr fontId="1"/>
  </si>
  <si>
    <t>第１年度報告書</t>
    <rPh sb="0" eb="1">
      <t>ダイ</t>
    </rPh>
    <rPh sb="2" eb="4">
      <t>ネンド</t>
    </rPh>
    <rPh sb="4" eb="7">
      <t>ホウコクショ</t>
    </rPh>
    <phoneticPr fontId="1"/>
  </si>
  <si>
    <t>SHK制度改正前
報告対象分</t>
    <phoneticPr fontId="1"/>
  </si>
  <si>
    <t>SHK制度改正後
報告対象追加分※</t>
    <phoneticPr fontId="1"/>
  </si>
  <si>
    <t>省エネ法・温対法改正以降　燃料種別の単位発熱量及び炭素排出係数</t>
    <rPh sb="0" eb="1">
      <t>ショウ</t>
    </rPh>
    <rPh sb="3" eb="4">
      <t>ホウ</t>
    </rPh>
    <rPh sb="5" eb="8">
      <t>オンタイホウ</t>
    </rPh>
    <rPh sb="8" eb="10">
      <t>カイセイ</t>
    </rPh>
    <rPh sb="10" eb="12">
      <t>イコウ</t>
    </rPh>
    <rPh sb="25" eb="27">
      <t>タンソ</t>
    </rPh>
    <phoneticPr fontId="3"/>
  </si>
  <si>
    <t>2025年11月28日 現在</t>
    <rPh sb="7" eb="8">
      <t>ガツ</t>
    </rPh>
    <rPh sb="10" eb="11">
      <t>ニチ</t>
    </rPh>
    <rPh sb="12" eb="14">
      <t>ゲンザイ</t>
    </rPh>
    <phoneticPr fontId="1"/>
  </si>
  <si>
    <t>区分</t>
    <rPh sb="0" eb="2">
      <t>クブン</t>
    </rPh>
    <phoneticPr fontId="1"/>
  </si>
  <si>
    <t>受付開始</t>
    <rPh sb="0" eb="2">
      <t>ウケツケ</t>
    </rPh>
    <rPh sb="2" eb="4">
      <t>カイシ</t>
    </rPh>
    <phoneticPr fontId="1"/>
  </si>
  <si>
    <t>受付終了</t>
    <rPh sb="0" eb="2">
      <t>ウケツケ</t>
    </rPh>
    <rPh sb="2" eb="4">
      <t>シュウリョウ</t>
    </rPh>
    <phoneticPr fontId="1"/>
  </si>
  <si>
    <t>第２年度報告書</t>
    <rPh sb="0" eb="1">
      <t>ダイ</t>
    </rPh>
    <rPh sb="2" eb="4">
      <t>ネンド</t>
    </rPh>
    <rPh sb="4" eb="7">
      <t>ホウコクショ</t>
    </rPh>
    <phoneticPr fontId="1"/>
  </si>
  <si>
    <t>第３年度報告書</t>
    <rPh sb="0" eb="1">
      <t>ダイ</t>
    </rPh>
    <rPh sb="2" eb="4">
      <t>ネンド</t>
    </rPh>
    <rPh sb="4" eb="7">
      <t>ホウコクショ</t>
    </rPh>
    <phoneticPr fontId="1"/>
  </si>
  <si>
    <t>非該当</t>
    <rPh sb="0" eb="3">
      <t>ヒガイトウ</t>
    </rPh>
    <phoneticPr fontId="1"/>
  </si>
  <si>
    <t>参加年度</t>
    <rPh sb="0" eb="2">
      <t>サンカ</t>
    </rPh>
    <rPh sb="2" eb="4">
      <t>ネンド</t>
    </rPh>
    <phoneticPr fontId="1"/>
  </si>
  <si>
    <t>報告書の提出年月日</t>
    <rPh sb="0" eb="3">
      <t>ホウコクショ</t>
    </rPh>
    <rPh sb="4" eb="6">
      <t>テイシュツ</t>
    </rPh>
    <rPh sb="6" eb="9">
      <t>ネンガッピ</t>
    </rPh>
    <phoneticPr fontId="1"/>
  </si>
  <si>
    <t>入力シート（事業者情報）</t>
    <rPh sb="0" eb="2">
      <t>ニュウリョク</t>
    </rPh>
    <rPh sb="6" eb="9">
      <t>ジギョウシャ</t>
    </rPh>
    <rPh sb="9" eb="11">
      <t>ジョウホウ</t>
    </rPh>
    <phoneticPr fontId="1"/>
  </si>
  <si>
    <t>電話番号</t>
    <rPh sb="0" eb="2">
      <t>デンワ</t>
    </rPh>
    <rPh sb="2" eb="4">
      <t>バンゴウ</t>
    </rPh>
    <phoneticPr fontId="1"/>
  </si>
  <si>
    <t>事業所名</t>
    <phoneticPr fontId="1"/>
  </si>
  <si>
    <t>４-１．クレジットや非化石証書等による排出削減を行っていますか。</t>
    <phoneticPr fontId="1"/>
  </si>
  <si>
    <t>https://www.env.go.jp/earth/ondanka/mechanism/carbon_offset.html</t>
    <phoneticPr fontId="1"/>
  </si>
  <si>
    <t>配点
（最大）</t>
    <rPh sb="0" eb="2">
      <t>ハイテン</t>
    </rPh>
    <rPh sb="4" eb="6">
      <t>サイダイ</t>
    </rPh>
    <phoneticPr fontId="1"/>
  </si>
  <si>
    <t>選択対策・その他の対策</t>
    <rPh sb="0" eb="2">
      <t>センタク</t>
    </rPh>
    <rPh sb="2" eb="4">
      <t>タイサク</t>
    </rPh>
    <rPh sb="7" eb="8">
      <t>タ</t>
    </rPh>
    <rPh sb="9" eb="11">
      <t>タイサク</t>
    </rPh>
    <phoneticPr fontId="1"/>
  </si>
  <si>
    <t>⇒</t>
    <phoneticPr fontId="1"/>
  </si>
  <si>
    <t>【定量項目】</t>
    <rPh sb="1" eb="3">
      <t>テイリョウ</t>
    </rPh>
    <rPh sb="3" eb="5">
      <t>コウモク</t>
    </rPh>
    <phoneticPr fontId="1"/>
  </si>
  <si>
    <t>〈従来計算〉</t>
    <rPh sb="1" eb="3">
      <t>ジュウライ</t>
    </rPh>
    <rPh sb="3" eb="5">
      <t>ケイサン</t>
    </rPh>
    <phoneticPr fontId="1"/>
  </si>
  <si>
    <t>平均</t>
    <rPh sb="0" eb="2">
      <t>ヘイキン</t>
    </rPh>
    <phoneticPr fontId="1"/>
  </si>
  <si>
    <t>削減率（％）</t>
    <rPh sb="0" eb="2">
      <t>サクゲン</t>
    </rPh>
    <rPh sb="2" eb="3">
      <t>リツ</t>
    </rPh>
    <phoneticPr fontId="1"/>
  </si>
  <si>
    <t>〈仮定値計算〉</t>
    <rPh sb="1" eb="3">
      <t>カテイ</t>
    </rPh>
    <rPh sb="3" eb="4">
      <t>チ</t>
    </rPh>
    <rPh sb="4" eb="6">
      <t>ケイサン</t>
    </rPh>
    <phoneticPr fontId="1"/>
  </si>
  <si>
    <t>■基準年度仮定値の算出</t>
    <rPh sb="1" eb="3">
      <t>キジュン</t>
    </rPh>
    <rPh sb="3" eb="5">
      <t>ネンド</t>
    </rPh>
    <rPh sb="5" eb="7">
      <t>カテイ</t>
    </rPh>
    <rPh sb="7" eb="8">
      <t>チ</t>
    </rPh>
    <rPh sb="9" eb="11">
      <t>サンシュツ</t>
    </rPh>
    <phoneticPr fontId="1"/>
  </si>
  <si>
    <r>
      <t xml:space="preserve">基準年度
排出量
〈仮定値〉
</t>
    </r>
    <r>
      <rPr>
        <sz val="6"/>
        <color theme="1"/>
        <rFont val="メイリオ"/>
        <family val="3"/>
        <charset val="128"/>
      </rPr>
      <t>クレジット除く</t>
    </r>
    <rPh sb="0" eb="2">
      <t>キジュン</t>
    </rPh>
    <rPh sb="2" eb="4">
      <t>ネンド</t>
    </rPh>
    <rPh sb="5" eb="7">
      <t>ハイシュツ</t>
    </rPh>
    <rPh sb="7" eb="8">
      <t>リョウ</t>
    </rPh>
    <rPh sb="10" eb="12">
      <t>カテイ</t>
    </rPh>
    <rPh sb="12" eb="13">
      <t>チ</t>
    </rPh>
    <rPh sb="21" eb="22">
      <t>ノゾ</t>
    </rPh>
    <phoneticPr fontId="1"/>
  </si>
  <si>
    <t>原単位の
指標の
数値</t>
    <rPh sb="0" eb="3">
      <t>ゲンタンイ</t>
    </rPh>
    <rPh sb="5" eb="7">
      <t>シヒョウ</t>
    </rPh>
    <rPh sb="9" eb="11">
      <t>スウチ</t>
    </rPh>
    <phoneticPr fontId="1"/>
  </si>
  <si>
    <r>
      <t xml:space="preserve">基準年度
原単位
〈仮定値〉
</t>
    </r>
    <r>
      <rPr>
        <sz val="6"/>
        <color theme="1"/>
        <rFont val="メイリオ"/>
        <family val="3"/>
        <charset val="128"/>
      </rPr>
      <t>クレジット除く</t>
    </r>
    <rPh sb="0" eb="2">
      <t>キジュン</t>
    </rPh>
    <rPh sb="2" eb="4">
      <t>ネンド</t>
    </rPh>
    <rPh sb="5" eb="8">
      <t>ゲンタンイ</t>
    </rPh>
    <rPh sb="10" eb="12">
      <t>カテイ</t>
    </rPh>
    <rPh sb="12" eb="13">
      <t>チ</t>
    </rPh>
    <rPh sb="21" eb="22">
      <t>ノゾ</t>
    </rPh>
    <phoneticPr fontId="1"/>
  </si>
  <si>
    <t>電気(自家発電以外)　※仮定値計算</t>
    <rPh sb="0" eb="2">
      <t>デンキ</t>
    </rPh>
    <rPh sb="3" eb="5">
      <t>ジカ</t>
    </rPh>
    <rPh sb="5" eb="7">
      <t>ハツデン</t>
    </rPh>
    <rPh sb="7" eb="9">
      <t>イガイ</t>
    </rPh>
    <rPh sb="12" eb="14">
      <t>カテイ</t>
    </rPh>
    <rPh sb="14" eb="15">
      <t>チ</t>
    </rPh>
    <rPh sb="15" eb="17">
      <t>ケイサン</t>
    </rPh>
    <phoneticPr fontId="1"/>
  </si>
  <si>
    <t>電気
(自家発電)</t>
    <rPh sb="0" eb="2">
      <t>デンキ</t>
    </rPh>
    <rPh sb="4" eb="8">
      <t>ジカハツデン</t>
    </rPh>
    <phoneticPr fontId="1"/>
  </si>
  <si>
    <t>使用電力量</t>
    <rPh sb="0" eb="2">
      <t>シヨウ</t>
    </rPh>
    <rPh sb="2" eb="4">
      <t>デンリョク</t>
    </rPh>
    <rPh sb="4" eb="5">
      <t>リョウ</t>
    </rPh>
    <phoneticPr fontId="1"/>
  </si>
  <si>
    <t>排出係数</t>
    <rPh sb="0" eb="2">
      <t>ハイシュツ</t>
    </rPh>
    <rPh sb="2" eb="4">
      <t>ケイスウ</t>
    </rPh>
    <phoneticPr fontId="1"/>
  </si>
  <si>
    <t>電気事業者からの買電</t>
    <rPh sb="0" eb="2">
      <t>デンキ</t>
    </rPh>
    <rPh sb="2" eb="5">
      <t>ジギョウシャ</t>
    </rPh>
    <rPh sb="8" eb="10">
      <t>カイデン</t>
    </rPh>
    <phoneticPr fontId="1"/>
  </si>
  <si>
    <t>上記以外の買電</t>
    <rPh sb="0" eb="2">
      <t>ジョウキ</t>
    </rPh>
    <rPh sb="2" eb="4">
      <t>イガイ</t>
    </rPh>
    <rPh sb="5" eb="7">
      <t>カイデン</t>
    </rPh>
    <phoneticPr fontId="1"/>
  </si>
  <si>
    <t>自家消費した非化石電気</t>
    <rPh sb="0" eb="2">
      <t>ジカ</t>
    </rPh>
    <rPh sb="2" eb="4">
      <t>ショウヒ</t>
    </rPh>
    <rPh sb="6" eb="7">
      <t>ヒ</t>
    </rPh>
    <rPh sb="7" eb="9">
      <t>カセキ</t>
    </rPh>
    <rPh sb="9" eb="11">
      <t>デンキ</t>
    </rPh>
    <phoneticPr fontId="1"/>
  </si>
  <si>
    <t>東北電力
残差ﾒﾆｭｰ
(初年度)</t>
    <rPh sb="0" eb="2">
      <t>トウホク</t>
    </rPh>
    <rPh sb="2" eb="4">
      <t>デンリョク</t>
    </rPh>
    <rPh sb="5" eb="7">
      <t>ザンサ</t>
    </rPh>
    <rPh sb="13" eb="16">
      <t>ショネンド</t>
    </rPh>
    <phoneticPr fontId="1"/>
  </si>
  <si>
    <t>自家発電
以外</t>
    <rPh sb="0" eb="2">
      <t>ジカ</t>
    </rPh>
    <rPh sb="2" eb="4">
      <t>ハツデン</t>
    </rPh>
    <rPh sb="5" eb="7">
      <t>イガイ</t>
    </rPh>
    <phoneticPr fontId="1"/>
  </si>
  <si>
    <t>千kWh</t>
    <rPh sb="0" eb="1">
      <t>セン</t>
    </rPh>
    <phoneticPr fontId="1"/>
  </si>
  <si>
    <t>＊＊</t>
    <phoneticPr fontId="1"/>
  </si>
  <si>
    <t>【定性項目】</t>
    <rPh sb="1" eb="3">
      <t>テイセイ</t>
    </rPh>
    <rPh sb="3" eb="5">
      <t>コウモク</t>
    </rPh>
    <phoneticPr fontId="1"/>
  </si>
  <si>
    <t>〈基本対策〉</t>
    <rPh sb="1" eb="3">
      <t>キホン</t>
    </rPh>
    <rPh sb="3" eb="5">
      <t>タイサク</t>
    </rPh>
    <phoneticPr fontId="1"/>
  </si>
  <si>
    <t>項目数</t>
    <rPh sb="0" eb="2">
      <t>コウモク</t>
    </rPh>
    <rPh sb="2" eb="3">
      <t>スウ</t>
    </rPh>
    <phoneticPr fontId="1"/>
  </si>
  <si>
    <t>実施済</t>
    <rPh sb="0" eb="2">
      <t>ジッシ</t>
    </rPh>
    <rPh sb="2" eb="3">
      <t>ズ</t>
    </rPh>
    <phoneticPr fontId="1"/>
  </si>
  <si>
    <t>未実施</t>
    <rPh sb="0" eb="3">
      <t>ミジッシ</t>
    </rPh>
    <phoneticPr fontId="1"/>
  </si>
  <si>
    <t>〈選択対策〉</t>
    <rPh sb="1" eb="3">
      <t>センタク</t>
    </rPh>
    <rPh sb="3" eb="5">
      <t>タイサク</t>
    </rPh>
    <phoneticPr fontId="1"/>
  </si>
  <si>
    <t>一部実施済</t>
    <rPh sb="0" eb="2">
      <t>イチブ</t>
    </rPh>
    <rPh sb="2" eb="4">
      <t>ジッシ</t>
    </rPh>
    <rPh sb="4" eb="5">
      <t>ズ</t>
    </rPh>
    <phoneticPr fontId="1"/>
  </si>
  <si>
    <t>〈その他の対策〉</t>
    <rPh sb="3" eb="4">
      <t>タ</t>
    </rPh>
    <rPh sb="5" eb="7">
      <t>タイサク</t>
    </rPh>
    <phoneticPr fontId="1"/>
  </si>
  <si>
    <t>最大</t>
    <rPh sb="0" eb="2">
      <t>サイダイ</t>
    </rPh>
    <phoneticPr fontId="1"/>
  </si>
  <si>
    <t>報告日</t>
    <rPh sb="0" eb="2">
      <t>ホウコク</t>
    </rPh>
    <rPh sb="2" eb="3">
      <t>ビ</t>
    </rPh>
    <phoneticPr fontId="1"/>
  </si>
  <si>
    <t>月</t>
    <rPh sb="0" eb="1">
      <t>ツキ</t>
    </rPh>
    <phoneticPr fontId="1"/>
  </si>
  <si>
    <t>日</t>
    <rPh sb="0" eb="1">
      <t>ヒ</t>
    </rPh>
    <phoneticPr fontId="1"/>
  </si>
  <si>
    <t>本計画書を提出する前年度をご選択ください。</t>
    <phoneticPr fontId="1"/>
  </si>
  <si>
    <t>基準年度：</t>
    <phoneticPr fontId="1"/>
  </si>
  <si>
    <t>計画期間：</t>
    <rPh sb="0" eb="4">
      <t>ケイカクキカン</t>
    </rPh>
    <phoneticPr fontId="1"/>
  </si>
  <si>
    <t>省エネルギー設備への更新</t>
  </si>
  <si>
    <t>対策内容</t>
  </si>
  <si>
    <t>排出係数</t>
    <phoneticPr fontId="1"/>
  </si>
  <si>
    <t>５．原単位の指標</t>
    <rPh sb="2" eb="5">
      <t>ゲンタンイ</t>
    </rPh>
    <rPh sb="6" eb="8">
      <t>シヒョウ</t>
    </rPh>
    <phoneticPr fontId="1"/>
  </si>
  <si>
    <t>項　　目：実施済の取組み、計画期間中に実施する予定の取組みをプルダウンから選択してください。項目を選択すると対策内容は自動で入力されます。</t>
    <rPh sb="5" eb="7">
      <t>ジッシ</t>
    </rPh>
    <rPh sb="7" eb="8">
      <t>ズ</t>
    </rPh>
    <rPh sb="9" eb="11">
      <t>トリク</t>
    </rPh>
    <rPh sb="13" eb="15">
      <t>ケイカク</t>
    </rPh>
    <rPh sb="15" eb="17">
      <t>キカン</t>
    </rPh>
    <rPh sb="17" eb="18">
      <t>チュウ</t>
    </rPh>
    <rPh sb="23" eb="25">
      <t>ヨテイ</t>
    </rPh>
    <rPh sb="26" eb="28">
      <t>トリク</t>
    </rPh>
    <rPh sb="46" eb="48">
      <t>コウモク</t>
    </rPh>
    <rPh sb="49" eb="51">
      <t>センタク</t>
    </rPh>
    <rPh sb="54" eb="56">
      <t>タイサク</t>
    </rPh>
    <rPh sb="56" eb="58">
      <t>ナイヨウ</t>
    </rPh>
    <rPh sb="59" eb="61">
      <t>ジドウ</t>
    </rPh>
    <rPh sb="62" eb="64">
      <t>ニュウリョク</t>
    </rPh>
    <phoneticPr fontId="1"/>
  </si>
  <si>
    <t>今年度使用するシートです。</t>
    <phoneticPr fontId="1"/>
  </si>
  <si>
    <t>本シートは作成済みです。次のシートにお進みください。</t>
    <phoneticPr fontId="1"/>
  </si>
  <si>
    <t>本シートは作成済みです。</t>
    <phoneticPr fontId="1"/>
  </si>
  <si>
    <t>本シートは使用しません。</t>
    <rPh sb="0" eb="1">
      <t>ホン</t>
    </rPh>
    <rPh sb="5" eb="7">
      <t>シヨウ</t>
    </rPh>
    <phoneticPr fontId="1"/>
  </si>
  <si>
    <t>コメント表示なし</t>
    <phoneticPr fontId="1"/>
  </si>
  <si>
    <t>参加年度</t>
    <rPh sb="0" eb="4">
      <t>サンカネンド</t>
    </rPh>
    <phoneticPr fontId="1"/>
  </si>
  <si>
    <t>日付</t>
    <rPh sb="0" eb="2">
      <t>ヒヅケ</t>
    </rPh>
    <phoneticPr fontId="1"/>
  </si>
  <si>
    <t>2026年度（計画書）</t>
  </si>
  <si>
    <t>2027年度（第１年度報告書）</t>
  </si>
  <si>
    <t>2028年度（第２年度報告書）</t>
  </si>
  <si>
    <t>2029年度（第３年度報告書）</t>
  </si>
  <si>
    <t>2027年度（計画書）</t>
  </si>
  <si>
    <t>2028年度（第１年度報告書）</t>
  </si>
  <si>
    <t>2029年度（第２年度報告書）</t>
  </si>
  <si>
    <t>2028年度（計画書）</t>
  </si>
  <si>
    <t>2029年度（第１年度報告書）</t>
  </si>
  <si>
    <t>シート区分</t>
    <rPh sb="3" eb="5">
      <t>クブン</t>
    </rPh>
    <phoneticPr fontId="1"/>
  </si>
  <si>
    <t>----年度(第３年度報告書)</t>
    <phoneticPr fontId="1"/>
  </si>
  <si>
    <t>----年度（第２年度報告書）</t>
    <phoneticPr fontId="1"/>
  </si>
  <si>
    <t>----年度（第３年度報告書）</t>
    <phoneticPr fontId="1"/>
  </si>
  <si>
    <t>（環境省ホームページ　地球環境・国際環境協力　J-クレジット制度及びカーボン・オフセットについて）</t>
    <phoneticPr fontId="1"/>
  </si>
  <si>
    <t>日付＼シート区分</t>
    <rPh sb="0" eb="2">
      <t>ヒヅケ</t>
    </rPh>
    <rPh sb="6" eb="8">
      <t>クブン</t>
    </rPh>
    <phoneticPr fontId="1"/>
  </si>
  <si>
    <t>第1年度報告書</t>
    <rPh sb="0" eb="1">
      <t>ダイ</t>
    </rPh>
    <rPh sb="2" eb="4">
      <t>ネンド</t>
    </rPh>
    <rPh sb="4" eb="7">
      <t>ホウコクショ</t>
    </rPh>
    <phoneticPr fontId="1"/>
  </si>
  <si>
    <t>第2年度報告書</t>
    <rPh sb="0" eb="1">
      <t>ダイ</t>
    </rPh>
    <rPh sb="2" eb="4">
      <t>ネンド</t>
    </rPh>
    <rPh sb="4" eb="7">
      <t>ホウコクショ</t>
    </rPh>
    <phoneticPr fontId="1"/>
  </si>
  <si>
    <t>第3年度報告書</t>
    <rPh sb="0" eb="1">
      <t>ダイ</t>
    </rPh>
    <rPh sb="2" eb="4">
      <t>ネンド</t>
    </rPh>
    <rPh sb="4" eb="7">
      <t>ホウコクショ</t>
    </rPh>
    <phoneticPr fontId="1"/>
  </si>
  <si>
    <t>電気事業者からの買電
電気事業者名・契約メニュー</t>
    <rPh sb="0" eb="2">
      <t>デンキ</t>
    </rPh>
    <rPh sb="2" eb="5">
      <t>ジギョウシャ</t>
    </rPh>
    <rPh sb="8" eb="10">
      <t>バイデン</t>
    </rPh>
    <rPh sb="11" eb="13">
      <t>デンキ</t>
    </rPh>
    <rPh sb="13" eb="16">
      <t>ジギョウシャ</t>
    </rPh>
    <rPh sb="16" eb="17">
      <t>メイ</t>
    </rPh>
    <rPh sb="18" eb="20">
      <t>ケイヤク</t>
    </rPh>
    <phoneticPr fontId="3"/>
  </si>
  <si>
    <t>※排出係数は毎年度更新されます。報告書作成の際には、その時点の最新の排出係数検索ツールをご使用ください。</t>
    <rPh sb="1" eb="3">
      <t>ハイシュツ</t>
    </rPh>
    <rPh sb="3" eb="5">
      <t>ケイスウ</t>
    </rPh>
    <rPh sb="6" eb="9">
      <t>マイネンド</t>
    </rPh>
    <rPh sb="9" eb="11">
      <t>コウシン</t>
    </rPh>
    <rPh sb="16" eb="19">
      <t>ホウコクショ</t>
    </rPh>
    <rPh sb="19" eb="21">
      <t>サクセイ</t>
    </rPh>
    <rPh sb="22" eb="23">
      <t>サイ</t>
    </rPh>
    <rPh sb="28" eb="30">
      <t>ジテン</t>
    </rPh>
    <rPh sb="31" eb="33">
      <t>サイシン</t>
    </rPh>
    <rPh sb="34" eb="36">
      <t>ハイシュツ</t>
    </rPh>
    <rPh sb="36" eb="38">
      <t>ケイスウ</t>
    </rPh>
    <rPh sb="38" eb="40">
      <t>ケンサク</t>
    </rPh>
    <rPh sb="45" eb="47">
      <t>シヨウ</t>
    </rPh>
    <phoneticPr fontId="1"/>
  </si>
  <si>
    <t>SBTやRE100等の国際的なイニシアティブ等への参加</t>
    <rPh sb="22" eb="23">
      <t>ナド</t>
    </rPh>
    <phoneticPr fontId="3"/>
  </si>
  <si>
    <t>※2024年4月1日施行</t>
    <phoneticPr fontId="1"/>
  </si>
  <si>
    <t>※電気事業者名・契約メニュー、排出係数は、「排出係数検索ツール」にて検索した情報を入力してください。（排出係数検索ツールは仙台市HPよりダウンロードしてください。）</t>
    <rPh sb="1" eb="3">
      <t>デンキ</t>
    </rPh>
    <rPh sb="3" eb="6">
      <t>ジギョウシャ</t>
    </rPh>
    <rPh sb="6" eb="7">
      <t>メイ</t>
    </rPh>
    <rPh sb="8" eb="10">
      <t>ケイヤク</t>
    </rPh>
    <rPh sb="15" eb="17">
      <t>ハイシュツ</t>
    </rPh>
    <rPh sb="17" eb="19">
      <t>ケイスウ</t>
    </rPh>
    <rPh sb="22" eb="24">
      <t>ハイシュツ</t>
    </rPh>
    <rPh sb="24" eb="26">
      <t>ケイスウ</t>
    </rPh>
    <rPh sb="26" eb="28">
      <t>ケンサク</t>
    </rPh>
    <rPh sb="34" eb="36">
      <t>ケンサク</t>
    </rPh>
    <rPh sb="38" eb="40">
      <t>ジョウホウ</t>
    </rPh>
    <rPh sb="41" eb="43">
      <t>ニュウリョク</t>
    </rPh>
    <rPh sb="51" eb="53">
      <t>ハイシュツ</t>
    </rPh>
    <rPh sb="53" eb="55">
      <t>ケイスウ</t>
    </rPh>
    <rPh sb="55" eb="57">
      <t>ケンサク</t>
    </rPh>
    <rPh sb="61" eb="64">
      <t>センダイシ</t>
    </rPh>
    <phoneticPr fontId="1"/>
  </si>
  <si>
    <t>　</t>
    <phoneticPr fontId="1"/>
  </si>
  <si>
    <t>自己託送以外_電気事業者からの買電_非化石分</t>
    <phoneticPr fontId="1"/>
  </si>
  <si>
    <t>その他買電</t>
  </si>
  <si>
    <t>エネルギー名称区分2025</t>
    <rPh sb="5" eb="7">
      <t>メイショウ</t>
    </rPh>
    <rPh sb="7" eb="9">
      <t>クブン</t>
    </rPh>
    <phoneticPr fontId="1"/>
  </si>
  <si>
    <t>エネルギー名称区分202X</t>
    <rPh sb="5" eb="7">
      <t>メイショウ</t>
    </rPh>
    <rPh sb="7" eb="9">
      <t>クブン</t>
    </rPh>
    <phoneticPr fontId="1"/>
  </si>
  <si>
    <t>その他買電</t>
    <rPh sb="2" eb="3">
      <t>タ</t>
    </rPh>
    <rPh sb="3" eb="5">
      <t>バイデン</t>
    </rPh>
    <phoneticPr fontId="1"/>
  </si>
  <si>
    <t>C</t>
    <phoneticPr fontId="1"/>
  </si>
  <si>
    <t>B/(A-C)</t>
    <phoneticPr fontId="1"/>
  </si>
  <si>
    <t>実施率</t>
    <rPh sb="0" eb="3">
      <t>ジッシリツ</t>
    </rPh>
    <phoneticPr fontId="1"/>
  </si>
  <si>
    <t>得点</t>
    <rPh sb="0" eb="2">
      <t>トクテン</t>
    </rPh>
    <phoneticPr fontId="1"/>
  </si>
  <si>
    <t>------</t>
    <phoneticPr fontId="1"/>
  </si>
  <si>
    <t>電気事業者からの買電</t>
    <phoneticPr fontId="1"/>
  </si>
  <si>
    <t>自家発電</t>
    <phoneticPr fontId="1"/>
  </si>
  <si>
    <t>項目数</t>
    <rPh sb="0" eb="3">
      <t>コウモクスウ</t>
    </rPh>
    <phoneticPr fontId="1"/>
  </si>
  <si>
    <t>第1年度</t>
    <phoneticPr fontId="1"/>
  </si>
  <si>
    <t>第2年度</t>
    <phoneticPr fontId="1"/>
  </si>
  <si>
    <t>第3年度</t>
    <phoneticPr fontId="1"/>
  </si>
  <si>
    <t>予定なし</t>
    <rPh sb="0" eb="2">
      <t>ヨテイ</t>
    </rPh>
    <phoneticPr fontId="1"/>
  </si>
  <si>
    <t>状況</t>
    <rPh sb="0" eb="2">
      <t>ジョウキョウ</t>
    </rPh>
    <phoneticPr fontId="1"/>
  </si>
  <si>
    <t>計画期間満了時</t>
    <rPh sb="0" eb="2">
      <t>ケイカク</t>
    </rPh>
    <rPh sb="2" eb="4">
      <t>キカン</t>
    </rPh>
    <rPh sb="4" eb="6">
      <t>マンリョウ</t>
    </rPh>
    <rPh sb="6" eb="7">
      <t>ジ</t>
    </rPh>
    <phoneticPr fontId="1"/>
  </si>
  <si>
    <r>
      <t>０．基準年度の設定　</t>
    </r>
    <r>
      <rPr>
        <sz val="14"/>
        <color rgb="FFFF0000"/>
        <rFont val="メイリオ"/>
        <family val="3"/>
        <charset val="128"/>
      </rPr>
      <t>※最初に設定してください</t>
    </r>
    <phoneticPr fontId="1"/>
  </si>
  <si>
    <t>番号</t>
    <rPh sb="0" eb="2">
      <t>バンゴウ</t>
    </rPh>
    <phoneticPr fontId="1"/>
  </si>
  <si>
    <t>項目</t>
    <rPh sb="0" eb="2">
      <t>コウモク</t>
    </rPh>
    <phoneticPr fontId="1"/>
  </si>
  <si>
    <t>項目</t>
    <rPh sb="0" eb="2">
      <t>コウモク</t>
    </rPh>
    <phoneticPr fontId="2"/>
  </si>
  <si>
    <t>項目</t>
    <phoneticPr fontId="2"/>
  </si>
  <si>
    <t>その他対策</t>
    <phoneticPr fontId="2"/>
  </si>
  <si>
    <t>対策内容</t>
    <phoneticPr fontId="2"/>
  </si>
  <si>
    <t>目標原単位</t>
    <rPh sb="2" eb="5">
      <t>ゲンタンイ</t>
    </rPh>
    <phoneticPr fontId="1"/>
  </si>
  <si>
    <t>選択対策の項目を追加する場合はこちらのプルダウンリストから選択してださい。</t>
    <rPh sb="0" eb="2">
      <t>センタク</t>
    </rPh>
    <rPh sb="29" eb="31">
      <t>センタク</t>
    </rPh>
    <phoneticPr fontId="1"/>
  </si>
  <si>
    <t>その他の名称</t>
    <phoneticPr fontId="1"/>
  </si>
  <si>
    <t>その他対策の項目を追加する場合はこちらのプルダウンリストから選択し、具体的な取組内容をご入力ください。
追加項目：実施済の取組み、計画期間中に実施する予定の取組みをプルダウンから選択してください。
取組内容：取組みの具体的な内容を記入してください。</t>
    <phoneticPr fontId="1"/>
  </si>
  <si>
    <t>揮発油（ガソリン）</t>
  </si>
  <si>
    <t>液化石油ガス (LPG)</t>
  </si>
  <si>
    <t>液化天然ガス (LNG)</t>
  </si>
  <si>
    <t>都市ガス（CNG含む）</t>
    <rPh sb="8" eb="9">
      <t>フク</t>
    </rPh>
    <phoneticPr fontId="5"/>
  </si>
  <si>
    <r>
      <t>千m</t>
    </r>
    <r>
      <rPr>
        <vertAlign val="superscript"/>
        <sz val="10"/>
        <color indexed="8"/>
        <rFont val="メイリオ"/>
        <family val="3"/>
        <charset val="128"/>
      </rPr>
      <t>3</t>
    </r>
    <rPh sb="0" eb="1">
      <t>セン</t>
    </rPh>
    <phoneticPr fontId="5"/>
  </si>
  <si>
    <t>水素</t>
    <phoneticPr fontId="1"/>
  </si>
  <si>
    <t>５．年度末使用車両数</t>
    <rPh sb="2" eb="4">
      <t>ネンド</t>
    </rPh>
    <rPh sb="4" eb="5">
      <t>マツ</t>
    </rPh>
    <rPh sb="5" eb="7">
      <t>シヨウ</t>
    </rPh>
    <rPh sb="7" eb="9">
      <t>シャリョウ</t>
    </rPh>
    <rPh sb="9" eb="10">
      <t>スウ</t>
    </rPh>
    <phoneticPr fontId="3"/>
  </si>
  <si>
    <t>５．年度末使用車両数</t>
    <rPh sb="2" eb="5">
      <t>ネンドマツ</t>
    </rPh>
    <rPh sb="5" eb="7">
      <t>シヨウ</t>
    </rPh>
    <rPh sb="7" eb="9">
      <t>シャリョウ</t>
    </rPh>
    <rPh sb="9" eb="10">
      <t>スウ</t>
    </rPh>
    <phoneticPr fontId="3"/>
  </si>
  <si>
    <t>全台数
（台）</t>
    <rPh sb="0" eb="1">
      <t>ゼン</t>
    </rPh>
    <rPh sb="1" eb="3">
      <t>ダイスウ</t>
    </rPh>
    <rPh sb="5" eb="6">
      <t>ダイ</t>
    </rPh>
    <phoneticPr fontId="2"/>
  </si>
  <si>
    <t>全台数のうち下記の車種の内訳</t>
    <rPh sb="0" eb="1">
      <t>ゼン</t>
    </rPh>
    <rPh sb="1" eb="3">
      <t>ダイスウ</t>
    </rPh>
    <rPh sb="2" eb="3">
      <t>スウ</t>
    </rPh>
    <rPh sb="6" eb="8">
      <t>カキ</t>
    </rPh>
    <rPh sb="9" eb="11">
      <t>シャシュ</t>
    </rPh>
    <rPh sb="12" eb="14">
      <t>ウチワケ</t>
    </rPh>
    <phoneticPr fontId="2"/>
  </si>
  <si>
    <t>台数
（台）</t>
    <rPh sb="0" eb="2">
      <t>ダイスウ</t>
    </rPh>
    <rPh sb="4" eb="5">
      <t>ダイ</t>
    </rPh>
    <phoneticPr fontId="2"/>
  </si>
  <si>
    <t>EV・PHV・水素自動車</t>
    <rPh sb="7" eb="9">
      <t>スイソ</t>
    </rPh>
    <rPh sb="9" eb="12">
      <t>ジドウシャ</t>
    </rPh>
    <phoneticPr fontId="2"/>
  </si>
  <si>
    <t>ハイブリッド自動車</t>
    <rPh sb="6" eb="9">
      <t>ジドウシャ</t>
    </rPh>
    <phoneticPr fontId="2"/>
  </si>
  <si>
    <t>低炭素ディーゼル自動車・天然ガス自動車</t>
    <rPh sb="0" eb="3">
      <t>テイタンソ</t>
    </rPh>
    <rPh sb="8" eb="11">
      <t>ジドウシャ</t>
    </rPh>
    <rPh sb="12" eb="14">
      <t>テンネン</t>
    </rPh>
    <rPh sb="16" eb="19">
      <t>ジドウシャ</t>
    </rPh>
    <phoneticPr fontId="2"/>
  </si>
  <si>
    <t>車種</t>
    <phoneticPr fontId="1"/>
  </si>
  <si>
    <t>トラック</t>
  </si>
  <si>
    <t>バス</t>
  </si>
  <si>
    <t>タクシー</t>
  </si>
  <si>
    <t>合　　　　計</t>
    <rPh sb="0" eb="1">
      <t>ゴウ</t>
    </rPh>
    <rPh sb="5" eb="6">
      <t>ケイ</t>
    </rPh>
    <phoneticPr fontId="5"/>
  </si>
  <si>
    <t>合　　　　計</t>
    <phoneticPr fontId="1"/>
  </si>
  <si>
    <t>その他の名称</t>
    <rPh sb="2" eb="3">
      <t>タ</t>
    </rPh>
    <rPh sb="4" eb="6">
      <t>メイショウ</t>
    </rPh>
    <phoneticPr fontId="3"/>
  </si>
  <si>
    <t>非化石エネルギー自動車割合</t>
    <rPh sb="0" eb="1">
      <t>ヒ</t>
    </rPh>
    <rPh sb="1" eb="3">
      <t>カセキ</t>
    </rPh>
    <rPh sb="8" eb="11">
      <t>ジドウシャ</t>
    </rPh>
    <rPh sb="11" eb="13">
      <t>ワリアイ</t>
    </rPh>
    <phoneticPr fontId="1"/>
  </si>
  <si>
    <t>揮発油（ガソリン）</t>
    <phoneticPr fontId="1"/>
  </si>
  <si>
    <t>液化石油ガス (LPG)</t>
    <phoneticPr fontId="1"/>
  </si>
  <si>
    <t>液化天然ガス (LNG)</t>
    <phoneticPr fontId="1"/>
  </si>
  <si>
    <t>都市ガス（CNG含む）</t>
    <phoneticPr fontId="1"/>
  </si>
  <si>
    <t>６．年度末使用車両数</t>
    <rPh sb="2" eb="5">
      <t>ネンドマツ</t>
    </rPh>
    <rPh sb="5" eb="7">
      <t>シヨウ</t>
    </rPh>
    <rPh sb="7" eb="9">
      <t>シャリョウ</t>
    </rPh>
    <rPh sb="9" eb="10">
      <t>スウ</t>
    </rPh>
    <phoneticPr fontId="1"/>
  </si>
  <si>
    <t>７．温室効果ガスの排出状況・目標排出量等の設定</t>
    <phoneticPr fontId="1"/>
  </si>
  <si>
    <t>８．排出削減に向けた取組みの実施状況・実施目標の設定</t>
    <rPh sb="2" eb="4">
      <t>ハイシュツ</t>
    </rPh>
    <rPh sb="4" eb="6">
      <t>サクゲン</t>
    </rPh>
    <rPh sb="7" eb="8">
      <t>ム</t>
    </rPh>
    <rPh sb="10" eb="12">
      <t>トリク</t>
    </rPh>
    <rPh sb="14" eb="16">
      <t>ジッシ</t>
    </rPh>
    <rPh sb="16" eb="18">
      <t>ジョウキョウ</t>
    </rPh>
    <rPh sb="19" eb="21">
      <t>ジッシ</t>
    </rPh>
    <rPh sb="21" eb="23">
      <t>モクヒョウ</t>
    </rPh>
    <rPh sb="24" eb="26">
      <t>セッテイ</t>
    </rPh>
    <phoneticPr fontId="1"/>
  </si>
  <si>
    <t>８-１．【基本対策】計画期間中に実施することが望ましい取組み　※すべての項目に入力してください。</t>
    <phoneticPr fontId="1"/>
  </si>
  <si>
    <t>９．温室効果ガス排出抑制のための組織体制</t>
    <rPh sb="2" eb="4">
      <t>オンシツ</t>
    </rPh>
    <rPh sb="4" eb="6">
      <t>コウカ</t>
    </rPh>
    <rPh sb="8" eb="10">
      <t>ハイシュツ</t>
    </rPh>
    <rPh sb="10" eb="12">
      <t>ヨクセイ</t>
    </rPh>
    <rPh sb="16" eb="18">
      <t>ソシキ</t>
    </rPh>
    <rPh sb="18" eb="20">
      <t>タイセイ</t>
    </rPh>
    <phoneticPr fontId="1"/>
  </si>
  <si>
    <t>８-２．【選択対策】基本対策に加えて、計画期間中に積極的に実施することが望ましい取組み</t>
    <phoneticPr fontId="1"/>
  </si>
  <si>
    <t>８-３．【その他の対策】基本対策と選択対策どちらにも該当しない独自の取組み</t>
    <phoneticPr fontId="1"/>
  </si>
  <si>
    <t>９-１．温暖化対策の実施に向けた推進体制を図等で記入してください。</t>
    <phoneticPr fontId="1"/>
  </si>
  <si>
    <t>エコドライブ推進体制の整備</t>
  </si>
  <si>
    <t>エコドライブ推進に関する責任者の設置、実践方法に関するマニュアルを作成するなど、推進体制を整備している。</t>
  </si>
  <si>
    <t>エコドライブ教育の実施</t>
  </si>
  <si>
    <t>車両の点検・整備に関する責任者の設置、マニュアルの作成等、自動車の維持管理体制が整備されている。</t>
  </si>
  <si>
    <t>日常及び定期的な保守・点検、修理が行われ、記録されている。</t>
  </si>
  <si>
    <t>効率的なルート選定</t>
  </si>
  <si>
    <t>事前に目的地までの効率的なルートを選定し、運転者に伝える仕組みが整備されている。</t>
  </si>
  <si>
    <t>照明器具の点灯時間管理</t>
  </si>
  <si>
    <t>環境性能の良い車両の計画的導入</t>
  </si>
  <si>
    <t>燃費向上のための装置等の計画的導入</t>
  </si>
  <si>
    <t>アイドリングストップ装置や低燃費タイヤなど、燃費向上のために必要な装置等を計画的に導入している。</t>
  </si>
  <si>
    <t>エコドライブの管理</t>
  </si>
  <si>
    <t>デジタル式記録装置の活用等により、運転者・車種別等のエネルギー使用量を管理している。</t>
  </si>
  <si>
    <t>維持管理に関する教育</t>
  </si>
  <si>
    <t>自動車の適正な維持管理に必要な知識や技術の習得のため、定期的に研修等を実施している。</t>
  </si>
  <si>
    <t>モーダルシフトの推進</t>
  </si>
  <si>
    <t>車両、鉄道、船等の低排出量の輸送方法への変更を検討・実施している。</t>
  </si>
  <si>
    <t>事業者連携による効率的な輸送推進</t>
  </si>
  <si>
    <t>他の事業者と連携して、共同輸配送や共同運行など効率的な輸送を推進している。</t>
  </si>
  <si>
    <t>効率的な自動車運用のためのシステム導入</t>
  </si>
  <si>
    <t>車両動態管理システムなど、輸送や配車効率の向上に資する情報システムを導入している。</t>
  </si>
  <si>
    <t>混雑する道路や時間帯を避けるための輸送計画を作成している。</t>
  </si>
  <si>
    <t>車両に使用するエネルギーの管理に関する組織体制が整備され、各構成員の具体的な役割が明確化されている。</t>
    <rPh sb="0" eb="2">
      <t>シャリョウ</t>
    </rPh>
    <rPh sb="3" eb="5">
      <t>シヨウ</t>
    </rPh>
    <rPh sb="13" eb="15">
      <t>カンリ</t>
    </rPh>
    <rPh sb="16" eb="17">
      <t>カン</t>
    </rPh>
    <rPh sb="19" eb="21">
      <t>ソシキ</t>
    </rPh>
    <rPh sb="21" eb="23">
      <t>タイセイ</t>
    </rPh>
    <rPh sb="24" eb="26">
      <t>セイビ</t>
    </rPh>
    <rPh sb="29" eb="30">
      <t>カク</t>
    </rPh>
    <rPh sb="30" eb="33">
      <t>コウセイイン</t>
    </rPh>
    <rPh sb="34" eb="37">
      <t>グタイテキ</t>
    </rPh>
    <rPh sb="38" eb="40">
      <t>ヤクワリ</t>
    </rPh>
    <rPh sb="41" eb="44">
      <t>メイカクカ</t>
    </rPh>
    <phoneticPr fontId="2"/>
  </si>
  <si>
    <t>エネルギー使用量や走行距離を車両別に記録し、定期的に見直すなどしてエネルギー管理に活用している。</t>
    <rPh sb="18" eb="20">
      <t>キロク</t>
    </rPh>
    <phoneticPr fontId="2"/>
  </si>
  <si>
    <t>エネルギー使用量の見える化</t>
    <rPh sb="5" eb="8">
      <t>シヨウリョウ</t>
    </rPh>
    <rPh sb="9" eb="10">
      <t>ミ</t>
    </rPh>
    <rPh sb="12" eb="13">
      <t>カ</t>
    </rPh>
    <phoneticPr fontId="2"/>
  </si>
  <si>
    <t>車両に関するエネルギー使用量や温室効果ガス排出量、走行距離等をグラフ化するなどし、事業所内で共有するとともに、その増減分析を行っている。</t>
    <rPh sb="0" eb="2">
      <t>シャリョウ</t>
    </rPh>
    <rPh sb="3" eb="4">
      <t>カン</t>
    </rPh>
    <rPh sb="15" eb="19">
      <t>オンシツコウカ</t>
    </rPh>
    <rPh sb="21" eb="24">
      <t>ハイシュツリョウ</t>
    </rPh>
    <rPh sb="25" eb="27">
      <t>ソウコウ</t>
    </rPh>
    <rPh sb="27" eb="29">
      <t>キョリ</t>
    </rPh>
    <rPh sb="29" eb="30">
      <t>ナド</t>
    </rPh>
    <phoneticPr fontId="2"/>
  </si>
  <si>
    <t>車両を運転する全社員に対してエコドライブに関する研修、教育を定期的に実施している。</t>
  </si>
  <si>
    <t>優良エコドライバーへの表彰等</t>
  </si>
  <si>
    <t>エコドライブの成績が高かった従業員に対し、表彰等を行うことで、省エネルギーに対する意欲向上を図っている。</t>
    <rPh sb="7" eb="9">
      <t>セイセキ</t>
    </rPh>
    <rPh sb="10" eb="11">
      <t>タカ</t>
    </rPh>
    <rPh sb="14" eb="17">
      <t>ジュウギョウイン</t>
    </rPh>
    <rPh sb="18" eb="19">
      <t>タイ</t>
    </rPh>
    <rPh sb="21" eb="23">
      <t>ヒョウショウ</t>
    </rPh>
    <rPh sb="23" eb="24">
      <t>ナド</t>
    </rPh>
    <rPh sb="25" eb="26">
      <t>オコナ</t>
    </rPh>
    <rPh sb="31" eb="32">
      <t>ショウ</t>
    </rPh>
    <rPh sb="38" eb="39">
      <t>タイ</t>
    </rPh>
    <rPh sb="41" eb="43">
      <t>イヨク</t>
    </rPh>
    <rPh sb="43" eb="45">
      <t>コウジョウ</t>
    </rPh>
    <rPh sb="46" eb="47">
      <t>ハカ</t>
    </rPh>
    <phoneticPr fontId="2"/>
  </si>
  <si>
    <t>ハイブリッド自動車、電気自動車等の環境性能の優れた車両を計画的に導入している。</t>
  </si>
  <si>
    <t>事業所内の空調設定温度がルール化されている。</t>
    <rPh sb="0" eb="3">
      <t>ジギョウショ</t>
    </rPh>
    <rPh sb="3" eb="4">
      <t>ナイ</t>
    </rPh>
    <phoneticPr fontId="2"/>
  </si>
  <si>
    <t>照明、空調、給湯器、冷蔵庫等を省エネルギー性能の高い機器に更新している。</t>
    <rPh sb="0" eb="2">
      <t>ショウメイ</t>
    </rPh>
    <phoneticPr fontId="2"/>
  </si>
  <si>
    <t>省エネルギー・地球温暖化対策に関する研修、教育を定期的に実施している。</t>
    <rPh sb="12" eb="14">
      <t>タイサク</t>
    </rPh>
    <phoneticPr fontId="2"/>
  </si>
  <si>
    <t>チェックシート等を活用し、エコドライブの実践を徹底している。</t>
    <rPh sb="9" eb="11">
      <t>カツヨウ</t>
    </rPh>
    <rPh sb="23" eb="25">
      <t>テッテイ</t>
    </rPh>
    <phoneticPr fontId="2"/>
  </si>
  <si>
    <t>車両の維持管理体制の整備</t>
    <rPh sb="7" eb="9">
      <t>タイセイ</t>
    </rPh>
    <rPh sb="10" eb="12">
      <t>セイビ</t>
    </rPh>
    <phoneticPr fontId="2"/>
  </si>
  <si>
    <t>車両の適正な維持管理</t>
    <rPh sb="3" eb="5">
      <t>テキセイ</t>
    </rPh>
    <rPh sb="6" eb="8">
      <t>イジ</t>
    </rPh>
    <phoneticPr fontId="2"/>
  </si>
  <si>
    <t>効率的な自動車の運用</t>
    <rPh sb="8" eb="10">
      <t>ウンヨウ</t>
    </rPh>
    <phoneticPr fontId="2"/>
  </si>
  <si>
    <t>輸送需要を把握し、目的や輸送量に応じた自動車を使用するなど、効率的な車両の運用管理を行っている。</t>
    <rPh sb="30" eb="33">
      <t>コウリツテキ</t>
    </rPh>
    <rPh sb="37" eb="39">
      <t>ウンヨウ</t>
    </rPh>
    <phoneticPr fontId="2"/>
  </si>
  <si>
    <t>事業所内の照明器具の点灯時間がルール化されている。または、不要な照明の使用や消し忘れをチェックする仕組み（自己点検の徹底やセンサー制御等）がある。</t>
    <rPh sb="0" eb="3">
      <t>ジギョウショ</t>
    </rPh>
    <rPh sb="3" eb="4">
      <t>ナイ</t>
    </rPh>
    <rPh sb="53" eb="55">
      <t>ジコ</t>
    </rPh>
    <rPh sb="55" eb="57">
      <t>テンケン</t>
    </rPh>
    <rPh sb="58" eb="60">
      <t>テッテイ</t>
    </rPh>
    <rPh sb="65" eb="67">
      <t>セイギョ</t>
    </rPh>
    <rPh sb="67" eb="68">
      <t>ナド</t>
    </rPh>
    <phoneticPr fontId="2"/>
  </si>
  <si>
    <t>パソコンやプリンター等のOA機器が省エネモードに設定されており、長時間不使用の場合には電源を切ることがルール化されている。</t>
  </si>
  <si>
    <t>効率的な輸送計画の作成</t>
    <rPh sb="0" eb="3">
      <t>コウリツテキ</t>
    </rPh>
    <rPh sb="4" eb="6">
      <t>ユソウ</t>
    </rPh>
    <rPh sb="6" eb="8">
      <t>ケイカク</t>
    </rPh>
    <rPh sb="9" eb="11">
      <t>サクセイ</t>
    </rPh>
    <phoneticPr fontId="2"/>
  </si>
  <si>
    <t>協力会社等の関係者に対してエコカーに更新するよう働きかけを行っている。</t>
    <rPh sb="0" eb="2">
      <t>キョウリョク</t>
    </rPh>
    <rPh sb="2" eb="4">
      <t>カイシャ</t>
    </rPh>
    <rPh sb="4" eb="5">
      <t>ナド</t>
    </rPh>
    <rPh sb="6" eb="9">
      <t>カンケイシャ</t>
    </rPh>
    <rPh sb="10" eb="11">
      <t>タイ</t>
    </rPh>
    <phoneticPr fontId="2"/>
  </si>
  <si>
    <t>再エネ電力の調達等</t>
    <rPh sb="0" eb="1">
      <t>サイ</t>
    </rPh>
    <rPh sb="3" eb="5">
      <t>デンリョク</t>
    </rPh>
    <rPh sb="6" eb="8">
      <t>チョウタツ</t>
    </rPh>
    <rPh sb="8" eb="9">
      <t>ナド</t>
    </rPh>
    <phoneticPr fontId="2"/>
  </si>
  <si>
    <t>再エネ電力の調達や自家消費型太陽光発電の導入等により、電気の脱炭素化に取り組んでいる。</t>
    <rPh sb="27" eb="29">
      <t>デンキ</t>
    </rPh>
    <rPh sb="30" eb="31">
      <t>ダツ</t>
    </rPh>
    <rPh sb="31" eb="33">
      <t>タンソ</t>
    </rPh>
    <rPh sb="33" eb="34">
      <t>カ</t>
    </rPh>
    <rPh sb="35" eb="36">
      <t>ト</t>
    </rPh>
    <rPh sb="37" eb="38">
      <t>ク</t>
    </rPh>
    <phoneticPr fontId="2"/>
  </si>
  <si>
    <t>関係者への理解促進</t>
    <rPh sb="5" eb="7">
      <t>リカイ</t>
    </rPh>
    <rPh sb="7" eb="9">
      <t>ソクシン</t>
    </rPh>
    <phoneticPr fontId="2"/>
  </si>
  <si>
    <t>荷主（顧客）、協力会社等の関係者に対して、自社の温室効果ガス削減の取り組みについて理解や協力を求めている。</t>
    <rPh sb="21" eb="23">
      <t>ジシャ</t>
    </rPh>
    <rPh sb="24" eb="26">
      <t>オンシツ</t>
    </rPh>
    <rPh sb="26" eb="28">
      <t>コウカ</t>
    </rPh>
    <rPh sb="30" eb="32">
      <t>サクゲン</t>
    </rPh>
    <rPh sb="33" eb="34">
      <t>ト</t>
    </rPh>
    <rPh sb="35" eb="36">
      <t>ク</t>
    </rPh>
    <rPh sb="41" eb="43">
      <t>リカイ</t>
    </rPh>
    <rPh sb="44" eb="46">
      <t>キョウリョク</t>
    </rPh>
    <rPh sb="47" eb="48">
      <t>モト</t>
    </rPh>
    <phoneticPr fontId="2"/>
  </si>
  <si>
    <t>関係者へのエコカー導入誘導</t>
    <rPh sb="0" eb="3">
      <t>カンケイシャ</t>
    </rPh>
    <phoneticPr fontId="2"/>
  </si>
  <si>
    <t>OA機器の待機電力削減</t>
    <rPh sb="9" eb="11">
      <t>サクゲン</t>
    </rPh>
    <phoneticPr fontId="2"/>
  </si>
  <si>
    <t>SBTやRE100等の国際的なイニシアティブ等への参加</t>
    <rPh sb="22" eb="23">
      <t>ナド</t>
    </rPh>
    <phoneticPr fontId="2"/>
  </si>
  <si>
    <t>ー</t>
    <phoneticPr fontId="1"/>
  </si>
  <si>
    <t>化石
非化石</t>
    <rPh sb="0" eb="2">
      <t>カセキ</t>
    </rPh>
    <phoneticPr fontId="1"/>
  </si>
  <si>
    <t>３．エネルギー起源二酸化炭素（CO₂）以外の温室効果ガス排出量</t>
    <rPh sb="7" eb="9">
      <t>キゲン</t>
    </rPh>
    <rPh sb="9" eb="12">
      <t>ニサンカ</t>
    </rPh>
    <rPh sb="12" eb="14">
      <t>タンソ</t>
    </rPh>
    <rPh sb="19" eb="21">
      <t>イガイ</t>
    </rPh>
    <rPh sb="22" eb="24">
      <t>オンシツ</t>
    </rPh>
    <rPh sb="24" eb="26">
      <t>コウカ</t>
    </rPh>
    <rPh sb="28" eb="30">
      <t>ハイシュツ</t>
    </rPh>
    <rPh sb="30" eb="31">
      <t>リョウ</t>
    </rPh>
    <phoneticPr fontId="1"/>
  </si>
  <si>
    <t>②エネルギー起源CO₂を除くいずれかの物質の温室効果ガス排出量が3,000トン以上の事業所</t>
  </si>
  <si>
    <t>排出量
(t-CO₂)</t>
  </si>
  <si>
    <t>排出量
(t-CO₂)</t>
    <rPh sb="0" eb="1">
      <t>ハイ</t>
    </rPh>
    <rPh sb="1" eb="2">
      <t>デ</t>
    </rPh>
    <rPh sb="2" eb="3">
      <t>リョウ</t>
    </rPh>
    <phoneticPr fontId="3"/>
  </si>
  <si>
    <t>排出量(t-CO₂)</t>
    <rPh sb="0" eb="1">
      <t>ハイ</t>
    </rPh>
    <rPh sb="1" eb="2">
      <t>デ</t>
    </rPh>
    <rPh sb="2" eb="3">
      <t>リョウ</t>
    </rPh>
    <phoneticPr fontId="3"/>
  </si>
  <si>
    <t>非エネルギー起源二酸化炭素（CO₂）</t>
    <rPh sb="0" eb="1">
      <t>ヒ</t>
    </rPh>
    <rPh sb="6" eb="8">
      <t>キゲン</t>
    </rPh>
    <rPh sb="8" eb="11">
      <t>ニサンカ</t>
    </rPh>
    <rPh sb="11" eb="13">
      <t>タンソ</t>
    </rPh>
    <phoneticPr fontId="1"/>
  </si>
  <si>
    <t>t-CO₂</t>
  </si>
  <si>
    <t>１．エネルギー起源二酸化炭素（CO₂）排出量</t>
    <rPh sb="7" eb="9">
      <t>キゲン</t>
    </rPh>
    <rPh sb="9" eb="12">
      <t>ニサンカ</t>
    </rPh>
    <rPh sb="12" eb="14">
      <t>タンソ</t>
    </rPh>
    <rPh sb="19" eb="21">
      <t>ハイシュツ</t>
    </rPh>
    <rPh sb="21" eb="22">
      <t>リョウ</t>
    </rPh>
    <phoneticPr fontId="3"/>
  </si>
  <si>
    <t>２．エネルギー起源二酸化炭素（CO₂）以外の温室効果ガス排出量</t>
    <rPh sb="7" eb="9">
      <t>キゲン</t>
    </rPh>
    <rPh sb="9" eb="12">
      <t>ニサンカ</t>
    </rPh>
    <rPh sb="12" eb="14">
      <t>タンソ</t>
    </rPh>
    <rPh sb="19" eb="21">
      <t>イガイ</t>
    </rPh>
    <rPh sb="22" eb="24">
      <t>オンシツ</t>
    </rPh>
    <rPh sb="24" eb="26">
      <t>コウカ</t>
    </rPh>
    <rPh sb="28" eb="30">
      <t>ハイシュツ</t>
    </rPh>
    <rPh sb="30" eb="31">
      <t>リョウ</t>
    </rPh>
    <phoneticPr fontId="3"/>
  </si>
  <si>
    <t>tCO₂/GJ</t>
  </si>
  <si>
    <t>t-CO₂/kWh</t>
  </si>
  <si>
    <t>排出量（t-CO₂）</t>
    <rPh sb="0" eb="2">
      <t>ハイシュツ</t>
    </rPh>
    <rPh sb="2" eb="3">
      <t>リョウ</t>
    </rPh>
    <phoneticPr fontId="1"/>
  </si>
  <si>
    <t>原単位（t-CO₂/＊＊）</t>
    <rPh sb="0" eb="3">
      <t>ゲンタンイ</t>
    </rPh>
    <phoneticPr fontId="1"/>
  </si>
  <si>
    <t>エネルギー起源CO₂</t>
    <rPh sb="5" eb="7">
      <t>キゲン</t>
    </rPh>
    <phoneticPr fontId="1"/>
  </si>
  <si>
    <t>エネルギー
起源CO₂
以外</t>
    <rPh sb="6" eb="8">
      <t>キゲン</t>
    </rPh>
    <rPh sb="12" eb="14">
      <t>イガイ</t>
    </rPh>
    <phoneticPr fontId="1"/>
  </si>
  <si>
    <t>t-CO₂/千kWh</t>
  </si>
  <si>
    <t>t-CO₂/＊＊</t>
  </si>
  <si>
    <t>②エネルギー起源CO₂を除くいずれかの物質の温室効果ガス排出量が3,000トン以上の事業所（条例第2条第5号ロに該当する特定事業者）</t>
  </si>
  <si>
    <t>非化石エネルギー自動車割合</t>
    <phoneticPr fontId="1"/>
  </si>
  <si>
    <t>バイオエタノール</t>
    <phoneticPr fontId="1"/>
  </si>
  <si>
    <t>バイオディーゼル</t>
    <phoneticPr fontId="1"/>
  </si>
  <si>
    <t>２-１.電気事業者からの買電による電気自動車等の充電はありますか（外部での充電を含む）。</t>
    <phoneticPr fontId="1"/>
  </si>
  <si>
    <t>市内に登録する車両に、電気自動車等の電気を主燃料とした車両はありますか。</t>
    <phoneticPr fontId="1"/>
  </si>
  <si>
    <t>PDリスト表示</t>
    <rPh sb="5" eb="7">
      <t>ヒョウジ</t>
    </rPh>
    <phoneticPr fontId="1"/>
  </si>
  <si>
    <t>選択年度</t>
    <rPh sb="0" eb="2">
      <t>センタク</t>
    </rPh>
    <rPh sb="2" eb="4">
      <t>ネンド</t>
    </rPh>
    <phoneticPr fontId="1"/>
  </si>
  <si>
    <t>対応年度</t>
    <rPh sb="0" eb="4">
      <t>タイオウネンド</t>
    </rPh>
    <phoneticPr fontId="1"/>
  </si>
  <si>
    <t>年度 公表用シート</t>
    <rPh sb="0" eb="2">
      <t>ネンド</t>
    </rPh>
    <rPh sb="3" eb="5">
      <t>コウヒョウ</t>
    </rPh>
    <rPh sb="5" eb="6">
      <t>ヨウ</t>
    </rPh>
    <phoneticPr fontId="58"/>
  </si>
  <si>
    <t>←プルダウンから選択</t>
    <rPh sb="8" eb="10">
      <t>センタク</t>
    </rPh>
    <phoneticPr fontId="58"/>
  </si>
  <si>
    <t xml:space="preserve">
年度  ＼　シート</t>
    <rPh sb="2" eb="4">
      <t>ネンド</t>
    </rPh>
    <phoneticPr fontId="1"/>
  </si>
  <si>
    <t>２．電気（車両の充電）の使用量等</t>
    <rPh sb="2" eb="4">
      <t>デンキ</t>
    </rPh>
    <rPh sb="5" eb="7">
      <t>シャリョウ</t>
    </rPh>
    <rPh sb="8" eb="10">
      <t>ジュウデン</t>
    </rPh>
    <rPh sb="12" eb="14">
      <t>シヨウ</t>
    </rPh>
    <rPh sb="14" eb="15">
      <t>リョウ</t>
    </rPh>
    <rPh sb="15" eb="16">
      <t>トウ</t>
    </rPh>
    <phoneticPr fontId="1"/>
  </si>
  <si>
    <t>１．燃料の使用量等</t>
    <rPh sb="2" eb="4">
      <t>ネンリョウ</t>
    </rPh>
    <rPh sb="5" eb="7">
      <t>シヨウ</t>
    </rPh>
    <rPh sb="7" eb="8">
      <t>リョウ</t>
    </rPh>
    <rPh sb="8" eb="9">
      <t>ナド</t>
    </rPh>
    <phoneticPr fontId="1"/>
  </si>
  <si>
    <t>非化石エネルギー自動車割合（任意入力）</t>
    <rPh sb="14" eb="18">
      <t>ニンイニュウリョク</t>
    </rPh>
    <phoneticPr fontId="1"/>
  </si>
  <si>
    <t>対応年度</t>
    <rPh sb="0" eb="2">
      <t>タイオウ</t>
    </rPh>
    <rPh sb="2" eb="4">
      <t>ネンド</t>
    </rPh>
    <phoneticPr fontId="1"/>
  </si>
  <si>
    <t xml:space="preserve"> </t>
    <phoneticPr fontId="1"/>
  </si>
  <si>
    <t>削減量(t-CO₂)</t>
    <rPh sb="0" eb="2">
      <t>サクゲン</t>
    </rPh>
    <rPh sb="2" eb="3">
      <t>リョウ</t>
    </rPh>
    <phoneticPr fontId="3"/>
  </si>
  <si>
    <t>https://www.city.sendai.jp/ondanka/jigyosha/actionprogram/yoshiki/tokutei.html</t>
    <phoneticPr fontId="1"/>
  </si>
  <si>
    <r>
      <t xml:space="preserve">買電量
</t>
    </r>
    <r>
      <rPr>
        <sz val="9"/>
        <rFont val="メイリオ"/>
        <family val="3"/>
        <charset val="128"/>
      </rPr>
      <t>(千kWh)</t>
    </r>
    <phoneticPr fontId="1"/>
  </si>
  <si>
    <t>７-１．温室効果ガスの排出状況</t>
    <phoneticPr fontId="1"/>
  </si>
  <si>
    <t>３-１．車両に関して、エネルギー起源二酸化炭素以外の温室効果ガスの排出量はありますか。</t>
    <rPh sb="35" eb="36">
      <t>リョウ</t>
    </rPh>
    <phoneticPr fontId="1"/>
  </si>
  <si>
    <t>ver260401</t>
    <phoneticPr fontId="1"/>
  </si>
  <si>
    <t>非化石エネルギー自動車割合（任意入力）</t>
    <rPh sb="0" eb="1">
      <t>ヒ</t>
    </rPh>
    <rPh sb="1" eb="3">
      <t>カセキ</t>
    </rPh>
    <rPh sb="8" eb="11">
      <t>ジドウシャ</t>
    </rPh>
    <rPh sb="11" eb="13">
      <t>ワリアイ</t>
    </rPh>
    <phoneticPr fontId="1"/>
  </si>
  <si>
    <t>削減量
(t-CO₂)</t>
    <rPh sb="0" eb="2">
      <t>サクゲン</t>
    </rPh>
    <rPh sb="2" eb="3">
      <t>リョウ</t>
    </rPh>
    <phoneticPr fontId="3"/>
  </si>
  <si>
    <r>
      <rPr>
        <sz val="10"/>
        <rFont val="メイリオ"/>
        <family val="3"/>
        <charset val="128"/>
      </rPr>
      <t>千m</t>
    </r>
    <r>
      <rPr>
        <vertAlign val="superscript"/>
        <sz val="10"/>
        <rFont val="メイリオ"/>
        <family val="3"/>
        <charset val="128"/>
      </rPr>
      <t>3</t>
    </r>
    <rPh sb="0" eb="1">
      <t>セン</t>
    </rPh>
    <phoneticPr fontId="5"/>
  </si>
  <si>
    <r>
      <t>千m</t>
    </r>
    <r>
      <rPr>
        <vertAlign val="superscript"/>
        <sz val="10"/>
        <rFont val="メイリオ"/>
        <family val="3"/>
        <charset val="128"/>
      </rPr>
      <t>3</t>
    </r>
    <rPh sb="0" eb="1">
      <t>セン</t>
    </rPh>
    <phoneticPr fontId="5"/>
  </si>
  <si>
    <t>７．温室効果ガスの排出状況</t>
    <phoneticPr fontId="1"/>
  </si>
  <si>
    <t>計画期間初年度のときの東北電力の残差メニューの排出係数を入力　※計画期間ごとに更新</t>
    <rPh sb="0" eb="2">
      <t>ケイカク</t>
    </rPh>
    <rPh sb="2" eb="4">
      <t>キカン</t>
    </rPh>
    <rPh sb="4" eb="7">
      <t>ショネンド</t>
    </rPh>
    <rPh sb="11" eb="13">
      <t>トウホク</t>
    </rPh>
    <rPh sb="13" eb="15">
      <t>デンリョク</t>
    </rPh>
    <rPh sb="16" eb="18">
      <t>ザンサ</t>
    </rPh>
    <rPh sb="23" eb="25">
      <t>ハイシュツ</t>
    </rPh>
    <rPh sb="25" eb="27">
      <t>ケイスウ</t>
    </rPh>
    <rPh sb="28" eb="30">
      <t>ニュウリョク</t>
    </rPh>
    <rPh sb="32" eb="34">
      <t>ケイカク</t>
    </rPh>
    <rPh sb="34" eb="36">
      <t>キカン</t>
    </rPh>
    <rPh sb="39" eb="41">
      <t>コウシン</t>
    </rPh>
    <phoneticPr fontId="58"/>
  </si>
  <si>
    <t>補正係数</t>
    <phoneticPr fontId="1"/>
  </si>
  <si>
    <t>年度（計画書提出年度）</t>
    <rPh sb="0" eb="2">
      <t>ネンド</t>
    </rPh>
    <rPh sb="3" eb="6">
      <t>ケイカクショ</t>
    </rPh>
    <rPh sb="6" eb="8">
      <t>テイシュツ</t>
    </rPh>
    <rPh sb="8" eb="10">
      <t>ネンド</t>
    </rPh>
    <phoneticPr fontId="58"/>
  </si>
  <si>
    <t>排出係数
(t-CO₂/千kWh)</t>
  </si>
  <si>
    <t>　　　　　　　プルダウンから選択してください。</t>
    <phoneticPr fontId="1"/>
  </si>
  <si>
    <t>　　　　　　　追加した項目に取組の具体的な内容も記入してください。</t>
    <rPh sb="7" eb="9">
      <t>ツイカ</t>
    </rPh>
    <rPh sb="11" eb="13">
      <t>コウモク</t>
    </rPh>
    <rPh sb="17" eb="20">
      <t>グタイテキ</t>
    </rPh>
    <rPh sb="21" eb="23">
      <t>ナイヨウ</t>
    </rPh>
    <rPh sb="24" eb="26">
      <t>キニュウ</t>
    </rPh>
    <phoneticPr fontId="1"/>
  </si>
  <si>
    <t>基本方針・目標設定
の考え方</t>
    <phoneticPr fontId="1"/>
  </si>
  <si>
    <t>上記の設定した目標値に関して、”基本方針・目標設定の考え方”を記載してください。</t>
    <rPh sb="0" eb="2">
      <t>ジョウキ</t>
    </rPh>
    <rPh sb="3" eb="5">
      <t>セッテイ</t>
    </rPh>
    <rPh sb="7" eb="9">
      <t>モクヒョウ</t>
    </rPh>
    <rPh sb="9" eb="10">
      <t>チ</t>
    </rPh>
    <rPh sb="11" eb="12">
      <t>カン</t>
    </rPh>
    <rPh sb="21" eb="23">
      <t>モクヒョウ</t>
    </rPh>
    <rPh sb="23" eb="25">
      <t>セッテイ</t>
    </rPh>
    <rPh sb="26" eb="27">
      <t>カンガ</t>
    </rPh>
    <rPh sb="28" eb="29">
      <t>カタ</t>
    </rPh>
    <rPh sb="31" eb="33">
      <t>キサイ</t>
    </rPh>
    <phoneticPr fontId="1"/>
  </si>
  <si>
    <t>１-１．化石燃料（ガソリンや軽油等）を燃料とした車両を使用していますか。</t>
    <phoneticPr fontId="1"/>
  </si>
  <si>
    <t>２-２．上記（２-１．）以外の電力調達による電気自動車等の充電はありますか。</t>
    <phoneticPr fontId="1"/>
  </si>
  <si>
    <t>年度 削減報告書 提出書</t>
    <rPh sb="0" eb="2">
      <t>ネンド</t>
    </rPh>
    <phoneticPr fontId="58"/>
  </si>
  <si>
    <t>　　　　　　　新たに項目を選択すると、『重点的に実施する取組の実施状況（選択対策）』表へ自動的に追加されます。</t>
    <rPh sb="42" eb="43">
      <t>ヒョウ</t>
    </rPh>
    <rPh sb="46" eb="47">
      <t>テキ</t>
    </rPh>
    <rPh sb="48" eb="50">
      <t>ツイカ</t>
    </rPh>
    <phoneticPr fontId="1"/>
  </si>
  <si>
    <t>　　　　　　　新たに項目を選択すると、『重点的に実施する取組の実施状況（その他の対策）』表へ自動的に追加されます。</t>
    <rPh sb="38" eb="39">
      <t>タ</t>
    </rPh>
    <rPh sb="44" eb="45">
      <t>ヒョウ</t>
    </rPh>
    <rPh sb="48" eb="49">
      <t>テキ</t>
    </rPh>
    <rPh sb="50" eb="52">
      <t>ツイカ</t>
    </rPh>
    <phoneticPr fontId="1"/>
  </si>
  <si>
    <t>「統括管理者」、「技術管理者」、「推進責任者」、「推進員」等の担当職名を明記してください。
もし、担当職が未定の場合には、担当する見込みのある職名を記入してください。
体制図が大きい等、記入しきれない場合は、「別紙参照」と記入するとともに、別途ご提出ください。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</si>
</sst>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176" formatCode="0.0"/>
    <numFmt numFmtId="177" formatCode="#,##0_);[Red]\(#,##0\)"/>
    <numFmt numFmtId="178" formatCode="#,##0_ "/>
    <numFmt numFmtId="179" formatCode="0.000_);[Red]\(0.000\)"/>
    <numFmt numFmtId="180" formatCode="#,##0;&quot;▲ &quot;#,##0"/>
    <numFmt numFmtId="181" formatCode=";;;"/>
    <numFmt numFmtId="182" formatCode="#,##0.00;&quot;▲ &quot;#,##0.00"/>
    <numFmt numFmtId="183" formatCode="00#"/>
    <numFmt numFmtId="184" formatCode="0.0_);[Red]\(0.0\)"/>
    <numFmt numFmtId="185" formatCode="0.0_ "/>
    <numFmt numFmtId="186" formatCode="#,##0.0000_ "/>
    <numFmt numFmtId="187" formatCode="0.00_ "/>
    <numFmt numFmtId="188" formatCode="0.00_);[Red]\(0.00\)"/>
    <numFmt numFmtId="189" formatCode="0.0000_ "/>
    <numFmt numFmtId="190" formatCode="#,##0.00;&quot;▲ &quot;#,##0.00;0\ \ \ \ ;\ \ @"/>
    <numFmt numFmtId="191" formatCode="yyyy&quot;年&quot;m&quot;月&quot;d&quot;日&quot;;@"/>
    <numFmt numFmtId="192" formatCode="#,##0.00;&quot;▲ &quot;#,##0.00;0\ "/>
    <numFmt numFmtId="193" formatCode="0_ "/>
    <numFmt numFmtId="194" formatCode="#&quot;年度&quot;"/>
    <numFmt numFmtId="195" formatCode="#&quot;年&quot;"/>
    <numFmt numFmtId="196" formatCode="0_);[Red]\(0\)"/>
    <numFmt numFmtId="197" formatCode="#&quot; 年&quot;"/>
    <numFmt numFmtId="198" formatCode="####&quot;年度&quot;"/>
    <numFmt numFmtId="199" formatCode="#&quot;月&quot;"/>
    <numFmt numFmtId="200" formatCode="#&quot;日&quot;"/>
    <numFmt numFmtId="201" formatCode="0.00;\-0.00;0\ "/>
    <numFmt numFmtId="202" formatCode="#,##0\ ;\-#,##0\ ;0\ ;@"/>
    <numFmt numFmtId="203" formatCode="#;\-#;0;&quot;値&quot;@"/>
    <numFmt numFmtId="204" formatCode="#;\-#;0;&quot;非表示行&quot;@"/>
    <numFmt numFmtId="205" formatCode="#;\-#;0;&quot;リンク先&quot;@"/>
    <numFmt numFmtId="206" formatCode="#;#;;@"/>
    <numFmt numFmtId="207" formatCode="#,##0;&quot;▲ &quot;#,##0;0\ "/>
    <numFmt numFmtId="208" formatCode="#,##0\ ;\-#,##0\ ;0\ "/>
    <numFmt numFmtId="209" formatCode="&quot;第&quot;#0&quot;年度&quot;"/>
    <numFmt numFmtId="210" formatCode="0.00;\-0.00;0"/>
    <numFmt numFmtId="211" formatCode="#\ \ \ "/>
    <numFmt numFmtId="212" formatCode="&quot;第&quot;#&quot;年度&quot;"/>
    <numFmt numFmtId="213" formatCode="#,##0&quot;台&quot;"/>
    <numFmt numFmtId="214" formatCode="#,##0.00;&quot;▲&quot;#,##0.00;0"/>
    <numFmt numFmtId="215" formatCode="#,##0;&quot;▲&quot;#,##0;0"/>
    <numFmt numFmtId="216" formatCode="#,##0.00;&quot;▲&quot;#,##0.00;0;@"/>
    <numFmt numFmtId="217" formatCode="0.000"/>
    <numFmt numFmtId="218" formatCode="#,##0;&quot;▲ &quot;#,##0;0"/>
    <numFmt numFmtId="219" formatCode="#,##0;\-#,##0;0"/>
    <numFmt numFmtId="220" formatCode="#,##0.000;\-#,##0.000;0"/>
    <numFmt numFmtId="221" formatCode="#,##0&quot;台&quot;;&quot;▲ &quot;#,##0&quot;台&quot;;0&quot;台&quot;"/>
  </numFmts>
  <fonts count="86">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color theme="1"/>
      <name val="ＭＳ Ｐゴシック"/>
      <family val="2"/>
      <charset val="128"/>
      <scheme val="minor"/>
    </font>
    <font>
      <b/>
      <sz val="11"/>
      <color indexed="9"/>
      <name val="ＭＳ Ｐゴシック"/>
      <family val="3"/>
      <charset val="128"/>
    </font>
    <font>
      <sz val="11"/>
      <name val="ＭＳ Ｐゴシック"/>
      <family val="3"/>
      <charset val="128"/>
    </font>
    <font>
      <sz val="11"/>
      <color indexed="9"/>
      <name val="ＭＳ Ｐゴシック"/>
      <family val="3"/>
      <charset val="128"/>
    </font>
    <font>
      <sz val="11"/>
      <color indexed="8"/>
      <name val="ＭＳ Ｐゴシック"/>
      <family val="3"/>
      <charset val="128"/>
    </font>
    <font>
      <sz val="10"/>
      <name val="ＭＳ Ｐゴシック"/>
      <family val="3"/>
      <charset val="128"/>
    </font>
    <font>
      <u/>
      <sz val="11"/>
      <color theme="10"/>
      <name val="ＭＳ Ｐゴシック"/>
      <family val="3"/>
      <charset val="128"/>
    </font>
    <font>
      <sz val="11"/>
      <color indexed="10"/>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color theme="10"/>
      <name val="ＭＳ Ｐゴシック"/>
      <family val="2"/>
      <charset val="128"/>
      <scheme val="minor"/>
    </font>
    <font>
      <sz val="11"/>
      <color rgb="FFFF0000"/>
      <name val="ＭＳ Ｐゴシック"/>
      <family val="2"/>
      <charset val="128"/>
      <scheme val="minor"/>
    </font>
    <font>
      <b/>
      <sz val="12"/>
      <color rgb="FFFF0000"/>
      <name val="ＭＳ Ｐゴシック"/>
      <family val="3"/>
      <charset val="128"/>
      <scheme val="minor"/>
    </font>
    <font>
      <sz val="11"/>
      <color theme="0"/>
      <name val="メイリオ"/>
      <family val="3"/>
      <charset val="128"/>
    </font>
    <font>
      <sz val="11"/>
      <color theme="1"/>
      <name val="メイリオ"/>
      <family val="3"/>
      <charset val="128"/>
    </font>
    <font>
      <b/>
      <sz val="11"/>
      <color rgb="FFFF0000"/>
      <name val="メイリオ"/>
      <family val="3"/>
      <charset val="128"/>
    </font>
    <font>
      <sz val="14"/>
      <color theme="1"/>
      <name val="メイリオ"/>
      <family val="3"/>
      <charset val="128"/>
    </font>
    <font>
      <sz val="11"/>
      <name val="メイリオ"/>
      <family val="3"/>
      <charset val="128"/>
    </font>
    <font>
      <sz val="10"/>
      <name val="メイリオ"/>
      <family val="3"/>
      <charset val="128"/>
    </font>
    <font>
      <sz val="10"/>
      <color indexed="8"/>
      <name val="メイリオ"/>
      <family val="3"/>
      <charset val="128"/>
    </font>
    <font>
      <b/>
      <sz val="16"/>
      <color indexed="9"/>
      <name val="メイリオ"/>
      <family val="3"/>
      <charset val="128"/>
    </font>
    <font>
      <b/>
      <sz val="10"/>
      <color indexed="9"/>
      <name val="メイリオ"/>
      <family val="3"/>
      <charset val="128"/>
    </font>
    <font>
      <sz val="10"/>
      <color theme="1"/>
      <name val="メイリオ"/>
      <family val="3"/>
      <charset val="128"/>
    </font>
    <font>
      <sz val="10"/>
      <color indexed="9"/>
      <name val="メイリオ"/>
      <family val="3"/>
      <charset val="128"/>
    </font>
    <font>
      <b/>
      <sz val="14"/>
      <name val="メイリオ"/>
      <family val="3"/>
      <charset val="128"/>
    </font>
    <font>
      <b/>
      <sz val="10"/>
      <name val="メイリオ"/>
      <family val="3"/>
      <charset val="128"/>
    </font>
    <font>
      <b/>
      <sz val="10"/>
      <color theme="1"/>
      <name val="メイリオ"/>
      <family val="3"/>
      <charset val="128"/>
    </font>
    <font>
      <sz val="10"/>
      <color rgb="FFFF0000"/>
      <name val="メイリオ"/>
      <family val="3"/>
      <charset val="128"/>
    </font>
    <font>
      <vertAlign val="superscript"/>
      <sz val="10"/>
      <color indexed="8"/>
      <name val="メイリオ"/>
      <family val="3"/>
      <charset val="128"/>
    </font>
    <font>
      <sz val="9"/>
      <name val="メイリオ"/>
      <family val="3"/>
      <charset val="128"/>
    </font>
    <font>
      <b/>
      <sz val="10"/>
      <color theme="0"/>
      <name val="メイリオ"/>
      <family val="3"/>
      <charset val="128"/>
    </font>
    <font>
      <sz val="11"/>
      <color rgb="FFFF0000"/>
      <name val="メイリオ"/>
      <family val="3"/>
      <charset val="128"/>
    </font>
    <font>
      <vertAlign val="subscript"/>
      <sz val="10"/>
      <name val="メイリオ"/>
      <family val="3"/>
      <charset val="128"/>
    </font>
    <font>
      <b/>
      <sz val="10"/>
      <color rgb="FFFF0000"/>
      <name val="メイリオ"/>
      <family val="3"/>
      <charset val="128"/>
    </font>
    <font>
      <b/>
      <sz val="9"/>
      <name val="メイリオ"/>
      <family val="3"/>
      <charset val="128"/>
    </font>
    <font>
      <sz val="10"/>
      <color theme="0" tint="-0.34998626667073579"/>
      <name val="メイリオ"/>
      <family val="3"/>
      <charset val="128"/>
    </font>
    <font>
      <sz val="10"/>
      <color theme="0" tint="-0.14999847407452621"/>
      <name val="メイリオ"/>
      <family val="3"/>
      <charset val="128"/>
    </font>
    <font>
      <b/>
      <sz val="14"/>
      <color theme="1"/>
      <name val="メイリオ"/>
      <family val="3"/>
      <charset val="128"/>
    </font>
    <font>
      <sz val="14"/>
      <color rgb="FFFF0000"/>
      <name val="メイリオ"/>
      <family val="3"/>
      <charset val="128"/>
    </font>
    <font>
      <sz val="9"/>
      <color theme="1"/>
      <name val="メイリオ"/>
      <family val="3"/>
      <charset val="128"/>
    </font>
    <font>
      <sz val="24"/>
      <color theme="1"/>
      <name val="メイリオ"/>
      <family val="3"/>
      <charset val="128"/>
    </font>
    <font>
      <vertAlign val="superscript"/>
      <sz val="10"/>
      <color rgb="FFFF0000"/>
      <name val="メイリオ"/>
      <family val="3"/>
      <charset val="128"/>
    </font>
    <font>
      <sz val="6"/>
      <name val="ＭＳ Ｐゴシック"/>
      <family val="3"/>
      <charset val="128"/>
      <scheme val="minor"/>
    </font>
    <font>
      <b/>
      <sz val="11"/>
      <color rgb="FFFF0000"/>
      <name val="ＭＳ Ｐゴシック"/>
      <family val="3"/>
      <charset val="128"/>
      <scheme val="minor"/>
    </font>
    <font>
      <sz val="26"/>
      <color theme="0"/>
      <name val="メイリオ"/>
      <family val="3"/>
      <charset val="128"/>
    </font>
    <font>
      <sz val="9"/>
      <color rgb="FF000000"/>
      <name val="Meiryo UI"/>
      <family val="3"/>
      <charset val="128"/>
    </font>
    <font>
      <b/>
      <sz val="11"/>
      <color theme="1"/>
      <name val="メイリオ"/>
      <family val="3"/>
      <charset val="128"/>
    </font>
    <font>
      <b/>
      <sz val="11"/>
      <color indexed="8"/>
      <name val="メイリオ"/>
      <family val="3"/>
      <charset val="128"/>
    </font>
    <font>
      <b/>
      <sz val="10"/>
      <color indexed="8"/>
      <name val="メイリオ"/>
      <family val="3"/>
      <charset val="128"/>
    </font>
    <font>
      <sz val="12"/>
      <color theme="1"/>
      <name val="メイリオ"/>
      <family val="3"/>
      <charset val="128"/>
    </font>
    <font>
      <b/>
      <sz val="12"/>
      <color theme="1"/>
      <name val="メイリオ"/>
      <family val="3"/>
      <charset val="128"/>
    </font>
    <font>
      <b/>
      <sz val="28"/>
      <color theme="0"/>
      <name val="メイリオ"/>
      <family val="3"/>
      <charset val="128"/>
    </font>
    <font>
      <b/>
      <sz val="12"/>
      <color theme="0"/>
      <name val="メイリオ"/>
      <family val="3"/>
      <charset val="128"/>
    </font>
    <font>
      <sz val="11"/>
      <color theme="10"/>
      <name val="メイリオ"/>
      <family val="3"/>
      <charset val="128"/>
    </font>
    <font>
      <b/>
      <sz val="12"/>
      <color indexed="8"/>
      <name val="メイリオ"/>
      <family val="3"/>
      <charset val="128"/>
    </font>
    <font>
      <sz val="6"/>
      <color theme="1"/>
      <name val="メイリオ"/>
      <family val="3"/>
      <charset val="128"/>
    </font>
    <font>
      <b/>
      <sz val="12"/>
      <color indexed="81"/>
      <name val="メイリオ"/>
      <family val="3"/>
      <charset val="128"/>
    </font>
    <font>
      <sz val="12"/>
      <color indexed="81"/>
      <name val="メイリオ"/>
      <family val="3"/>
      <charset val="128"/>
    </font>
    <font>
      <sz val="10"/>
      <color theme="1"/>
      <name val="ＭＳ Ｐゴシック"/>
      <family val="2"/>
      <charset val="128"/>
      <scheme val="minor"/>
    </font>
    <font>
      <sz val="8"/>
      <color theme="1"/>
      <name val="メイリオ"/>
      <family val="3"/>
      <charset val="128"/>
    </font>
    <font>
      <sz val="8"/>
      <name val="メイリオ"/>
      <family val="3"/>
      <charset val="128"/>
    </font>
    <font>
      <b/>
      <sz val="12"/>
      <name val="メイリオ"/>
      <family val="3"/>
      <charset val="128"/>
    </font>
    <font>
      <b/>
      <sz val="23"/>
      <color theme="1"/>
      <name val="メイリオ"/>
      <family val="3"/>
      <charset val="128"/>
    </font>
    <font>
      <b/>
      <sz val="12"/>
      <color rgb="FFFF0000"/>
      <name val="メイリオ"/>
      <family val="3"/>
      <charset val="128"/>
    </font>
    <font>
      <b/>
      <sz val="10"/>
      <color rgb="FFFF0000"/>
      <name val="ＭＳ Ｐゴシック"/>
      <family val="3"/>
      <charset val="128"/>
      <scheme val="minor"/>
    </font>
    <font>
      <vertAlign val="superscript"/>
      <sz val="10"/>
      <name val="メイリオ"/>
      <family val="3"/>
      <charset val="128"/>
    </font>
    <font>
      <sz val="10"/>
      <color theme="0"/>
      <name val="メイリオ"/>
      <family val="3"/>
      <charset val="128"/>
    </font>
    <font>
      <sz val="9"/>
      <color indexed="81"/>
      <name val="MS P ゴシック"/>
      <family val="3"/>
      <charset val="128"/>
    </font>
    <font>
      <sz val="8"/>
      <color indexed="81"/>
      <name val="メイリオ"/>
      <family val="3"/>
      <charset val="128"/>
    </font>
    <font>
      <sz val="11"/>
      <color theme="10"/>
      <name val="ＭＳ Ｐゴシック"/>
      <family val="2"/>
      <charset val="128"/>
      <scheme val="minor"/>
    </font>
  </fonts>
  <fills count="58">
    <fill>
      <patternFill patternType="none"/>
    </fill>
    <fill>
      <patternFill patternType="gray125"/>
    </fill>
    <fill>
      <patternFill patternType="solid">
        <fgColor theme="8" tint="0.59999389629810485"/>
        <bgColor indexed="64"/>
      </patternFill>
    </fill>
    <fill>
      <patternFill patternType="solid">
        <fgColor indexed="18"/>
        <bgColor indexed="64"/>
      </patternFill>
    </fill>
    <fill>
      <patternFill patternType="solid">
        <fgColor indexed="62"/>
        <bgColor indexed="64"/>
      </patternFill>
    </fill>
    <fill>
      <patternFill patternType="solid">
        <fgColor rgb="FFCCE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6" tint="0.39994506668294322"/>
        <bgColor indexed="64"/>
      </patternFill>
    </fill>
    <fill>
      <patternFill patternType="solid">
        <fgColor theme="6" tint="-0.24994659260841701"/>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theme="6"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333399"/>
        <bgColor indexed="64"/>
      </patternFill>
    </fill>
    <fill>
      <patternFill patternType="solid">
        <fgColor rgb="FF00B0F0"/>
        <bgColor indexed="64"/>
      </patternFill>
    </fill>
    <fill>
      <patternFill patternType="solid">
        <fgColor rgb="FFCC99FF"/>
        <bgColor indexed="64"/>
      </patternFill>
    </fill>
    <fill>
      <patternFill patternType="solid">
        <fgColor theme="0" tint="-0.499984740745262"/>
        <bgColor indexed="64"/>
      </patternFill>
    </fill>
    <fill>
      <patternFill patternType="solid">
        <fgColor rgb="FFED7D31"/>
        <bgColor indexed="64"/>
      </patternFill>
    </fill>
    <fill>
      <patternFill patternType="solid">
        <fgColor rgb="FF00B05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4506668294322"/>
        <bgColor indexed="64"/>
      </patternFill>
    </fill>
    <fill>
      <patternFill patternType="solid">
        <fgColor rgb="FFFFFFCC"/>
        <bgColor indexed="64"/>
      </patternFill>
    </fill>
    <fill>
      <patternFill patternType="solid">
        <fgColor theme="9" tint="0.39997558519241921"/>
        <bgColor indexed="64"/>
      </patternFill>
    </fill>
  </fills>
  <borders count="2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bottom/>
      <diagonal/>
    </border>
    <border>
      <left/>
      <right style="thin">
        <color indexed="64"/>
      </right>
      <top style="hair">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auto="1"/>
      </left>
      <right style="hair">
        <color auto="1"/>
      </right>
      <top/>
      <bottom/>
      <diagonal/>
    </border>
    <border>
      <left/>
      <right style="hair">
        <color indexed="64"/>
      </right>
      <top/>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auto="1"/>
      </left>
      <right/>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style="hair">
        <color indexed="64"/>
      </right>
      <top/>
      <bottom style="hair">
        <color indexed="64"/>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style="thin">
        <color auto="1"/>
      </left>
      <right style="hair">
        <color auto="1"/>
      </right>
      <top/>
      <bottom style="thin">
        <color auto="1"/>
      </bottom>
      <diagonal/>
    </border>
    <border>
      <left style="thin">
        <color auto="1"/>
      </left>
      <right/>
      <top style="hair">
        <color auto="1"/>
      </top>
      <bottom style="thin">
        <color auto="1"/>
      </bottom>
      <diagonal/>
    </border>
    <border>
      <left style="hair">
        <color indexed="64"/>
      </left>
      <right style="thin">
        <color auto="1"/>
      </right>
      <top style="hair">
        <color indexed="64"/>
      </top>
      <bottom style="thin">
        <color auto="1"/>
      </bottom>
      <diagonal/>
    </border>
    <border>
      <left style="hair">
        <color indexed="64"/>
      </left>
      <right style="thin">
        <color indexed="64"/>
      </right>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right style="thin">
        <color auto="1"/>
      </right>
      <top style="thin">
        <color auto="1"/>
      </top>
      <bottom style="thin">
        <color auto="1"/>
      </bottom>
      <diagonal/>
    </border>
    <border>
      <left/>
      <right/>
      <top style="medium">
        <color auto="1"/>
      </top>
      <bottom/>
      <diagonal/>
    </border>
    <border>
      <left style="thin">
        <color indexed="64"/>
      </left>
      <right style="hair">
        <color indexed="64"/>
      </right>
      <top style="medium">
        <color indexed="64"/>
      </top>
      <bottom/>
      <diagonal/>
    </border>
    <border>
      <left style="thin">
        <color indexed="64"/>
      </left>
      <right style="thin">
        <color indexed="64"/>
      </right>
      <top style="thin">
        <color indexed="64"/>
      </top>
      <bottom style="hair">
        <color indexed="64"/>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bottom style="thin">
        <color auto="1"/>
      </bottom>
      <diagonal/>
    </border>
    <border>
      <left style="thin">
        <color indexed="64"/>
      </left>
      <right/>
      <top style="thin">
        <color auto="1"/>
      </top>
      <bottom style="medium">
        <color indexed="64"/>
      </bottom>
      <diagonal/>
    </border>
    <border>
      <left/>
      <right style="hair">
        <color indexed="64"/>
      </right>
      <top/>
      <bottom style="thin">
        <color auto="1"/>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bottom style="double">
        <color auto="1"/>
      </bottom>
      <diagonal/>
    </border>
    <border>
      <left/>
      <right style="thin">
        <color indexed="64"/>
      </right>
      <top style="medium">
        <color indexed="64"/>
      </top>
      <bottom style="thin">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top style="thin">
        <color indexed="64"/>
      </top>
      <bottom style="double">
        <color indexed="64"/>
      </bottom>
      <diagonal/>
    </border>
    <border diagonalUp="1">
      <left style="hair">
        <color indexed="64"/>
      </left>
      <right style="hair">
        <color indexed="64"/>
      </right>
      <top style="hair">
        <color indexed="64"/>
      </top>
      <bottom style="hair">
        <color indexed="64"/>
      </bottom>
      <diagonal style="hair">
        <color theme="0" tint="-0.34998626667073579"/>
      </diagonal>
    </border>
    <border diagonalUp="1">
      <left style="hair">
        <color indexed="64"/>
      </left>
      <right style="hair">
        <color indexed="64"/>
      </right>
      <top/>
      <bottom style="hair">
        <color indexed="64"/>
      </bottom>
      <diagonal style="hair">
        <color theme="0" tint="-0.34998626667073579"/>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double">
        <color indexed="64"/>
      </bottom>
      <diagonal/>
    </border>
    <border>
      <left/>
      <right style="medium">
        <color auto="1"/>
      </right>
      <top style="thin">
        <color indexed="64"/>
      </top>
      <bottom style="hair">
        <color indexed="64"/>
      </bottom>
      <diagonal/>
    </border>
    <border>
      <left style="medium">
        <color indexed="64"/>
      </left>
      <right style="thin">
        <color auto="1"/>
      </right>
      <top style="thin">
        <color indexed="64"/>
      </top>
      <bottom style="hair">
        <color indexed="64"/>
      </bottom>
      <diagonal/>
    </border>
    <border>
      <left style="medium">
        <color indexed="64"/>
      </left>
      <right style="thin">
        <color auto="1"/>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auto="1"/>
      </right>
      <top style="hair">
        <color indexed="64"/>
      </top>
      <bottom style="medium">
        <color indexed="64"/>
      </bottom>
      <diagonal/>
    </border>
    <border>
      <left/>
      <right style="medium">
        <color auto="1"/>
      </right>
      <top style="hair">
        <color indexed="64"/>
      </top>
      <bottom style="medium">
        <color indexed="64"/>
      </bottom>
      <diagonal/>
    </border>
    <border>
      <left/>
      <right style="thin">
        <color auto="1"/>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thin">
        <color indexed="64"/>
      </bottom>
      <diagonal/>
    </border>
    <border diagonalUp="1">
      <left style="hair">
        <color indexed="64"/>
      </left>
      <right style="medium">
        <color indexed="64"/>
      </right>
      <top style="hair">
        <color indexed="64"/>
      </top>
      <bottom style="hair">
        <color indexed="64"/>
      </bottom>
      <diagonal style="hair">
        <color theme="0" tint="-0.34998626667073579"/>
      </diagonal>
    </border>
    <border>
      <left/>
      <right/>
      <top style="hair">
        <color auto="1"/>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top style="thin">
        <color indexed="64"/>
      </top>
      <bottom style="thin">
        <color indexed="64"/>
      </bottom>
      <diagonal/>
    </border>
    <border>
      <left style="medium">
        <color auto="1"/>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medium">
        <color auto="1"/>
      </right>
      <top style="thin">
        <color indexed="64"/>
      </top>
      <bottom style="medium">
        <color auto="1"/>
      </bottom>
      <diagonal/>
    </border>
    <border diagonalUp="1">
      <left style="thin">
        <color indexed="64"/>
      </left>
      <right style="thin">
        <color indexed="64"/>
      </right>
      <top style="double">
        <color indexed="64"/>
      </top>
      <bottom style="thin">
        <color indexed="64"/>
      </bottom>
      <diagonal style="thin">
        <color theme="0" tint="-0.34998626667073579"/>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auto="1"/>
      </left>
      <right style="thin">
        <color indexed="64"/>
      </right>
      <top style="double">
        <color indexed="64"/>
      </top>
      <bottom style="medium">
        <color indexed="64"/>
      </bottom>
      <diagonal/>
    </border>
    <border>
      <left style="medium">
        <color indexed="64"/>
      </left>
      <right/>
      <top/>
      <bottom style="hair">
        <color indexed="64"/>
      </bottom>
      <diagonal/>
    </border>
    <border>
      <left style="medium">
        <color auto="1"/>
      </left>
      <right style="thin">
        <color auto="1"/>
      </right>
      <top/>
      <bottom style="thin">
        <color auto="1"/>
      </bottom>
      <diagonal/>
    </border>
    <border>
      <left/>
      <right/>
      <top/>
      <bottom style="medium">
        <color auto="1"/>
      </bottom>
      <diagonal/>
    </border>
    <border>
      <left/>
      <right style="medium">
        <color indexed="64"/>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indexed="64"/>
      </right>
      <top style="hair">
        <color auto="1"/>
      </top>
      <bottom style="thin">
        <color auto="1"/>
      </bottom>
      <diagonal/>
    </border>
    <border>
      <left style="medium">
        <color auto="1"/>
      </left>
      <right style="medium">
        <color auto="1"/>
      </right>
      <top style="medium">
        <color indexed="64"/>
      </top>
      <bottom style="thin">
        <color auto="1"/>
      </bottom>
      <diagonal/>
    </border>
    <border>
      <left style="medium">
        <color auto="1"/>
      </left>
      <right style="medium">
        <color auto="1"/>
      </right>
      <top style="thin">
        <color indexed="64"/>
      </top>
      <bottom style="medium">
        <color auto="1"/>
      </bottom>
      <diagonal/>
    </border>
    <border>
      <left style="medium">
        <color auto="1"/>
      </left>
      <right/>
      <top style="hair">
        <color indexed="64"/>
      </top>
      <bottom style="thin">
        <color auto="1"/>
      </bottom>
      <diagonal/>
    </border>
    <border>
      <left style="thin">
        <color indexed="64"/>
      </left>
      <right style="medium">
        <color indexed="64"/>
      </right>
      <top/>
      <bottom style="hair">
        <color indexed="64"/>
      </bottom>
      <diagonal/>
    </border>
    <border>
      <left style="medium">
        <color auto="1"/>
      </left>
      <right style="medium">
        <color indexed="64"/>
      </right>
      <top style="double">
        <color auto="1"/>
      </top>
      <bottom style="medium">
        <color indexed="64"/>
      </bottom>
      <diagonal/>
    </border>
    <border>
      <left style="medium">
        <color auto="1"/>
      </left>
      <right style="thin">
        <color auto="1"/>
      </right>
      <top style="double">
        <color auto="1"/>
      </top>
      <bottom style="medium">
        <color indexed="64"/>
      </bottom>
      <diagonal/>
    </border>
    <border>
      <left/>
      <right style="thin">
        <color indexed="64"/>
      </right>
      <top/>
      <bottom style="medium">
        <color indexed="64"/>
      </bottom>
      <diagonal/>
    </border>
    <border>
      <left style="medium">
        <color indexed="64"/>
      </left>
      <right/>
      <top style="thin">
        <color theme="1"/>
      </top>
      <bottom style="hair">
        <color indexed="64"/>
      </bottom>
      <diagonal/>
    </border>
    <border>
      <left/>
      <right/>
      <top style="thin">
        <color theme="1"/>
      </top>
      <bottom style="hair">
        <color indexed="64"/>
      </bottom>
      <diagonal/>
    </border>
    <border>
      <left style="thin">
        <color indexed="64"/>
      </left>
      <right style="medium">
        <color indexed="64"/>
      </right>
      <top style="thin">
        <color theme="1"/>
      </top>
      <bottom style="hair">
        <color indexed="64"/>
      </bottom>
      <diagonal/>
    </border>
    <border>
      <left style="medium">
        <color indexed="64"/>
      </left>
      <right/>
      <top style="hair">
        <color indexed="64"/>
      </top>
      <bottom style="thin">
        <color theme="1"/>
      </bottom>
      <diagonal/>
    </border>
    <border>
      <left/>
      <right/>
      <top style="hair">
        <color indexed="64"/>
      </top>
      <bottom style="thin">
        <color theme="1"/>
      </bottom>
      <diagonal/>
    </border>
    <border>
      <left style="thin">
        <color indexed="64"/>
      </left>
      <right style="medium">
        <color indexed="64"/>
      </right>
      <top style="hair">
        <color indexed="64"/>
      </top>
      <bottom style="thin">
        <color theme="1"/>
      </bottom>
      <diagonal/>
    </border>
    <border>
      <left/>
      <right style="medium">
        <color indexed="64"/>
      </right>
      <top/>
      <bottom style="thin">
        <color indexed="64"/>
      </bottom>
      <diagonal/>
    </border>
    <border diagonalUp="1">
      <left style="hair">
        <color indexed="64"/>
      </left>
      <right style="hair">
        <color indexed="64"/>
      </right>
      <top style="thin">
        <color indexed="64"/>
      </top>
      <bottom style="hair">
        <color indexed="64"/>
      </bottom>
      <diagonal style="hair">
        <color theme="0" tint="-0.34998626667073579"/>
      </diagonal>
    </border>
    <border diagonalUp="1">
      <left style="thin">
        <color indexed="64"/>
      </left>
      <right style="medium">
        <color indexed="64"/>
      </right>
      <top style="hair">
        <color indexed="64"/>
      </top>
      <bottom style="hair">
        <color indexed="64"/>
      </bottom>
      <diagonal style="hair">
        <color theme="0" tint="-0.34998626667073579"/>
      </diagonal>
    </border>
    <border>
      <left style="medium">
        <color indexed="64"/>
      </left>
      <right style="thin">
        <color indexed="64"/>
      </right>
      <top style="medium">
        <color indexed="64"/>
      </top>
      <bottom/>
      <diagonal/>
    </border>
    <border diagonalUp="1">
      <left style="thin">
        <color auto="1"/>
      </left>
      <right style="thin">
        <color auto="1"/>
      </right>
      <top style="double">
        <color auto="1"/>
      </top>
      <bottom style="thin">
        <color auto="1"/>
      </bottom>
      <diagonal style="thin">
        <color auto="1"/>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double">
        <color indexed="64"/>
      </top>
      <bottom style="medium">
        <color indexed="64"/>
      </bottom>
      <diagonal/>
    </border>
    <border>
      <left style="medium">
        <color auto="1"/>
      </left>
      <right/>
      <top style="thin">
        <color indexed="64"/>
      </top>
      <bottom/>
      <diagonal/>
    </border>
    <border>
      <left/>
      <right style="medium">
        <color auto="1"/>
      </right>
      <top style="thin">
        <color indexed="64"/>
      </top>
      <bottom/>
      <diagonal/>
    </border>
    <border>
      <left style="medium">
        <color indexed="64"/>
      </left>
      <right/>
      <top style="hair">
        <color indexed="64"/>
      </top>
      <bottom/>
      <diagonal/>
    </border>
    <border>
      <left/>
      <right/>
      <top style="hair">
        <color auto="1"/>
      </top>
      <bottom/>
      <diagonal/>
    </border>
    <border>
      <left style="thin">
        <color indexed="64"/>
      </left>
      <right style="medium">
        <color indexed="64"/>
      </right>
      <top style="hair">
        <color indexed="64"/>
      </top>
      <bottom/>
      <diagonal/>
    </border>
  </borders>
  <cellStyleXfs count="56">
    <xf numFmtId="0" fontId="0" fillId="0" borderId="0">
      <alignment vertical="center"/>
    </xf>
    <xf numFmtId="0" fontId="4" fillId="0" borderId="0">
      <alignment vertical="center"/>
    </xf>
    <xf numFmtId="0" fontId="7" fillId="0" borderId="0"/>
    <xf numFmtId="0" fontId="7" fillId="0" borderId="0">
      <alignment vertical="center"/>
    </xf>
    <xf numFmtId="38" fontId="7" fillId="0" borderId="0" applyFont="0" applyFill="0" applyBorder="0" applyAlignment="0" applyProtection="0">
      <alignment vertical="center"/>
    </xf>
    <xf numFmtId="0" fontId="11" fillId="0" borderId="0" applyNumberFormat="0" applyFill="0" applyBorder="0" applyAlignment="0" applyProtection="0"/>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9" borderId="0" applyNumberFormat="0" applyBorder="0" applyAlignment="0" applyProtection="0">
      <alignment vertical="center"/>
    </xf>
    <xf numFmtId="0" fontId="9" fillId="12" borderId="0" applyNumberFormat="0" applyBorder="0" applyAlignment="0" applyProtection="0">
      <alignment vertical="center"/>
    </xf>
    <xf numFmtId="0" fontId="9" fillId="15" borderId="0" applyNumberFormat="0" applyBorder="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23" borderId="0" applyNumberFormat="0" applyBorder="0" applyAlignment="0" applyProtection="0">
      <alignment vertical="center"/>
    </xf>
    <xf numFmtId="0" fontId="12" fillId="0" borderId="40">
      <alignment horizontal="center" vertical="center"/>
    </xf>
    <xf numFmtId="0" fontId="13" fillId="0" borderId="0" applyNumberFormat="0" applyFill="0" applyBorder="0" applyAlignment="0" applyProtection="0">
      <alignment vertical="center"/>
    </xf>
    <xf numFmtId="0" fontId="6" fillId="24" borderId="41" applyNumberFormat="0" applyAlignment="0" applyProtection="0">
      <alignment vertical="center"/>
    </xf>
    <xf numFmtId="0" fontId="14" fillId="25" borderId="0" applyNumberFormat="0" applyBorder="0" applyAlignment="0" applyProtection="0">
      <alignment vertical="center"/>
    </xf>
    <xf numFmtId="0" fontId="9" fillId="26" borderId="42" applyNumberFormat="0" applyFont="0" applyAlignment="0" applyProtection="0">
      <alignment vertical="center"/>
    </xf>
    <xf numFmtId="0" fontId="15" fillId="0" borderId="43" applyNumberFormat="0" applyFill="0" applyAlignment="0" applyProtection="0">
      <alignment vertical="center"/>
    </xf>
    <xf numFmtId="0" fontId="16" fillId="7" borderId="0" applyNumberFormat="0" applyBorder="0" applyAlignment="0" applyProtection="0">
      <alignment vertical="center"/>
    </xf>
    <xf numFmtId="0" fontId="17" fillId="27" borderId="44" applyNumberFormat="0" applyAlignment="0" applyProtection="0">
      <alignment vertical="center"/>
    </xf>
    <xf numFmtId="0" fontId="12" fillId="0" borderId="0" applyNumberFormat="0" applyFill="0" applyBorder="0" applyAlignment="0" applyProtection="0">
      <alignment vertical="center"/>
    </xf>
    <xf numFmtId="0" fontId="18" fillId="0" borderId="45" applyNumberFormat="0" applyFill="0" applyAlignment="0" applyProtection="0">
      <alignment vertical="center"/>
    </xf>
    <xf numFmtId="0" fontId="19" fillId="0" borderId="46" applyNumberFormat="0" applyFill="0" applyAlignment="0" applyProtection="0">
      <alignment vertical="center"/>
    </xf>
    <xf numFmtId="0" fontId="20" fillId="0" borderId="47" applyNumberFormat="0" applyFill="0" applyAlignment="0" applyProtection="0">
      <alignment vertical="center"/>
    </xf>
    <xf numFmtId="0" fontId="20" fillId="0" borderId="0" applyNumberFormat="0" applyFill="0" applyBorder="0" applyAlignment="0" applyProtection="0">
      <alignment vertical="center"/>
    </xf>
    <xf numFmtId="0" fontId="21" fillId="0" borderId="48" applyNumberFormat="0" applyFill="0" applyAlignment="0" applyProtection="0">
      <alignment vertical="center"/>
    </xf>
    <xf numFmtId="0" fontId="22" fillId="27" borderId="49" applyNumberFormat="0" applyAlignment="0" applyProtection="0">
      <alignment vertical="center"/>
    </xf>
    <xf numFmtId="0" fontId="23" fillId="0" borderId="0" applyNumberFormat="0" applyFill="0" applyBorder="0" applyAlignment="0" applyProtection="0">
      <alignment vertical="center"/>
    </xf>
    <xf numFmtId="0" fontId="24" fillId="11" borderId="44" applyNumberFormat="0" applyAlignment="0" applyProtection="0">
      <alignment vertical="center"/>
    </xf>
    <xf numFmtId="0" fontId="5" fillId="0" borderId="0">
      <alignment vertical="center"/>
    </xf>
    <xf numFmtId="0" fontId="25" fillId="8" borderId="0" applyNumberFormat="0" applyBorder="0" applyAlignment="0" applyProtection="0">
      <alignment vertical="center"/>
    </xf>
    <xf numFmtId="0" fontId="7" fillId="0" borderId="0"/>
    <xf numFmtId="0" fontId="26" fillId="0" borderId="0" applyNumberForma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38" fontId="5"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cellStyleXfs>
  <cellXfs count="1283">
    <xf numFmtId="0" fontId="0" fillId="0" borderId="0" xfId="0">
      <alignment vertical="center"/>
    </xf>
    <xf numFmtId="0" fontId="34" fillId="5" borderId="1" xfId="0" applyFont="1" applyFill="1" applyBorder="1" applyAlignment="1" applyProtection="1">
      <alignment horizontal="center" vertical="center" wrapText="1"/>
      <protection locked="0"/>
    </xf>
    <xf numFmtId="0" fontId="38" fillId="5" borderId="4" xfId="0" applyFont="1" applyFill="1" applyBorder="1" applyAlignment="1" applyProtection="1">
      <alignment horizontal="center" vertical="center" wrapText="1"/>
      <protection locked="0"/>
    </xf>
    <xf numFmtId="0" fontId="34" fillId="5" borderId="7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8" fillId="5" borderId="2" xfId="0" applyFont="1" applyFill="1" applyBorder="1" applyAlignment="1" applyProtection="1">
      <alignment vertical="center" wrapText="1"/>
      <protection locked="0"/>
    </xf>
    <xf numFmtId="0" fontId="34" fillId="5" borderId="2" xfId="0" applyFont="1" applyFill="1" applyBorder="1" applyAlignment="1" applyProtection="1">
      <alignment vertical="center" wrapText="1"/>
      <protection locked="0"/>
    </xf>
    <xf numFmtId="0" fontId="30" fillId="0" borderId="95" xfId="0" applyFont="1" applyBorder="1" applyProtection="1">
      <alignment vertical="center"/>
      <protection hidden="1"/>
    </xf>
    <xf numFmtId="0" fontId="34" fillId="33" borderId="1" xfId="0" applyFont="1" applyFill="1" applyBorder="1" applyAlignment="1" applyProtection="1">
      <alignment horizontal="center" vertical="center" wrapText="1"/>
      <protection hidden="1"/>
    </xf>
    <xf numFmtId="0" fontId="34" fillId="39" borderId="1" xfId="0" applyFont="1" applyFill="1" applyBorder="1" applyAlignment="1" applyProtection="1">
      <alignment horizontal="center" vertical="center" wrapText="1"/>
      <protection hidden="1"/>
    </xf>
    <xf numFmtId="0" fontId="38" fillId="0" borderId="0" xfId="0" applyFont="1" applyProtection="1">
      <alignment vertical="center"/>
      <protection hidden="1"/>
    </xf>
    <xf numFmtId="0" fontId="34" fillId="33" borderId="2" xfId="0" applyFont="1" applyFill="1" applyBorder="1" applyAlignment="1" applyProtection="1">
      <alignment vertical="center" wrapText="1"/>
      <protection hidden="1"/>
    </xf>
    <xf numFmtId="0" fontId="38" fillId="38" borderId="86" xfId="0" applyFont="1" applyFill="1" applyBorder="1" applyAlignment="1" applyProtection="1">
      <alignment vertical="center" wrapText="1"/>
      <protection locked="0"/>
    </xf>
    <xf numFmtId="0" fontId="0" fillId="29" borderId="0" xfId="0" applyFill="1">
      <alignment vertical="center"/>
    </xf>
    <xf numFmtId="0" fontId="30" fillId="29" borderId="0" xfId="0" applyFont="1" applyFill="1" applyProtection="1">
      <alignment vertical="center"/>
      <protection hidden="1"/>
    </xf>
    <xf numFmtId="0" fontId="30" fillId="0" borderId="0" xfId="0" applyFont="1" applyAlignment="1" applyProtection="1">
      <alignment horizontal="center" vertical="center"/>
      <protection hidden="1"/>
    </xf>
    <xf numFmtId="0" fontId="66" fillId="29" borderId="0" xfId="0" applyFont="1" applyFill="1" applyProtection="1">
      <alignment vertical="center"/>
      <protection hidden="1"/>
    </xf>
    <xf numFmtId="0" fontId="30" fillId="5" borderId="102" xfId="0" applyFont="1" applyFill="1" applyBorder="1" applyAlignment="1" applyProtection="1">
      <alignment horizontal="center" vertical="center"/>
      <protection locked="0"/>
    </xf>
    <xf numFmtId="0" fontId="30" fillId="5" borderId="102" xfId="0" applyFont="1" applyFill="1" applyBorder="1" applyAlignment="1" applyProtection="1">
      <alignment horizontal="right" vertical="center"/>
      <protection locked="0"/>
    </xf>
    <xf numFmtId="0" fontId="30" fillId="5" borderId="102" xfId="0" applyFont="1" applyFill="1" applyBorder="1" applyProtection="1">
      <alignment vertical="center"/>
      <protection locked="0"/>
    </xf>
    <xf numFmtId="0" fontId="67" fillId="45" borderId="0" xfId="52" applyFont="1" applyFill="1" applyProtection="1">
      <alignment vertical="center"/>
      <protection hidden="1"/>
    </xf>
    <xf numFmtId="0" fontId="67" fillId="45" borderId="0" xfId="0" applyFont="1" applyFill="1" applyProtection="1">
      <alignment vertical="center"/>
      <protection hidden="1"/>
    </xf>
    <xf numFmtId="0" fontId="29" fillId="45" borderId="0" xfId="0" applyFont="1" applyFill="1" applyProtection="1">
      <alignment vertical="center"/>
      <protection hidden="1"/>
    </xf>
    <xf numFmtId="0" fontId="0" fillId="0" borderId="0" xfId="0" applyProtection="1">
      <alignment vertical="center"/>
      <protection hidden="1"/>
    </xf>
    <xf numFmtId="0" fontId="30" fillId="0" borderId="0" xfId="0" applyFont="1" applyProtection="1">
      <alignment vertical="center"/>
      <protection hidden="1"/>
    </xf>
    <xf numFmtId="0" fontId="30" fillId="0" borderId="0" xfId="0" applyFont="1" applyAlignment="1" applyProtection="1">
      <alignment horizontal="right" vertical="center"/>
      <protection hidden="1"/>
    </xf>
    <xf numFmtId="0" fontId="38" fillId="0" borderId="0" xfId="52" applyFont="1" applyProtection="1">
      <alignment vertical="center"/>
      <protection hidden="1"/>
    </xf>
    <xf numFmtId="0" fontId="34" fillId="0" borderId="0" xfId="52" applyFont="1" applyProtection="1">
      <alignment vertical="center"/>
      <protection hidden="1"/>
    </xf>
    <xf numFmtId="0" fontId="0" fillId="29" borderId="0" xfId="0" applyFill="1" applyProtection="1">
      <alignment vertical="center"/>
      <protection hidden="1"/>
    </xf>
    <xf numFmtId="0" fontId="38" fillId="0" borderId="0" xfId="52" applyFont="1" applyAlignment="1" applyProtection="1">
      <alignment horizontal="right" vertical="center"/>
      <protection hidden="1"/>
    </xf>
    <xf numFmtId="0" fontId="30" fillId="0" borderId="99" xfId="0" applyFont="1" applyBorder="1" applyProtection="1">
      <alignment vertical="center"/>
      <protection hidden="1"/>
    </xf>
    <xf numFmtId="0" fontId="38" fillId="29" borderId="0" xfId="52" applyFont="1" applyFill="1" applyProtection="1">
      <alignment vertical="center"/>
      <protection hidden="1"/>
    </xf>
    <xf numFmtId="0" fontId="34" fillId="29" borderId="0" xfId="52" applyFont="1" applyFill="1" applyProtection="1">
      <alignment vertical="center"/>
      <protection hidden="1"/>
    </xf>
    <xf numFmtId="0" fontId="30" fillId="29" borderId="0" xfId="0" applyFont="1" applyFill="1" applyAlignment="1" applyProtection="1">
      <alignment horizontal="left" vertical="center" indent="6"/>
      <protection hidden="1"/>
    </xf>
    <xf numFmtId="0" fontId="53" fillId="29" borderId="0" xfId="0" applyFont="1" applyFill="1" applyProtection="1">
      <alignment vertical="center"/>
      <protection hidden="1"/>
    </xf>
    <xf numFmtId="0" fontId="30" fillId="29" borderId="0" xfId="0" applyFont="1" applyFill="1" applyAlignment="1" applyProtection="1">
      <alignment horizontal="center" vertical="center"/>
      <protection hidden="1"/>
    </xf>
    <xf numFmtId="0" fontId="30" fillId="29" borderId="0" xfId="0" applyFont="1" applyFill="1" applyAlignment="1" applyProtection="1">
      <alignment horizontal="centerContinuous" vertical="center"/>
      <protection hidden="1"/>
    </xf>
    <xf numFmtId="0" fontId="30" fillId="29" borderId="0" xfId="0" applyFont="1" applyFill="1" applyAlignment="1" applyProtection="1">
      <alignment horizontal="left" vertical="center"/>
      <protection hidden="1"/>
    </xf>
    <xf numFmtId="0" fontId="30" fillId="29" borderId="0" xfId="0" applyFont="1" applyFill="1" applyAlignment="1" applyProtection="1">
      <alignment horizontal="left" vertical="center" indent="1"/>
      <protection hidden="1"/>
    </xf>
    <xf numFmtId="0" fontId="30" fillId="29" borderId="0" xfId="0" applyFont="1" applyFill="1" applyAlignment="1" applyProtection="1">
      <alignment horizontal="right" vertical="center"/>
      <protection hidden="1"/>
    </xf>
    <xf numFmtId="197" fontId="30" fillId="29" borderId="95" xfId="0" applyNumberFormat="1" applyFont="1" applyFill="1" applyBorder="1" applyProtection="1">
      <alignment vertical="center"/>
      <protection hidden="1"/>
    </xf>
    <xf numFmtId="0" fontId="26" fillId="29" borderId="0" xfId="50" applyFill="1" applyProtection="1">
      <alignment vertical="center"/>
      <protection hidden="1"/>
    </xf>
    <xf numFmtId="0" fontId="66" fillId="0" borderId="0" xfId="0" applyFont="1" applyProtection="1">
      <alignment vertical="center"/>
      <protection hidden="1"/>
    </xf>
    <xf numFmtId="0" fontId="65" fillId="0" borderId="0" xfId="0" applyFont="1" applyProtection="1">
      <alignment vertical="center"/>
      <protection hidden="1"/>
    </xf>
    <xf numFmtId="0" fontId="30" fillId="0" borderId="0" xfId="0" applyFont="1" applyAlignment="1" applyProtection="1">
      <alignment horizontal="left" vertical="center" indent="1"/>
      <protection hidden="1"/>
    </xf>
    <xf numFmtId="0" fontId="34" fillId="0" borderId="14" xfId="52" applyFont="1" applyBorder="1" applyAlignment="1" applyProtection="1">
      <alignment horizontal="center" vertical="center" wrapText="1"/>
      <protection hidden="1"/>
    </xf>
    <xf numFmtId="0" fontId="34" fillId="0" borderId="16" xfId="52" applyFont="1" applyBorder="1" applyAlignment="1" applyProtection="1">
      <alignment horizontal="centerContinuous" vertical="center" wrapText="1" shrinkToFit="1"/>
      <protection hidden="1"/>
    </xf>
    <xf numFmtId="0" fontId="39" fillId="0" borderId="0" xfId="3" applyFont="1" applyProtection="1">
      <alignment vertical="center"/>
      <protection hidden="1"/>
    </xf>
    <xf numFmtId="0" fontId="54" fillId="0" borderId="0" xfId="0" applyFont="1" applyProtection="1">
      <alignment vertical="center"/>
      <protection hidden="1"/>
    </xf>
    <xf numFmtId="0" fontId="35" fillId="0" borderId="0" xfId="52" applyFont="1" applyAlignment="1" applyProtection="1">
      <alignment horizontal="center" vertical="top"/>
      <protection hidden="1"/>
    </xf>
    <xf numFmtId="177" fontId="34" fillId="0" borderId="0" xfId="52" applyNumberFormat="1" applyFont="1" applyProtection="1">
      <alignment vertical="center"/>
      <protection hidden="1"/>
    </xf>
    <xf numFmtId="0" fontId="38" fillId="0" borderId="0" xfId="3" applyFont="1" applyProtection="1">
      <alignment vertical="center"/>
      <protection hidden="1"/>
    </xf>
    <xf numFmtId="0" fontId="53" fillId="0" borderId="0" xfId="0" applyFont="1" applyProtection="1">
      <alignment vertical="center"/>
      <protection hidden="1"/>
    </xf>
    <xf numFmtId="0" fontId="70" fillId="29" borderId="0" xfId="0" applyFont="1" applyFill="1" applyProtection="1">
      <alignment vertical="center"/>
      <protection hidden="1"/>
    </xf>
    <xf numFmtId="0" fontId="63" fillId="29" borderId="0" xfId="0" applyFont="1" applyFill="1" applyProtection="1">
      <alignment vertical="center"/>
      <protection hidden="1"/>
    </xf>
    <xf numFmtId="0" fontId="34" fillId="0" borderId="0" xfId="3" applyFont="1" applyAlignment="1" applyProtection="1">
      <alignment horizontal="center" vertical="center"/>
      <protection hidden="1"/>
    </xf>
    <xf numFmtId="182" fontId="34" fillId="0" borderId="23" xfId="3" applyNumberFormat="1" applyFont="1" applyBorder="1" applyAlignment="1" applyProtection="1">
      <alignment horizontal="centerContinuous" vertical="center"/>
      <protection hidden="1"/>
    </xf>
    <xf numFmtId="182" fontId="34" fillId="0" borderId="24" xfId="3" applyNumberFormat="1" applyFont="1" applyBorder="1" applyAlignment="1" applyProtection="1">
      <alignment horizontal="centerContinuous" vertical="center"/>
      <protection hidden="1"/>
    </xf>
    <xf numFmtId="0" fontId="62" fillId="0" borderId="0" xfId="0" applyFont="1" applyProtection="1">
      <alignment vertical="center"/>
      <protection hidden="1"/>
    </xf>
    <xf numFmtId="38" fontId="47" fillId="0" borderId="0" xfId="53" applyFont="1" applyBorder="1" applyAlignment="1" applyProtection="1">
      <alignment vertical="center"/>
      <protection hidden="1"/>
    </xf>
    <xf numFmtId="0" fontId="40" fillId="0" borderId="0" xfId="3" applyFont="1" applyProtection="1">
      <alignment vertical="center"/>
      <protection hidden="1"/>
    </xf>
    <xf numFmtId="0" fontId="34" fillId="0" borderId="132" xfId="3" applyFont="1" applyBorder="1" applyProtection="1">
      <alignment vertical="center"/>
      <protection hidden="1"/>
    </xf>
    <xf numFmtId="0" fontId="34" fillId="0" borderId="144" xfId="3" applyFont="1" applyBorder="1" applyProtection="1">
      <alignment vertical="center"/>
      <protection hidden="1"/>
    </xf>
    <xf numFmtId="0" fontId="34" fillId="0" borderId="52" xfId="3" applyFont="1" applyBorder="1" applyProtection="1">
      <alignment vertical="center"/>
      <protection hidden="1"/>
    </xf>
    <xf numFmtId="0" fontId="34" fillId="0" borderId="145" xfId="3" applyFont="1" applyBorder="1" applyProtection="1">
      <alignment vertical="center"/>
      <protection hidden="1"/>
    </xf>
    <xf numFmtId="0" fontId="34" fillId="0" borderId="146" xfId="3" applyFont="1" applyBorder="1" applyProtection="1">
      <alignment vertical="center"/>
      <protection hidden="1"/>
    </xf>
    <xf numFmtId="0" fontId="34" fillId="0" borderId="147" xfId="3" applyFont="1" applyBorder="1" applyProtection="1">
      <alignment vertical="center"/>
      <protection hidden="1"/>
    </xf>
    <xf numFmtId="182" fontId="41" fillId="0" borderId="0" xfId="3" applyNumberFormat="1" applyFont="1" applyProtection="1">
      <alignment vertical="center"/>
      <protection hidden="1"/>
    </xf>
    <xf numFmtId="0" fontId="53" fillId="0" borderId="0" xfId="52" applyFont="1" applyProtection="1">
      <alignment vertical="center"/>
      <protection hidden="1"/>
    </xf>
    <xf numFmtId="0" fontId="30" fillId="0" borderId="0" xfId="52" applyFont="1" applyAlignment="1" applyProtection="1">
      <alignment horizontal="right" vertical="center"/>
      <protection hidden="1"/>
    </xf>
    <xf numFmtId="0" fontId="30" fillId="0" borderId="0" xfId="50" applyFont="1" applyAlignment="1" applyProtection="1">
      <alignment horizontal="centerContinuous" vertical="center"/>
      <protection hidden="1"/>
    </xf>
    <xf numFmtId="0" fontId="38" fillId="0" borderId="118" xfId="52" applyFont="1" applyBorder="1" applyAlignment="1" applyProtection="1">
      <alignment horizontal="centerContinuous" vertical="center"/>
      <protection hidden="1"/>
    </xf>
    <xf numFmtId="0" fontId="38" fillId="0" borderId="8" xfId="52" applyFont="1" applyBorder="1" applyAlignment="1" applyProtection="1">
      <alignment horizontal="centerContinuous" vertical="center"/>
      <protection hidden="1"/>
    </xf>
    <xf numFmtId="0" fontId="38" fillId="0" borderId="156" xfId="52" applyFont="1" applyBorder="1" applyAlignment="1" applyProtection="1">
      <alignment horizontal="centerContinuous" vertical="center"/>
      <protection hidden="1"/>
    </xf>
    <xf numFmtId="0" fontId="38" fillId="0" borderId="95" xfId="52" applyFont="1" applyBorder="1" applyAlignment="1" applyProtection="1">
      <alignment horizontal="centerContinuous" vertical="center"/>
      <protection hidden="1"/>
    </xf>
    <xf numFmtId="0" fontId="38" fillId="0" borderId="157" xfId="52" applyFont="1" applyBorder="1" applyAlignment="1" applyProtection="1">
      <alignment horizontal="centerContinuous" vertical="center"/>
      <protection hidden="1"/>
    </xf>
    <xf numFmtId="0" fontId="38" fillId="0" borderId="158" xfId="52" applyFont="1" applyBorder="1" applyAlignment="1" applyProtection="1">
      <alignment horizontal="centerContinuous" vertical="center"/>
      <protection hidden="1"/>
    </xf>
    <xf numFmtId="0" fontId="38" fillId="29" borderId="0" xfId="0" applyFont="1" applyFill="1" applyProtection="1">
      <alignment vertical="center"/>
      <protection hidden="1"/>
    </xf>
    <xf numFmtId="0" fontId="30" fillId="47" borderId="102" xfId="0" applyFont="1" applyFill="1" applyBorder="1" applyProtection="1">
      <alignment vertical="center"/>
      <protection hidden="1"/>
    </xf>
    <xf numFmtId="0" fontId="54" fillId="29" borderId="0" xfId="0" applyFont="1" applyFill="1" applyProtection="1">
      <alignment vertical="center"/>
      <protection hidden="1"/>
    </xf>
    <xf numFmtId="0" fontId="30" fillId="0" borderId="0" xfId="0" applyFont="1" applyAlignment="1" applyProtection="1">
      <alignment horizontal="center" vertical="center" wrapText="1"/>
      <protection hidden="1"/>
    </xf>
    <xf numFmtId="0" fontId="30" fillId="0" borderId="0" xfId="0" quotePrefix="1" applyFont="1" applyProtection="1">
      <alignment vertical="center"/>
      <protection hidden="1"/>
    </xf>
    <xf numFmtId="0" fontId="30" fillId="0" borderId="0" xfId="0" applyFont="1" applyAlignment="1" applyProtection="1">
      <alignment vertical="top"/>
      <protection hidden="1"/>
    </xf>
    <xf numFmtId="0" fontId="30" fillId="0" borderId="0" xfId="0" applyFont="1" applyAlignment="1" applyProtection="1">
      <alignment horizontal="left" vertical="center" indent="2"/>
      <protection hidden="1"/>
    </xf>
    <xf numFmtId="0" fontId="30" fillId="0" borderId="0" xfId="0" applyFont="1" applyAlignment="1" applyProtection="1">
      <alignment horizontal="left" vertical="top" indent="2"/>
      <protection hidden="1"/>
    </xf>
    <xf numFmtId="0" fontId="30" fillId="29" borderId="0" xfId="0" applyFont="1" applyFill="1" applyAlignment="1" applyProtection="1">
      <alignment vertical="top"/>
      <protection hidden="1"/>
    </xf>
    <xf numFmtId="0" fontId="30" fillId="0" borderId="3" xfId="0" applyFont="1" applyBorder="1" applyProtection="1">
      <alignment vertical="center"/>
      <protection hidden="1"/>
    </xf>
    <xf numFmtId="0" fontId="30" fillId="0" borderId="2" xfId="0" applyFont="1" applyBorder="1" applyAlignment="1" applyProtection="1">
      <alignment horizontal="right" vertical="center"/>
      <protection hidden="1"/>
    </xf>
    <xf numFmtId="0" fontId="30" fillId="0" borderId="4" xfId="0" applyFont="1" applyBorder="1" applyProtection="1">
      <alignment vertical="center"/>
      <protection hidden="1"/>
    </xf>
    <xf numFmtId="0" fontId="34" fillId="0" borderId="1" xfId="0" applyFont="1" applyBorder="1" applyAlignment="1" applyProtection="1">
      <alignment horizontal="center" vertical="center" wrapText="1"/>
      <protection hidden="1"/>
    </xf>
    <xf numFmtId="0" fontId="38" fillId="0" borderId="2" xfId="0" applyFont="1" applyBorder="1" applyAlignment="1" applyProtection="1">
      <alignment vertical="center" wrapText="1"/>
      <protection hidden="1"/>
    </xf>
    <xf numFmtId="0" fontId="55" fillId="29" borderId="0" xfId="0" applyFont="1" applyFill="1" applyProtection="1">
      <alignment vertical="center"/>
      <protection hidden="1"/>
    </xf>
    <xf numFmtId="0" fontId="66" fillId="0" borderId="0" xfId="0" applyFont="1" applyAlignment="1" applyProtection="1">
      <alignment horizontal="left" vertical="center"/>
      <protection hidden="1"/>
    </xf>
    <xf numFmtId="0" fontId="59" fillId="0" borderId="0" xfId="0" applyFont="1" applyAlignment="1" applyProtection="1">
      <alignment vertical="center" wrapText="1"/>
      <protection hidden="1"/>
    </xf>
    <xf numFmtId="0" fontId="67" fillId="49" borderId="0" xfId="52" applyFont="1" applyFill="1" applyProtection="1">
      <alignment vertical="center"/>
      <protection hidden="1"/>
    </xf>
    <xf numFmtId="0" fontId="67" fillId="49" borderId="0" xfId="0" applyFont="1" applyFill="1" applyProtection="1">
      <alignment vertical="center"/>
      <protection hidden="1"/>
    </xf>
    <xf numFmtId="0" fontId="29" fillId="49" borderId="0" xfId="0" applyFont="1" applyFill="1" applyProtection="1">
      <alignment vertical="center"/>
      <protection hidden="1"/>
    </xf>
    <xf numFmtId="0" fontId="47" fillId="29" borderId="0" xfId="0" applyFont="1" applyFill="1" applyProtection="1">
      <alignment vertical="center"/>
      <protection hidden="1"/>
    </xf>
    <xf numFmtId="191" fontId="30" fillId="29" borderId="0" xfId="0" applyNumberFormat="1" applyFont="1" applyFill="1" applyProtection="1">
      <alignment vertical="center"/>
      <protection hidden="1"/>
    </xf>
    <xf numFmtId="0" fontId="65" fillId="29" borderId="0" xfId="0" applyFont="1" applyFill="1" applyProtection="1">
      <alignment vertical="center"/>
      <protection hidden="1"/>
    </xf>
    <xf numFmtId="0" fontId="39" fillId="29" borderId="0" xfId="3" applyFont="1" applyFill="1" applyProtection="1">
      <alignment vertical="center"/>
      <protection hidden="1"/>
    </xf>
    <xf numFmtId="0" fontId="34" fillId="29" borderId="0" xfId="52" applyFont="1" applyFill="1" applyAlignment="1" applyProtection="1">
      <alignment horizontal="center" vertical="center" wrapText="1" shrinkToFit="1"/>
      <protection hidden="1"/>
    </xf>
    <xf numFmtId="0" fontId="35" fillId="29" borderId="0" xfId="52" applyFont="1" applyFill="1" applyAlignment="1" applyProtection="1">
      <alignment horizontal="center" vertical="top"/>
      <protection hidden="1"/>
    </xf>
    <xf numFmtId="177" fontId="34" fillId="29" borderId="0" xfId="52" applyNumberFormat="1" applyFont="1" applyFill="1" applyProtection="1">
      <alignment vertical="center"/>
      <protection hidden="1"/>
    </xf>
    <xf numFmtId="0" fontId="64" fillId="29" borderId="0" xfId="0" applyFont="1" applyFill="1" applyProtection="1">
      <alignment vertical="center"/>
      <protection hidden="1"/>
    </xf>
    <xf numFmtId="0" fontId="34" fillId="29" borderId="0" xfId="3" applyFont="1" applyFill="1" applyAlignment="1" applyProtection="1">
      <alignment horizontal="center" vertical="center"/>
      <protection hidden="1"/>
    </xf>
    <xf numFmtId="182" fontId="34" fillId="29" borderId="0" xfId="3" applyNumberFormat="1" applyFont="1" applyFill="1" applyAlignment="1" applyProtection="1">
      <alignment horizontal="center" vertical="center" shrinkToFit="1"/>
      <protection hidden="1"/>
    </xf>
    <xf numFmtId="182" fontId="34" fillId="29" borderId="0" xfId="3" applyNumberFormat="1" applyFont="1" applyFill="1" applyAlignment="1" applyProtection="1">
      <alignment horizontal="center" vertical="center"/>
      <protection hidden="1"/>
    </xf>
    <xf numFmtId="0" fontId="34" fillId="29" borderId="0" xfId="0" applyFont="1" applyFill="1" applyProtection="1">
      <alignment vertical="center"/>
      <protection hidden="1"/>
    </xf>
    <xf numFmtId="177" fontId="38" fillId="29" borderId="0" xfId="52" applyNumberFormat="1" applyFont="1" applyFill="1" applyProtection="1">
      <alignment vertical="center"/>
      <protection hidden="1"/>
    </xf>
    <xf numFmtId="38" fontId="47" fillId="29" borderId="0" xfId="53" applyFont="1" applyFill="1" applyBorder="1" applyAlignment="1" applyProtection="1">
      <alignment vertical="center"/>
      <protection hidden="1"/>
    </xf>
    <xf numFmtId="0" fontId="40" fillId="29" borderId="0" xfId="3" applyFont="1" applyFill="1" applyProtection="1">
      <alignment vertical="center"/>
      <protection hidden="1"/>
    </xf>
    <xf numFmtId="182" fontId="41" fillId="29" borderId="0" xfId="3" applyNumberFormat="1" applyFont="1" applyFill="1" applyProtection="1">
      <alignment vertical="center"/>
      <protection hidden="1"/>
    </xf>
    <xf numFmtId="0" fontId="30" fillId="29" borderId="0" xfId="52" applyFont="1" applyFill="1" applyAlignment="1" applyProtection="1">
      <alignment horizontal="right" vertical="top"/>
      <protection hidden="1"/>
    </xf>
    <xf numFmtId="0" fontId="38" fillId="5" borderId="102" xfId="52" applyFont="1" applyFill="1" applyBorder="1" applyAlignment="1" applyProtection="1">
      <alignment vertical="center" wrapText="1"/>
      <protection hidden="1"/>
    </xf>
    <xf numFmtId="0" fontId="38" fillId="5" borderId="99" xfId="52" applyFont="1" applyFill="1" applyBorder="1" applyAlignment="1" applyProtection="1">
      <alignment vertical="center" wrapText="1"/>
      <protection hidden="1"/>
    </xf>
    <xf numFmtId="0" fontId="38" fillId="5" borderId="95" xfId="52" applyFont="1" applyFill="1" applyBorder="1" applyAlignment="1" applyProtection="1">
      <alignment vertical="center" wrapText="1"/>
      <protection hidden="1"/>
    </xf>
    <xf numFmtId="0" fontId="38" fillId="0" borderId="2" xfId="0" applyFont="1" applyBorder="1" applyAlignment="1" applyProtection="1">
      <alignment horizontal="centerContinuous" vertical="center"/>
      <protection hidden="1"/>
    </xf>
    <xf numFmtId="0" fontId="38" fillId="0" borderId="95" xfId="0" applyFont="1" applyBorder="1" applyAlignment="1" applyProtection="1">
      <alignment horizontal="centerContinuous" vertical="center"/>
      <protection hidden="1"/>
    </xf>
    <xf numFmtId="0" fontId="34" fillId="28" borderId="1" xfId="0" applyFont="1" applyFill="1" applyBorder="1" applyAlignment="1" applyProtection="1">
      <alignment horizontal="center" vertical="center" wrapText="1"/>
      <protection hidden="1"/>
    </xf>
    <xf numFmtId="0" fontId="30" fillId="29" borderId="0" xfId="0" applyFont="1" applyFill="1" applyAlignment="1" applyProtection="1">
      <alignment horizontal="left" vertical="center" indent="3"/>
      <protection hidden="1"/>
    </xf>
    <xf numFmtId="0" fontId="30" fillId="29" borderId="0" xfId="0" applyFont="1" applyFill="1" applyAlignment="1" applyProtection="1">
      <alignment horizontal="left" vertical="center" indent="10"/>
      <protection hidden="1"/>
    </xf>
    <xf numFmtId="0" fontId="34" fillId="0" borderId="1" xfId="0" applyFont="1" applyBorder="1" applyAlignment="1" applyProtection="1">
      <alignment horizontal="center" vertical="center" shrinkToFit="1"/>
      <protection hidden="1"/>
    </xf>
    <xf numFmtId="0" fontId="30" fillId="29" borderId="0" xfId="0" applyFont="1" applyFill="1" applyAlignment="1" applyProtection="1">
      <alignment horizontal="left" vertical="center" indent="4"/>
      <protection hidden="1"/>
    </xf>
    <xf numFmtId="0" fontId="30" fillId="29" borderId="0" xfId="0" applyFont="1" applyFill="1" applyAlignment="1" applyProtection="1">
      <alignment horizontal="left" vertical="center" indent="9"/>
      <protection hidden="1"/>
    </xf>
    <xf numFmtId="0" fontId="38" fillId="0" borderId="86" xfId="0" applyFont="1" applyBorder="1" applyAlignment="1" applyProtection="1">
      <alignment horizontal="center" vertical="center"/>
      <protection hidden="1"/>
    </xf>
    <xf numFmtId="0" fontId="38" fillId="0" borderId="1" xfId="0" applyFont="1" applyBorder="1" applyAlignment="1" applyProtection="1">
      <alignment horizontal="center" vertical="center" shrinkToFit="1"/>
      <protection hidden="1"/>
    </xf>
    <xf numFmtId="0" fontId="67" fillId="48" borderId="0" xfId="52" applyFont="1" applyFill="1" applyProtection="1">
      <alignment vertical="center"/>
      <protection hidden="1"/>
    </xf>
    <xf numFmtId="0" fontId="67" fillId="48" borderId="0" xfId="0" applyFont="1" applyFill="1" applyProtection="1">
      <alignment vertical="center"/>
      <protection hidden="1"/>
    </xf>
    <xf numFmtId="0" fontId="29" fillId="48" borderId="0" xfId="0" applyFont="1" applyFill="1" applyProtection="1">
      <alignment vertical="center"/>
      <protection hidden="1"/>
    </xf>
    <xf numFmtId="0" fontId="30" fillId="29" borderId="0" xfId="52" applyFont="1" applyFill="1" applyAlignment="1" applyProtection="1">
      <alignment vertical="top"/>
      <protection hidden="1"/>
    </xf>
    <xf numFmtId="0" fontId="30" fillId="29" borderId="0" xfId="50" applyFont="1" applyFill="1" applyProtection="1">
      <alignment vertical="center"/>
      <protection hidden="1"/>
    </xf>
    <xf numFmtId="0" fontId="38" fillId="0" borderId="3" xfId="0" applyFont="1" applyBorder="1" applyAlignment="1" applyProtection="1">
      <alignment horizontal="centerContinuous" vertical="center"/>
      <protection hidden="1"/>
    </xf>
    <xf numFmtId="0" fontId="30" fillId="29" borderId="0" xfId="0" applyFont="1" applyFill="1" applyAlignment="1" applyProtection="1">
      <alignment horizontal="left" vertical="center" indent="11"/>
      <protection hidden="1"/>
    </xf>
    <xf numFmtId="0" fontId="60" fillId="46" borderId="0" xfId="0" applyFont="1" applyFill="1" applyProtection="1">
      <alignment vertical="center"/>
      <protection hidden="1"/>
    </xf>
    <xf numFmtId="0" fontId="29" fillId="46" borderId="0" xfId="0" applyFont="1" applyFill="1" applyProtection="1">
      <alignment vertical="center"/>
      <protection hidden="1"/>
    </xf>
    <xf numFmtId="0" fontId="38" fillId="0" borderId="4" xfId="0" applyFont="1" applyBorder="1" applyAlignment="1" applyProtection="1">
      <alignment horizontal="centerContinuous" vertical="center"/>
      <protection hidden="1"/>
    </xf>
    <xf numFmtId="49" fontId="34" fillId="5" borderId="156" xfId="52" applyNumberFormat="1" applyFont="1" applyFill="1" applyBorder="1" applyAlignment="1" applyProtection="1">
      <alignment vertical="center" shrinkToFit="1"/>
      <protection locked="0"/>
    </xf>
    <xf numFmtId="49" fontId="34" fillId="5" borderId="157" xfId="52" applyNumberFormat="1" applyFont="1" applyFill="1" applyBorder="1" applyAlignment="1" applyProtection="1">
      <alignment vertical="center" shrinkToFit="1"/>
      <protection locked="0"/>
    </xf>
    <xf numFmtId="190" fontId="34" fillId="5" borderId="155" xfId="52" applyNumberFormat="1" applyFont="1" applyFill="1" applyBorder="1" applyProtection="1">
      <alignment vertical="center"/>
      <protection locked="0"/>
    </xf>
    <xf numFmtId="0" fontId="30" fillId="0" borderId="63" xfId="0" applyFont="1" applyBorder="1" applyAlignment="1" applyProtection="1">
      <alignment horizontal="right" vertical="center"/>
      <protection hidden="1"/>
    </xf>
    <xf numFmtId="0" fontId="30" fillId="29" borderId="0" xfId="0" applyFont="1" applyFill="1" applyAlignment="1" applyProtection="1">
      <protection hidden="1"/>
    </xf>
    <xf numFmtId="0" fontId="38" fillId="5" borderId="83" xfId="52" applyFont="1" applyFill="1" applyBorder="1" applyAlignment="1" applyProtection="1">
      <alignment vertical="center" wrapText="1"/>
      <protection hidden="1"/>
    </xf>
    <xf numFmtId="0" fontId="38" fillId="5" borderId="100" xfId="52" applyFont="1" applyFill="1" applyBorder="1" applyAlignment="1" applyProtection="1">
      <alignment vertical="center" wrapText="1"/>
      <protection hidden="1"/>
    </xf>
    <xf numFmtId="0" fontId="38" fillId="5" borderId="101" xfId="52" applyFont="1" applyFill="1" applyBorder="1" applyAlignment="1" applyProtection="1">
      <alignment vertical="center" wrapText="1"/>
      <protection hidden="1"/>
    </xf>
    <xf numFmtId="0" fontId="74" fillId="0" borderId="0" xfId="0" applyFont="1" applyProtection="1">
      <alignment vertical="center"/>
      <protection hidden="1"/>
    </xf>
    <xf numFmtId="0" fontId="47" fillId="0" borderId="0" xfId="0" applyFont="1" applyProtection="1">
      <alignment vertical="center"/>
      <protection hidden="1"/>
    </xf>
    <xf numFmtId="0" fontId="47" fillId="0" borderId="0" xfId="0" applyFont="1" applyAlignment="1" applyProtection="1">
      <alignment vertical="top"/>
      <protection hidden="1"/>
    </xf>
    <xf numFmtId="0" fontId="30" fillId="29" borderId="0" xfId="0" applyFont="1" applyFill="1" applyAlignment="1" applyProtection="1">
      <alignment vertical="center" shrinkToFit="1"/>
      <protection hidden="1"/>
    </xf>
    <xf numFmtId="0" fontId="0" fillId="29" borderId="0" xfId="0" applyFill="1" applyAlignment="1" applyProtection="1">
      <alignment vertical="center" shrinkToFit="1"/>
      <protection hidden="1"/>
    </xf>
    <xf numFmtId="0" fontId="30" fillId="0" borderId="0" xfId="0" applyFont="1" applyAlignment="1" applyProtection="1">
      <alignment vertical="center" shrinkToFit="1"/>
      <protection hidden="1"/>
    </xf>
    <xf numFmtId="0" fontId="38" fillId="0" borderId="0" xfId="52" applyFont="1" applyAlignment="1" applyProtection="1">
      <alignment vertical="center" shrinkToFit="1"/>
      <protection hidden="1"/>
    </xf>
    <xf numFmtId="207" fontId="34" fillId="5" borderId="154" xfId="52" applyNumberFormat="1" applyFont="1" applyFill="1" applyBorder="1" applyProtection="1">
      <alignment vertical="center"/>
      <protection locked="0"/>
    </xf>
    <xf numFmtId="0" fontId="43" fillId="29" borderId="0" xfId="0" applyFont="1" applyFill="1" applyAlignment="1" applyProtection="1">
      <alignment vertical="center" wrapText="1"/>
      <protection hidden="1"/>
    </xf>
    <xf numFmtId="0" fontId="47" fillId="0" borderId="0" xfId="0" applyFont="1" applyAlignment="1" applyProtection="1">
      <alignment horizontal="left" vertical="center" indent="1"/>
      <protection hidden="1"/>
    </xf>
    <xf numFmtId="0" fontId="47" fillId="29" borderId="0" xfId="0" applyFont="1" applyFill="1" applyAlignment="1" applyProtection="1">
      <alignment horizontal="left" vertical="center" indent="1"/>
      <protection hidden="1"/>
    </xf>
    <xf numFmtId="0" fontId="30" fillId="0" borderId="0" xfId="52" applyFont="1" applyProtection="1">
      <alignment vertical="center"/>
      <protection hidden="1"/>
    </xf>
    <xf numFmtId="0" fontId="38" fillId="0" borderId="139" xfId="3" applyFont="1" applyBorder="1" applyAlignment="1" applyProtection="1">
      <alignment horizontal="centerContinuous" vertical="center" wrapText="1"/>
      <protection hidden="1"/>
    </xf>
    <xf numFmtId="0" fontId="38" fillId="0" borderId="104" xfId="3" applyFont="1" applyBorder="1" applyAlignment="1" applyProtection="1">
      <alignment horizontal="centerContinuous" vertical="center" wrapText="1"/>
      <protection hidden="1"/>
    </xf>
    <xf numFmtId="0" fontId="38" fillId="0" borderId="140" xfId="3" applyFont="1" applyBorder="1" applyAlignment="1" applyProtection="1">
      <alignment horizontal="centerContinuous" vertical="center" wrapText="1"/>
      <protection hidden="1"/>
    </xf>
    <xf numFmtId="0" fontId="38" fillId="0" borderId="9" xfId="3" applyFont="1" applyBorder="1" applyAlignment="1" applyProtection="1">
      <alignment horizontal="centerContinuous" vertical="center" wrapText="1"/>
      <protection hidden="1"/>
    </xf>
    <xf numFmtId="0" fontId="38" fillId="0" borderId="129" xfId="3" applyFont="1" applyBorder="1" applyAlignment="1" applyProtection="1">
      <alignment horizontal="centerContinuous" vertical="center"/>
      <protection hidden="1"/>
    </xf>
    <xf numFmtId="0" fontId="35" fillId="0" borderId="129" xfId="3" applyFont="1" applyBorder="1" applyAlignment="1" applyProtection="1">
      <alignment horizontal="centerContinuous" vertical="center"/>
      <protection hidden="1"/>
    </xf>
    <xf numFmtId="0" fontId="38" fillId="0" borderId="11" xfId="3" applyFont="1" applyBorder="1" applyAlignment="1" applyProtection="1">
      <alignment horizontal="centerContinuous" vertical="center"/>
      <protection hidden="1"/>
    </xf>
    <xf numFmtId="0" fontId="35" fillId="0" borderId="11" xfId="3" applyFont="1" applyBorder="1" applyAlignment="1" applyProtection="1">
      <alignment horizontal="centerContinuous" vertical="center"/>
      <protection hidden="1"/>
    </xf>
    <xf numFmtId="0" fontId="38" fillId="0" borderId="138" xfId="3" applyFont="1" applyBorder="1" applyAlignment="1" applyProtection="1">
      <alignment horizontal="centerContinuous" vertical="center" wrapText="1"/>
      <protection hidden="1"/>
    </xf>
    <xf numFmtId="49" fontId="38" fillId="5" borderId="82" xfId="0" applyNumberFormat="1" applyFont="1" applyFill="1" applyBorder="1" applyAlignment="1" applyProtection="1">
      <alignment horizontal="center" vertical="center"/>
      <protection locked="0"/>
    </xf>
    <xf numFmtId="49" fontId="38" fillId="5" borderId="53" xfId="0" applyNumberFormat="1" applyFont="1" applyFill="1" applyBorder="1" applyAlignment="1" applyProtection="1">
      <alignment horizontal="center" vertical="center"/>
      <protection locked="0"/>
    </xf>
    <xf numFmtId="0" fontId="38" fillId="0" borderId="0" xfId="1" applyFont="1">
      <alignment vertical="center"/>
    </xf>
    <xf numFmtId="0" fontId="38" fillId="0" borderId="20" xfId="52" applyFont="1" applyBorder="1">
      <alignment vertical="center"/>
    </xf>
    <xf numFmtId="0" fontId="38" fillId="0" borderId="28" xfId="52" applyFont="1" applyBorder="1">
      <alignment vertical="center"/>
    </xf>
    <xf numFmtId="0" fontId="38" fillId="0" borderId="91" xfId="52" applyFont="1" applyBorder="1">
      <alignment vertical="center"/>
    </xf>
    <xf numFmtId="0" fontId="38" fillId="0" borderId="52" xfId="52" applyFont="1" applyBorder="1">
      <alignment vertical="center"/>
    </xf>
    <xf numFmtId="0" fontId="38" fillId="0" borderId="51" xfId="52" applyFont="1" applyBorder="1">
      <alignment vertical="center"/>
    </xf>
    <xf numFmtId="0" fontId="38" fillId="29" borderId="91" xfId="0" applyFont="1" applyFill="1" applyBorder="1" applyProtection="1">
      <alignment vertical="center"/>
      <protection hidden="1"/>
    </xf>
    <xf numFmtId="0" fontId="38" fillId="29" borderId="20" xfId="0" applyFont="1" applyFill="1" applyBorder="1" applyProtection="1">
      <alignment vertical="center"/>
      <protection hidden="1"/>
    </xf>
    <xf numFmtId="0" fontId="38" fillId="29" borderId="28" xfId="0" applyFont="1" applyFill="1" applyBorder="1" applyProtection="1">
      <alignment vertical="center"/>
      <protection hidden="1"/>
    </xf>
    <xf numFmtId="0" fontId="38" fillId="29" borderId="28" xfId="52" applyFont="1" applyFill="1" applyBorder="1">
      <alignment vertical="center"/>
    </xf>
    <xf numFmtId="0" fontId="38" fillId="29" borderId="28" xfId="0" applyFont="1" applyFill="1" applyBorder="1">
      <alignment vertical="center"/>
    </xf>
    <xf numFmtId="0" fontId="78" fillId="45" borderId="0" xfId="0" applyFont="1" applyFill="1" applyAlignment="1" applyProtection="1">
      <alignment horizontal="right" vertical="center"/>
      <protection hidden="1"/>
    </xf>
    <xf numFmtId="0" fontId="78" fillId="49" borderId="0" xfId="0" applyFont="1" applyFill="1" applyAlignment="1" applyProtection="1">
      <alignment horizontal="right" vertical="center"/>
      <protection hidden="1"/>
    </xf>
    <xf numFmtId="0" fontId="78" fillId="48" borderId="0" xfId="0" applyFont="1" applyFill="1" applyAlignment="1" applyProtection="1">
      <alignment horizontal="right" vertical="center"/>
      <protection hidden="1"/>
    </xf>
    <xf numFmtId="0" fontId="78" fillId="46" borderId="0" xfId="0" applyFont="1" applyFill="1" applyAlignment="1" applyProtection="1">
      <alignment horizontal="right" vertical="center"/>
      <protection hidden="1"/>
    </xf>
    <xf numFmtId="0" fontId="0" fillId="47" borderId="0" xfId="0" applyFill="1">
      <alignment vertical="center"/>
    </xf>
    <xf numFmtId="205" fontId="75" fillId="47" borderId="0" xfId="0" applyNumberFormat="1" applyFont="1" applyFill="1" applyAlignment="1" applyProtection="1">
      <alignment horizontal="center" vertical="top" textRotation="255"/>
      <protection locked="0"/>
    </xf>
    <xf numFmtId="204" fontId="75" fillId="47" borderId="0" xfId="0" applyNumberFormat="1" applyFont="1" applyFill="1" applyAlignment="1" applyProtection="1">
      <alignment horizontal="center" vertical="top" textRotation="255"/>
      <protection locked="0"/>
    </xf>
    <xf numFmtId="203" fontId="38" fillId="47" borderId="0" xfId="0" applyNumberFormat="1" applyFont="1" applyFill="1" applyAlignment="1" applyProtection="1">
      <alignment horizontal="center" vertical="center" wrapText="1"/>
      <protection locked="0"/>
    </xf>
    <xf numFmtId="0" fontId="30" fillId="47" borderId="0" xfId="0" applyFont="1" applyFill="1" applyProtection="1">
      <alignment vertical="center"/>
      <protection locked="0"/>
    </xf>
    <xf numFmtId="0" fontId="38" fillId="47" borderId="0" xfId="52" applyFont="1" applyFill="1" applyProtection="1">
      <alignment vertical="center"/>
      <protection locked="0"/>
    </xf>
    <xf numFmtId="0" fontId="38" fillId="47" borderId="0" xfId="0" applyFont="1" applyFill="1" applyProtection="1">
      <alignment vertical="center"/>
      <protection locked="0"/>
    </xf>
    <xf numFmtId="0" fontId="47" fillId="47" borderId="0" xfId="53" applyNumberFormat="1" applyFont="1" applyFill="1" applyBorder="1" applyAlignment="1" applyProtection="1">
      <alignment vertical="center"/>
      <protection locked="0"/>
    </xf>
    <xf numFmtId="0" fontId="30" fillId="47" borderId="0" xfId="0" applyFont="1" applyFill="1" applyProtection="1">
      <alignment vertical="center"/>
      <protection hidden="1"/>
    </xf>
    <xf numFmtId="0" fontId="0" fillId="47" borderId="0" xfId="0" applyFill="1" applyProtection="1">
      <alignment vertical="center"/>
      <protection locked="0"/>
    </xf>
    <xf numFmtId="0" fontId="30" fillId="47" borderId="0" xfId="0" applyFont="1" applyFill="1" applyAlignment="1" applyProtection="1">
      <alignment horizontal="left" vertical="center" wrapText="1"/>
      <protection locked="0"/>
    </xf>
    <xf numFmtId="0" fontId="38" fillId="47" borderId="0" xfId="0" applyFont="1" applyFill="1" applyProtection="1">
      <alignment vertical="center"/>
      <protection locked="0" hidden="1"/>
    </xf>
    <xf numFmtId="0" fontId="38" fillId="47" borderId="0" xfId="0" applyFont="1" applyFill="1" applyProtection="1">
      <alignment vertical="center"/>
      <protection hidden="1"/>
    </xf>
    <xf numFmtId="0" fontId="38" fillId="47" borderId="0" xfId="0" applyFont="1" applyFill="1" applyAlignment="1" applyProtection="1">
      <alignment horizontal="right" vertical="center"/>
      <protection hidden="1"/>
    </xf>
    <xf numFmtId="0" fontId="0" fillId="47" borderId="0" xfId="0" applyFill="1" applyProtection="1">
      <alignment vertical="center"/>
      <protection hidden="1"/>
    </xf>
    <xf numFmtId="0" fontId="30" fillId="47" borderId="0" xfId="0" applyFont="1" applyFill="1" applyAlignment="1" applyProtection="1">
      <alignment horizontal="center" vertical="center"/>
      <protection hidden="1"/>
    </xf>
    <xf numFmtId="0" fontId="30" fillId="47" borderId="0" xfId="0" applyFont="1" applyFill="1" applyAlignment="1" applyProtection="1">
      <alignment horizontal="right" vertical="center"/>
      <protection hidden="1"/>
    </xf>
    <xf numFmtId="0" fontId="38" fillId="47" borderId="0" xfId="52" applyFont="1" applyFill="1" applyProtection="1">
      <alignment vertical="center"/>
      <protection hidden="1"/>
    </xf>
    <xf numFmtId="0" fontId="38" fillId="47" borderId="0" xfId="52" applyFont="1" applyFill="1" applyAlignment="1" applyProtection="1">
      <alignment horizontal="right" vertical="center"/>
      <protection hidden="1"/>
    </xf>
    <xf numFmtId="0" fontId="38" fillId="47" borderId="0" xfId="52" applyFont="1" applyFill="1" applyAlignment="1" applyProtection="1">
      <alignment horizontal="center" vertical="center"/>
      <protection hidden="1"/>
    </xf>
    <xf numFmtId="0" fontId="30" fillId="47" borderId="86" xfId="0" applyFont="1" applyFill="1" applyBorder="1" applyAlignment="1" applyProtection="1">
      <alignment horizontal="center" vertical="center"/>
      <protection hidden="1"/>
    </xf>
    <xf numFmtId="14" fontId="30" fillId="47" borderId="102" xfId="0" applyNumberFormat="1" applyFont="1" applyFill="1" applyBorder="1" applyProtection="1">
      <alignment vertical="center"/>
      <protection hidden="1"/>
    </xf>
    <xf numFmtId="14" fontId="30" fillId="47" borderId="95" xfId="0" applyNumberFormat="1" applyFont="1" applyFill="1" applyBorder="1" applyProtection="1">
      <alignment vertical="center"/>
      <protection hidden="1"/>
    </xf>
    <xf numFmtId="0" fontId="30" fillId="47" borderId="86" xfId="0" applyFont="1" applyFill="1" applyBorder="1" applyProtection="1">
      <alignment vertical="center"/>
      <protection hidden="1"/>
    </xf>
    <xf numFmtId="0" fontId="30" fillId="47" borderId="95" xfId="0" applyFont="1" applyFill="1" applyBorder="1" applyProtection="1">
      <alignment vertical="center"/>
      <protection hidden="1"/>
    </xf>
    <xf numFmtId="14" fontId="30" fillId="47" borderId="0" xfId="0" applyNumberFormat="1" applyFont="1" applyFill="1" applyProtection="1">
      <alignment vertical="center"/>
      <protection hidden="1"/>
    </xf>
    <xf numFmtId="177" fontId="38" fillId="47" borderId="0" xfId="52" applyNumberFormat="1" applyFont="1" applyFill="1" applyProtection="1">
      <alignment vertical="center"/>
      <protection hidden="1"/>
    </xf>
    <xf numFmtId="0" fontId="34" fillId="47" borderId="0" xfId="52" applyFont="1" applyFill="1" applyProtection="1">
      <alignment vertical="center"/>
      <protection hidden="1"/>
    </xf>
    <xf numFmtId="177" fontId="38" fillId="47" borderId="0" xfId="52" applyNumberFormat="1" applyFont="1" applyFill="1" applyAlignment="1" applyProtection="1">
      <alignment horizontal="right" vertical="center"/>
      <protection hidden="1"/>
    </xf>
    <xf numFmtId="177" fontId="34" fillId="47" borderId="0" xfId="52" applyNumberFormat="1" applyFont="1" applyFill="1" applyProtection="1">
      <alignment vertical="center"/>
      <protection hidden="1"/>
    </xf>
    <xf numFmtId="0" fontId="38" fillId="47" borderId="0" xfId="0" applyFont="1" applyFill="1" applyAlignment="1" applyProtection="1">
      <alignment horizontal="center" vertical="center"/>
      <protection hidden="1"/>
    </xf>
    <xf numFmtId="0" fontId="38" fillId="47" borderId="86" xfId="0" applyFont="1" applyFill="1" applyBorder="1" applyAlignment="1">
      <alignment horizontal="center" vertical="center"/>
    </xf>
    <xf numFmtId="0" fontId="38" fillId="47" borderId="0" xfId="0" applyFont="1" applyFill="1" applyAlignment="1">
      <alignment horizontal="center" vertical="center"/>
    </xf>
    <xf numFmtId="0" fontId="38" fillId="47" borderId="1" xfId="0" applyFont="1" applyFill="1" applyBorder="1" applyAlignment="1" applyProtection="1">
      <alignment horizontal="center" vertical="center"/>
      <protection hidden="1"/>
    </xf>
    <xf numFmtId="0" fontId="38" fillId="47" borderId="1" xfId="0" applyFont="1" applyFill="1" applyBorder="1" applyProtection="1">
      <alignment vertical="center"/>
      <protection hidden="1"/>
    </xf>
    <xf numFmtId="0" fontId="38" fillId="47" borderId="1" xfId="0" applyFont="1" applyFill="1" applyBorder="1" applyAlignment="1" applyProtection="1">
      <alignment horizontal="right" vertical="center"/>
      <protection hidden="1"/>
    </xf>
    <xf numFmtId="1" fontId="38" fillId="47" borderId="1" xfId="0" applyNumberFormat="1" applyFont="1" applyFill="1" applyBorder="1" applyAlignment="1" applyProtection="1">
      <alignment horizontal="center" vertical="center"/>
      <protection hidden="1"/>
    </xf>
    <xf numFmtId="0" fontId="38" fillId="47" borderId="0" xfId="0" quotePrefix="1" applyFont="1" applyFill="1" applyAlignment="1" applyProtection="1">
      <alignment horizontal="center" vertical="center"/>
      <protection hidden="1"/>
    </xf>
    <xf numFmtId="0" fontId="54" fillId="47" borderId="0" xfId="0" applyFont="1" applyFill="1" applyProtection="1">
      <alignment vertical="center"/>
      <protection hidden="1"/>
    </xf>
    <xf numFmtId="0" fontId="38" fillId="47" borderId="86" xfId="0" applyFont="1" applyFill="1" applyBorder="1" applyAlignment="1" applyProtection="1">
      <alignment horizontal="center" vertical="center"/>
      <protection hidden="1"/>
    </xf>
    <xf numFmtId="0" fontId="38" fillId="47" borderId="86" xfId="0" applyFont="1" applyFill="1" applyBorder="1" applyProtection="1">
      <alignment vertical="center"/>
      <protection hidden="1"/>
    </xf>
    <xf numFmtId="0" fontId="38" fillId="47" borderId="86" xfId="0" applyFont="1" applyFill="1" applyBorder="1" applyAlignment="1" applyProtection="1">
      <alignment horizontal="right" vertical="center"/>
      <protection hidden="1"/>
    </xf>
    <xf numFmtId="198" fontId="38" fillId="47" borderId="0" xfId="52" applyNumberFormat="1" applyFont="1" applyFill="1" applyProtection="1">
      <alignment vertical="center"/>
      <protection hidden="1"/>
    </xf>
    <xf numFmtId="193" fontId="30" fillId="47" borderId="0" xfId="0" applyNumberFormat="1" applyFont="1" applyFill="1" applyProtection="1">
      <alignment vertical="center"/>
      <protection hidden="1"/>
    </xf>
    <xf numFmtId="181" fontId="30" fillId="47" borderId="0" xfId="0" applyNumberFormat="1" applyFont="1" applyFill="1" applyProtection="1">
      <alignment vertical="center"/>
      <protection hidden="1"/>
    </xf>
    <xf numFmtId="0" fontId="38" fillId="47" borderId="0" xfId="52" applyFont="1" applyFill="1" applyAlignment="1" applyProtection="1">
      <alignment horizontal="left" vertical="center" wrapText="1"/>
      <protection hidden="1"/>
    </xf>
    <xf numFmtId="0" fontId="30" fillId="47" borderId="0" xfId="0" applyFont="1" applyFill="1" applyAlignment="1" applyProtection="1">
      <alignment horizontal="right" vertical="center" wrapText="1"/>
      <protection hidden="1"/>
    </xf>
    <xf numFmtId="0" fontId="30" fillId="47" borderId="0" xfId="0" applyFont="1" applyFill="1" applyAlignment="1" applyProtection="1">
      <alignment horizontal="left" vertical="center" wrapText="1"/>
      <protection hidden="1"/>
    </xf>
    <xf numFmtId="0" fontId="30" fillId="47" borderId="0" xfId="0" applyFont="1" applyFill="1" applyAlignment="1" applyProtection="1">
      <alignment vertical="top"/>
      <protection hidden="1"/>
    </xf>
    <xf numFmtId="0" fontId="30" fillId="47" borderId="0" xfId="0" applyFont="1" applyFill="1" applyAlignment="1" applyProtection="1">
      <alignment horizontal="right" vertical="top"/>
      <protection hidden="1"/>
    </xf>
    <xf numFmtId="0" fontId="0" fillId="47" borderId="0" xfId="0" applyFill="1" applyAlignment="1" applyProtection="1">
      <alignment horizontal="right" vertical="top" wrapText="1"/>
      <protection hidden="1"/>
    </xf>
    <xf numFmtId="0" fontId="53" fillId="47" borderId="0" xfId="52" applyFont="1" applyFill="1" applyProtection="1">
      <alignment vertical="center"/>
      <protection locked="0"/>
    </xf>
    <xf numFmtId="0" fontId="53" fillId="47" borderId="0" xfId="0" applyFont="1" applyFill="1" applyProtection="1">
      <alignment vertical="center"/>
      <protection locked="0"/>
    </xf>
    <xf numFmtId="0" fontId="30" fillId="47" borderId="0" xfId="0" applyFont="1" applyFill="1" applyAlignment="1" applyProtection="1">
      <alignment vertical="top"/>
      <protection locked="0"/>
    </xf>
    <xf numFmtId="0" fontId="38" fillId="0" borderId="186" xfId="52" applyFont="1" applyBorder="1">
      <alignment vertical="center"/>
    </xf>
    <xf numFmtId="0" fontId="38" fillId="0" borderId="189" xfId="52" applyFont="1" applyBorder="1">
      <alignment vertical="center"/>
    </xf>
    <xf numFmtId="0" fontId="38" fillId="29" borderId="190" xfId="0" applyFont="1" applyFill="1" applyBorder="1" applyProtection="1">
      <alignment vertical="center"/>
      <protection hidden="1"/>
    </xf>
    <xf numFmtId="0" fontId="38" fillId="29" borderId="187" xfId="0" applyFont="1" applyFill="1" applyBorder="1" applyProtection="1">
      <alignment vertical="center"/>
      <protection hidden="1"/>
    </xf>
    <xf numFmtId="0" fontId="38" fillId="5" borderId="102" xfId="0" applyFont="1" applyFill="1" applyBorder="1" applyAlignment="1" applyProtection="1">
      <alignment vertical="center" wrapText="1"/>
      <protection locked="0"/>
    </xf>
    <xf numFmtId="0" fontId="38" fillId="5" borderId="95" xfId="0" applyFont="1" applyFill="1" applyBorder="1" applyAlignment="1" applyProtection="1">
      <alignment horizontal="center" vertical="center" wrapText="1"/>
      <protection locked="0"/>
    </xf>
    <xf numFmtId="0" fontId="34" fillId="5" borderId="86" xfId="0" applyFont="1" applyFill="1" applyBorder="1" applyAlignment="1" applyProtection="1">
      <alignment horizontal="center" vertical="center" wrapText="1"/>
      <protection locked="0"/>
    </xf>
    <xf numFmtId="0" fontId="38" fillId="0" borderId="9" xfId="3" applyFont="1" applyBorder="1" applyAlignment="1" applyProtection="1">
      <alignment horizontal="centerContinuous" vertical="center"/>
      <protection hidden="1"/>
    </xf>
    <xf numFmtId="0" fontId="38" fillId="0" borderId="10" xfId="3" applyFont="1" applyBorder="1" applyAlignment="1" applyProtection="1">
      <alignment horizontal="centerContinuous" vertical="center"/>
      <protection hidden="1"/>
    </xf>
    <xf numFmtId="0" fontId="35" fillId="0" borderId="9" xfId="3" applyFont="1" applyBorder="1" applyAlignment="1" applyProtection="1">
      <alignment horizontal="centerContinuous" vertical="center"/>
      <protection hidden="1"/>
    </xf>
    <xf numFmtId="0" fontId="35" fillId="0" borderId="10" xfId="3" applyFont="1" applyBorder="1" applyAlignment="1" applyProtection="1">
      <alignment horizontal="centerContinuous" vertical="center"/>
      <protection hidden="1"/>
    </xf>
    <xf numFmtId="0" fontId="33" fillId="28" borderId="0" xfId="0" applyFont="1" applyFill="1" applyAlignment="1" applyProtection="1">
      <protection hidden="1"/>
    </xf>
    <xf numFmtId="0" fontId="33" fillId="29" borderId="0" xfId="0" applyFont="1" applyFill="1" applyAlignment="1" applyProtection="1">
      <protection hidden="1"/>
    </xf>
    <xf numFmtId="0" fontId="33" fillId="29" borderId="0" xfId="0" applyFont="1" applyFill="1" applyProtection="1">
      <alignment vertical="center"/>
      <protection hidden="1"/>
    </xf>
    <xf numFmtId="0" fontId="38" fillId="29" borderId="51" xfId="52" applyFont="1" applyFill="1" applyBorder="1">
      <alignment vertical="center"/>
    </xf>
    <xf numFmtId="0" fontId="38" fillId="29" borderId="51" xfId="0" applyFont="1" applyFill="1" applyBorder="1">
      <alignment vertical="center"/>
    </xf>
    <xf numFmtId="0" fontId="32" fillId="0" borderId="0" xfId="0" applyFont="1" applyProtection="1">
      <alignment vertical="center"/>
      <protection hidden="1"/>
    </xf>
    <xf numFmtId="0" fontId="38" fillId="0" borderId="82" xfId="0" applyFont="1" applyBorder="1" applyAlignment="1" applyProtection="1">
      <alignment horizontal="center" vertical="center"/>
      <protection hidden="1"/>
    </xf>
    <xf numFmtId="0" fontId="34" fillId="29" borderId="20" xfId="3" applyFont="1" applyFill="1" applyBorder="1" applyProtection="1">
      <alignment vertical="center"/>
      <protection hidden="1"/>
    </xf>
    <xf numFmtId="0" fontId="34" fillId="29" borderId="28" xfId="3" applyFont="1" applyFill="1" applyBorder="1" applyProtection="1">
      <alignment vertical="center"/>
      <protection hidden="1"/>
    </xf>
    <xf numFmtId="178" fontId="38" fillId="0" borderId="83" xfId="0" applyNumberFormat="1" applyFont="1" applyBorder="1" applyAlignment="1" applyProtection="1">
      <alignment vertical="center" shrinkToFit="1"/>
      <protection hidden="1"/>
    </xf>
    <xf numFmtId="0" fontId="38" fillId="29" borderId="101" xfId="0" applyFont="1" applyFill="1" applyBorder="1" applyAlignment="1" applyProtection="1">
      <alignment horizontal="left" vertical="center"/>
      <protection hidden="1"/>
    </xf>
    <xf numFmtId="0" fontId="38" fillId="29" borderId="101" xfId="0" applyFont="1" applyFill="1" applyBorder="1" applyAlignment="1" applyProtection="1">
      <alignment vertical="center" shrinkToFit="1"/>
      <protection hidden="1"/>
    </xf>
    <xf numFmtId="0" fontId="38" fillId="29" borderId="4" xfId="0" applyFont="1" applyFill="1" applyBorder="1" applyAlignment="1" applyProtection="1">
      <alignment horizontal="left" vertical="center"/>
      <protection hidden="1"/>
    </xf>
    <xf numFmtId="208" fontId="38" fillId="5" borderId="83" xfId="0" applyNumberFormat="1" applyFont="1" applyFill="1" applyBorder="1" applyAlignment="1" applyProtection="1">
      <alignment vertical="center" shrinkToFit="1"/>
      <protection locked="0"/>
    </xf>
    <xf numFmtId="201" fontId="38" fillId="0" borderId="83" xfId="0" applyNumberFormat="1" applyFont="1" applyBorder="1" applyAlignment="1" applyProtection="1">
      <alignment vertical="center" shrinkToFit="1"/>
      <protection hidden="1"/>
    </xf>
    <xf numFmtId="210" fontId="38" fillId="5" borderId="2" xfId="0" applyNumberFormat="1" applyFont="1" applyFill="1" applyBorder="1" applyAlignment="1" applyProtection="1">
      <alignment vertical="center" shrinkToFit="1"/>
      <protection locked="0"/>
    </xf>
    <xf numFmtId="178" fontId="38" fillId="29" borderId="83" xfId="0" applyNumberFormat="1" applyFont="1" applyFill="1" applyBorder="1" applyAlignment="1" applyProtection="1">
      <alignment vertical="center" shrinkToFit="1"/>
      <protection hidden="1"/>
    </xf>
    <xf numFmtId="0" fontId="38" fillId="29" borderId="82" xfId="0" applyFont="1" applyFill="1" applyBorder="1" applyAlignment="1" applyProtection="1">
      <alignment horizontal="center" vertical="center"/>
      <protection hidden="1"/>
    </xf>
    <xf numFmtId="201" fontId="38" fillId="29" borderId="102" xfId="0" applyNumberFormat="1" applyFont="1" applyFill="1" applyBorder="1" applyAlignment="1" applyProtection="1">
      <alignment vertical="center" shrinkToFit="1"/>
      <protection hidden="1"/>
    </xf>
    <xf numFmtId="0" fontId="38" fillId="29" borderId="95" xfId="0" applyFont="1" applyFill="1" applyBorder="1" applyAlignment="1" applyProtection="1">
      <alignment horizontal="left" vertical="center"/>
      <protection hidden="1"/>
    </xf>
    <xf numFmtId="0" fontId="38" fillId="29" borderId="83" xfId="51" applyNumberFormat="1" applyFont="1" applyFill="1" applyBorder="1" applyAlignment="1" applyProtection="1">
      <alignment vertical="center" shrinkToFit="1"/>
      <protection hidden="1"/>
    </xf>
    <xf numFmtId="201" fontId="38" fillId="29" borderId="83" xfId="0" applyNumberFormat="1" applyFont="1" applyFill="1" applyBorder="1" applyAlignment="1" applyProtection="1">
      <alignment vertical="center" shrinkToFit="1"/>
      <protection hidden="1"/>
    </xf>
    <xf numFmtId="201" fontId="38" fillId="29" borderId="2" xfId="0" applyNumberFormat="1" applyFont="1" applyFill="1" applyBorder="1" applyAlignment="1" applyProtection="1">
      <alignment vertical="center" shrinkToFit="1"/>
      <protection hidden="1"/>
    </xf>
    <xf numFmtId="178" fontId="38" fillId="29" borderId="83" xfId="0" applyNumberFormat="1" applyFont="1" applyFill="1" applyBorder="1" applyAlignment="1" applyProtection="1">
      <alignment vertical="center" shrinkToFit="1"/>
      <protection locked="0"/>
    </xf>
    <xf numFmtId="0" fontId="38" fillId="29" borderId="83" xfId="51" applyNumberFormat="1" applyFont="1" applyFill="1" applyBorder="1" applyAlignment="1" applyProtection="1">
      <alignment vertical="center" shrinkToFit="1"/>
      <protection locked="0"/>
    </xf>
    <xf numFmtId="201" fontId="38" fillId="29" borderId="83" xfId="0" applyNumberFormat="1" applyFont="1" applyFill="1" applyBorder="1" applyAlignment="1" applyProtection="1">
      <alignment vertical="center" shrinkToFit="1"/>
      <protection locked="0"/>
    </xf>
    <xf numFmtId="0" fontId="74" fillId="29" borderId="0" xfId="0" applyFont="1" applyFill="1" applyProtection="1">
      <alignment vertical="center"/>
      <protection hidden="1"/>
    </xf>
    <xf numFmtId="0" fontId="80" fillId="0" borderId="0" xfId="0" applyFont="1" applyAlignment="1" applyProtection="1">
      <alignment vertical="center" wrapText="1"/>
      <protection hidden="1"/>
    </xf>
    <xf numFmtId="0" fontId="74" fillId="0" borderId="137" xfId="0" applyFont="1" applyBorder="1" applyProtection="1">
      <alignment vertical="center"/>
      <protection hidden="1"/>
    </xf>
    <xf numFmtId="207" fontId="74" fillId="0" borderId="136" xfId="0" applyNumberFormat="1" applyFont="1" applyBorder="1" applyProtection="1">
      <alignment vertical="center"/>
      <protection hidden="1"/>
    </xf>
    <xf numFmtId="0" fontId="74" fillId="0" borderId="152" xfId="0" applyFont="1" applyBorder="1" applyProtection="1">
      <alignment vertical="center"/>
      <protection hidden="1"/>
    </xf>
    <xf numFmtId="0" fontId="74" fillId="0" borderId="136" xfId="0" applyFont="1" applyBorder="1" applyProtection="1">
      <alignment vertical="center"/>
      <protection hidden="1"/>
    </xf>
    <xf numFmtId="0" fontId="34" fillId="0" borderId="140" xfId="52" applyFont="1" applyBorder="1" applyAlignment="1" applyProtection="1">
      <alignment horizontal="centerContinuous" vertical="center" wrapText="1" shrinkToFit="1"/>
      <protection hidden="1"/>
    </xf>
    <xf numFmtId="0" fontId="47" fillId="47" borderId="0" xfId="0" applyFont="1" applyFill="1" applyProtection="1">
      <alignment vertical="center"/>
      <protection hidden="1"/>
    </xf>
    <xf numFmtId="209" fontId="30" fillId="47" borderId="0" xfId="0" applyNumberFormat="1" applyFont="1" applyFill="1" applyAlignment="1" applyProtection="1">
      <alignment horizontal="center" vertical="center"/>
      <protection hidden="1"/>
    </xf>
    <xf numFmtId="0" fontId="62" fillId="29" borderId="0" xfId="0" applyFont="1" applyFill="1" applyProtection="1">
      <alignment vertical="center"/>
      <protection hidden="1"/>
    </xf>
    <xf numFmtId="0" fontId="30" fillId="47" borderId="0" xfId="52" applyFont="1" applyFill="1" applyProtection="1">
      <alignment vertical="center"/>
      <protection locked="0"/>
    </xf>
    <xf numFmtId="0" fontId="30" fillId="29" borderId="0" xfId="52" applyFont="1" applyFill="1" applyProtection="1">
      <alignment vertical="center"/>
      <protection hidden="1"/>
    </xf>
    <xf numFmtId="0" fontId="30" fillId="47" borderId="0" xfId="52" applyFont="1" applyFill="1" applyProtection="1">
      <alignment vertical="center"/>
      <protection hidden="1"/>
    </xf>
    <xf numFmtId="0" fontId="30" fillId="47" borderId="0" xfId="52" applyFont="1" applyFill="1" applyAlignment="1" applyProtection="1">
      <alignment horizontal="right" vertical="center"/>
      <protection hidden="1"/>
    </xf>
    <xf numFmtId="0" fontId="33" fillId="29" borderId="0" xfId="52" applyFont="1" applyFill="1" applyProtection="1">
      <alignment vertical="center"/>
      <protection hidden="1"/>
    </xf>
    <xf numFmtId="0" fontId="33" fillId="0" borderId="0" xfId="52" applyFont="1" applyProtection="1">
      <alignment vertical="center"/>
      <protection hidden="1"/>
    </xf>
    <xf numFmtId="0" fontId="38" fillId="29" borderId="0" xfId="0" applyFont="1" applyFill="1" applyAlignment="1" applyProtection="1">
      <alignment horizontal="left" vertical="center" indent="1"/>
      <protection hidden="1"/>
    </xf>
    <xf numFmtId="0" fontId="74" fillId="47" borderId="0" xfId="0" applyFont="1" applyFill="1" applyProtection="1">
      <alignment vertical="center"/>
      <protection hidden="1"/>
    </xf>
    <xf numFmtId="0" fontId="38" fillId="0" borderId="0" xfId="0" applyFont="1" applyAlignment="1" applyProtection="1">
      <alignment horizontal="left" vertical="center" indent="1"/>
      <protection hidden="1"/>
    </xf>
    <xf numFmtId="0" fontId="26" fillId="0" borderId="0" xfId="50" applyProtection="1">
      <alignment vertical="center"/>
      <protection hidden="1"/>
    </xf>
    <xf numFmtId="0" fontId="45" fillId="0" borderId="140" xfId="52" applyFont="1" applyBorder="1" applyAlignment="1" applyProtection="1">
      <alignment horizontal="centerContinuous" vertical="center" wrapText="1" shrinkToFit="1"/>
      <protection hidden="1"/>
    </xf>
    <xf numFmtId="0" fontId="34" fillId="0" borderId="195" xfId="52" applyFont="1" applyBorder="1" applyAlignment="1" applyProtection="1">
      <alignment horizontal="center" vertical="center"/>
      <protection hidden="1"/>
    </xf>
    <xf numFmtId="0" fontId="34" fillId="5" borderId="174" xfId="52" applyFont="1" applyFill="1" applyBorder="1" applyProtection="1">
      <alignment vertical="center"/>
      <protection locked="0"/>
    </xf>
    <xf numFmtId="0" fontId="34" fillId="5" borderId="175" xfId="52" applyFont="1" applyFill="1" applyBorder="1" applyProtection="1">
      <alignment vertical="center"/>
      <protection locked="0"/>
    </xf>
    <xf numFmtId="0" fontId="38" fillId="41" borderId="100" xfId="0" applyFont="1" applyFill="1" applyBorder="1" applyAlignment="1" applyProtection="1">
      <alignment horizontal="center" vertical="center"/>
      <protection hidden="1"/>
    </xf>
    <xf numFmtId="0" fontId="35" fillId="0" borderId="0" xfId="52" applyFont="1" applyProtection="1">
      <alignment vertical="center"/>
      <protection hidden="1"/>
    </xf>
    <xf numFmtId="0" fontId="36" fillId="3" borderId="0" xfId="3" applyFont="1" applyFill="1" applyAlignment="1" applyProtection="1">
      <alignment horizontal="left" vertical="center"/>
      <protection hidden="1"/>
    </xf>
    <xf numFmtId="0" fontId="37" fillId="3" borderId="0" xfId="3" applyFont="1" applyFill="1" applyAlignment="1" applyProtection="1">
      <alignment horizontal="center" vertical="center"/>
      <protection hidden="1"/>
    </xf>
    <xf numFmtId="0" fontId="37" fillId="3" borderId="0" xfId="3" applyFont="1" applyFill="1" applyAlignment="1" applyProtection="1">
      <alignment horizontal="centerContinuous" vertical="center"/>
      <protection hidden="1"/>
    </xf>
    <xf numFmtId="0" fontId="36" fillId="3" borderId="0" xfId="3" applyFont="1" applyFill="1" applyAlignment="1" applyProtection="1">
      <alignment horizontal="right" vertical="center"/>
      <protection hidden="1"/>
    </xf>
    <xf numFmtId="0" fontId="38" fillId="0" borderId="0" xfId="52" applyFont="1" applyAlignment="1" applyProtection="1">
      <alignment horizontal="center"/>
      <protection hidden="1"/>
    </xf>
    <xf numFmtId="0" fontId="43" fillId="0" borderId="0" xfId="3" applyFont="1" applyAlignment="1" applyProtection="1">
      <alignment horizontal="center" vertical="center"/>
      <protection hidden="1"/>
    </xf>
    <xf numFmtId="0" fontId="38" fillId="0" borderId="0" xfId="52" applyFont="1" applyAlignment="1" applyProtection="1">
      <alignment vertical="center" wrapText="1"/>
      <protection hidden="1"/>
    </xf>
    <xf numFmtId="0" fontId="37" fillId="4" borderId="14" xfId="3" applyFont="1" applyFill="1" applyBorder="1" applyAlignment="1" applyProtection="1">
      <alignment horizontal="center" vertical="center"/>
      <protection hidden="1"/>
    </xf>
    <xf numFmtId="180" fontId="41" fillId="0" borderId="16" xfId="3" applyNumberFormat="1" applyFont="1" applyBorder="1" applyAlignment="1" applyProtection="1">
      <alignment horizontal="right" vertical="center" shrinkToFit="1"/>
      <protection hidden="1"/>
    </xf>
    <xf numFmtId="0" fontId="42" fillId="0" borderId="10" xfId="52" applyFont="1" applyBorder="1" applyProtection="1">
      <alignment vertical="center"/>
      <protection hidden="1"/>
    </xf>
    <xf numFmtId="0" fontId="76" fillId="0" borderId="0" xfId="3" applyFont="1" applyAlignment="1" applyProtection="1">
      <alignment vertical="center" wrapText="1"/>
      <protection hidden="1"/>
    </xf>
    <xf numFmtId="0" fontId="37" fillId="44" borderId="12" xfId="3" applyFont="1" applyFill="1" applyBorder="1" applyAlignment="1" applyProtection="1">
      <alignment horizontal="center" vertical="center"/>
      <protection hidden="1"/>
    </xf>
    <xf numFmtId="180" fontId="41" fillId="0" borderId="102" xfId="3" applyNumberFormat="1" applyFont="1" applyBorder="1" applyAlignment="1" applyProtection="1">
      <alignment horizontal="right" vertical="center"/>
      <protection hidden="1"/>
    </xf>
    <xf numFmtId="0" fontId="42" fillId="0" borderId="109" xfId="52" applyFont="1" applyBorder="1" applyProtection="1">
      <alignment vertical="center"/>
      <protection hidden="1"/>
    </xf>
    <xf numFmtId="0" fontId="32" fillId="0" borderId="0" xfId="52" applyFont="1" applyProtection="1">
      <alignment vertical="center"/>
      <protection hidden="1"/>
    </xf>
    <xf numFmtId="182" fontId="34" fillId="0" borderId="25" xfId="3" applyNumberFormat="1" applyFont="1" applyBorder="1" applyAlignment="1" applyProtection="1">
      <alignment horizontal="center" vertical="center"/>
      <protection hidden="1"/>
    </xf>
    <xf numFmtId="0" fontId="34" fillId="0" borderId="0" xfId="3" applyFont="1" applyProtection="1">
      <alignment vertical="center"/>
      <protection hidden="1"/>
    </xf>
    <xf numFmtId="0" fontId="38" fillId="55" borderId="0" xfId="52" applyFont="1" applyFill="1" applyProtection="1">
      <alignment vertical="center"/>
      <protection hidden="1"/>
    </xf>
    <xf numFmtId="0" fontId="38" fillId="55" borderId="0" xfId="52" applyFont="1" applyFill="1" applyAlignment="1" applyProtection="1">
      <alignment horizontal="center" vertical="center"/>
      <protection hidden="1"/>
    </xf>
    <xf numFmtId="0" fontId="37" fillId="4" borderId="17" xfId="3" applyFont="1" applyFill="1" applyBorder="1" applyAlignment="1" applyProtection="1">
      <alignment horizontal="center" vertical="center"/>
      <protection hidden="1"/>
    </xf>
    <xf numFmtId="180" fontId="41" fillId="0" borderId="18" xfId="3" applyNumberFormat="1" applyFont="1" applyBorder="1" applyAlignment="1" applyProtection="1">
      <alignment horizontal="right" vertical="center"/>
      <protection hidden="1"/>
    </xf>
    <xf numFmtId="0" fontId="42" fillId="0" borderId="19" xfId="52" applyFont="1" applyBorder="1" applyProtection="1">
      <alignment vertical="center"/>
      <protection hidden="1"/>
    </xf>
    <xf numFmtId="0" fontId="34" fillId="29" borderId="24" xfId="3" applyFont="1" applyFill="1" applyBorder="1" applyProtection="1">
      <alignment vertical="center"/>
      <protection hidden="1"/>
    </xf>
    <xf numFmtId="182" fontId="34" fillId="0" borderId="31" xfId="3" applyNumberFormat="1" applyFont="1" applyBorder="1" applyAlignment="1" applyProtection="1">
      <alignment horizontal="center" vertical="center"/>
      <protection hidden="1"/>
    </xf>
    <xf numFmtId="0" fontId="37" fillId="4" borderId="37" xfId="3" applyFont="1" applyFill="1" applyBorder="1" applyAlignment="1" applyProtection="1">
      <alignment horizontal="center" vertical="center"/>
      <protection hidden="1"/>
    </xf>
    <xf numFmtId="180" fontId="41" fillId="0" borderId="38" xfId="3" applyNumberFormat="1" applyFont="1" applyBorder="1" applyAlignment="1" applyProtection="1">
      <alignment horizontal="right" vertical="center"/>
      <protection hidden="1"/>
    </xf>
    <xf numFmtId="0" fontId="42" fillId="0" borderId="39" xfId="52" applyFont="1" applyBorder="1" applyProtection="1">
      <alignment vertical="center"/>
      <protection hidden="1"/>
    </xf>
    <xf numFmtId="0" fontId="34" fillId="0" borderId="31" xfId="3" applyFont="1" applyBorder="1" applyAlignment="1" applyProtection="1">
      <alignment horizontal="center" vertical="center"/>
      <protection hidden="1"/>
    </xf>
    <xf numFmtId="0" fontId="0" fillId="52" borderId="0" xfId="0" applyFill="1" applyProtection="1">
      <alignment vertical="center"/>
      <protection hidden="1"/>
    </xf>
    <xf numFmtId="179" fontId="0" fillId="52" borderId="0" xfId="0" applyNumberFormat="1" applyFill="1" applyProtection="1">
      <alignment vertical="center"/>
      <protection hidden="1"/>
    </xf>
    <xf numFmtId="0" fontId="37" fillId="4" borderId="37" xfId="3" applyFont="1" applyFill="1" applyBorder="1" applyAlignment="1" applyProtection="1">
      <alignment horizontal="centerContinuous" vertical="center"/>
      <protection hidden="1"/>
    </xf>
    <xf numFmtId="180" fontId="42" fillId="0" borderId="50" xfId="52" applyNumberFormat="1" applyFont="1" applyBorder="1" applyAlignment="1" applyProtection="1">
      <alignment horizontal="right" vertical="center"/>
      <protection hidden="1"/>
    </xf>
    <xf numFmtId="182" fontId="34" fillId="0" borderId="68" xfId="3" applyNumberFormat="1" applyFont="1" applyBorder="1" applyAlignment="1" applyProtection="1">
      <alignment horizontal="center" vertical="center"/>
      <protection hidden="1"/>
    </xf>
    <xf numFmtId="182" fontId="34" fillId="0" borderId="0" xfId="3" applyNumberFormat="1" applyFont="1" applyAlignment="1" applyProtection="1">
      <alignment horizontal="center" vertical="center" shrinkToFit="1"/>
      <protection hidden="1"/>
    </xf>
    <xf numFmtId="182" fontId="34" fillId="0" borderId="0" xfId="3" applyNumberFormat="1" applyFont="1" applyAlignment="1" applyProtection="1">
      <alignment horizontal="center" vertical="center"/>
      <protection hidden="1"/>
    </xf>
    <xf numFmtId="0" fontId="46" fillId="4" borderId="37" xfId="3" applyFont="1" applyFill="1" applyBorder="1" applyAlignment="1" applyProtection="1">
      <alignment horizontal="center" vertical="center"/>
      <protection hidden="1"/>
    </xf>
    <xf numFmtId="177" fontId="35" fillId="0" borderId="23" xfId="52" applyNumberFormat="1" applyFont="1" applyBorder="1" applyAlignment="1" applyProtection="1">
      <alignment horizontal="center" vertical="center"/>
      <protection hidden="1"/>
    </xf>
    <xf numFmtId="0" fontId="34" fillId="0" borderId="60" xfId="3" applyFont="1" applyBorder="1" applyProtection="1">
      <alignment vertical="center"/>
      <protection hidden="1"/>
    </xf>
    <xf numFmtId="0" fontId="34" fillId="0" borderId="61" xfId="3" applyFont="1" applyBorder="1" applyProtection="1">
      <alignment vertical="center"/>
      <protection hidden="1"/>
    </xf>
    <xf numFmtId="177" fontId="34" fillId="0" borderId="134" xfId="52" applyNumberFormat="1" applyFont="1" applyBorder="1" applyAlignment="1" applyProtection="1">
      <alignment horizontal="center" vertical="center"/>
      <protection hidden="1"/>
    </xf>
    <xf numFmtId="177" fontId="34" fillId="0" borderId="68" xfId="3" applyNumberFormat="1" applyFont="1" applyBorder="1" applyAlignment="1" applyProtection="1">
      <alignment horizontal="center" vertical="center"/>
      <protection hidden="1"/>
    </xf>
    <xf numFmtId="0" fontId="34" fillId="0" borderId="0" xfId="0" applyFont="1" applyProtection="1">
      <alignment vertical="center"/>
      <protection hidden="1"/>
    </xf>
    <xf numFmtId="38" fontId="47" fillId="0" borderId="96" xfId="53" applyFont="1" applyBorder="1" applyAlignment="1" applyProtection="1">
      <alignment vertical="center"/>
      <protection hidden="1"/>
    </xf>
    <xf numFmtId="0" fontId="34" fillId="0" borderId="1" xfId="52" applyFont="1" applyBorder="1" applyAlignment="1" applyProtection="1">
      <alignment horizontal="center" vertical="center" shrinkToFit="1"/>
      <protection hidden="1"/>
    </xf>
    <xf numFmtId="0" fontId="34" fillId="0" borderId="86" xfId="52" applyFont="1" applyBorder="1" applyProtection="1">
      <alignment vertical="center"/>
      <protection hidden="1"/>
    </xf>
    <xf numFmtId="177" fontId="38" fillId="0" borderId="0" xfId="52" applyNumberFormat="1" applyFont="1" applyProtection="1">
      <alignment vertical="center"/>
      <protection hidden="1"/>
    </xf>
    <xf numFmtId="0" fontId="34" fillId="0" borderId="0" xfId="52" applyFont="1" applyAlignment="1" applyProtection="1">
      <alignment horizontal="center" vertical="center" wrapText="1" shrinkToFit="1"/>
      <protection hidden="1"/>
    </xf>
    <xf numFmtId="0" fontId="34" fillId="0" borderId="126" xfId="3" applyFont="1" applyBorder="1" applyProtection="1">
      <alignment vertical="center"/>
      <protection hidden="1"/>
    </xf>
    <xf numFmtId="0" fontId="34" fillId="0" borderId="78" xfId="3" applyFont="1" applyBorder="1" applyProtection="1">
      <alignment vertical="center"/>
      <protection hidden="1"/>
    </xf>
    <xf numFmtId="0" fontId="34" fillId="0" borderId="28" xfId="3" applyFont="1" applyBorder="1" applyProtection="1">
      <alignment vertical="center"/>
      <protection hidden="1"/>
    </xf>
    <xf numFmtId="0" fontId="34" fillId="30" borderId="0" xfId="3" applyFont="1" applyFill="1" applyAlignment="1" applyProtection="1">
      <alignment horizontal="left" vertical="center"/>
      <protection hidden="1"/>
    </xf>
    <xf numFmtId="177" fontId="34" fillId="0" borderId="161" xfId="52" applyNumberFormat="1" applyFont="1" applyBorder="1" applyProtection="1">
      <alignment vertical="center"/>
      <protection hidden="1"/>
    </xf>
    <xf numFmtId="0" fontId="34" fillId="0" borderId="0" xfId="52" applyFont="1" applyAlignment="1" applyProtection="1">
      <alignment horizontal="center" vertical="center"/>
      <protection hidden="1"/>
    </xf>
    <xf numFmtId="9" fontId="34" fillId="0" borderId="0" xfId="52" applyNumberFormat="1" applyFont="1" applyProtection="1">
      <alignment vertical="center"/>
      <protection hidden="1"/>
    </xf>
    <xf numFmtId="177" fontId="34" fillId="0" borderId="0" xfId="51" applyNumberFormat="1" applyFont="1" applyBorder="1" applyProtection="1">
      <alignment vertical="center"/>
      <protection hidden="1"/>
    </xf>
    <xf numFmtId="0" fontId="34" fillId="30" borderId="0" xfId="3" applyFont="1" applyFill="1" applyProtection="1">
      <alignment vertical="center"/>
      <protection hidden="1"/>
    </xf>
    <xf numFmtId="0" fontId="33" fillId="0" borderId="0" xfId="0" applyFont="1" applyProtection="1">
      <alignment vertical="center"/>
      <protection hidden="1"/>
    </xf>
    <xf numFmtId="0" fontId="38" fillId="30" borderId="0" xfId="52" applyFont="1" applyFill="1" applyProtection="1">
      <alignment vertical="center"/>
      <protection hidden="1"/>
    </xf>
    <xf numFmtId="0" fontId="38" fillId="0" borderId="0" xfId="1" applyFont="1" applyProtection="1">
      <alignment vertical="center"/>
      <protection hidden="1"/>
    </xf>
    <xf numFmtId="0" fontId="38" fillId="0" borderId="170" xfId="52" applyFont="1" applyBorder="1" applyProtection="1">
      <alignment vertical="center"/>
      <protection hidden="1"/>
    </xf>
    <xf numFmtId="0" fontId="38" fillId="0" borderId="51" xfId="52" applyFont="1" applyBorder="1" applyProtection="1">
      <alignment vertical="center"/>
      <protection hidden="1"/>
    </xf>
    <xf numFmtId="0" fontId="38" fillId="0" borderId="85" xfId="52" applyFont="1" applyBorder="1" applyProtection="1">
      <alignment vertical="center"/>
      <protection hidden="1"/>
    </xf>
    <xf numFmtId="0" fontId="38" fillId="0" borderId="52" xfId="52" applyFont="1" applyBorder="1" applyProtection="1">
      <alignment vertical="center"/>
      <protection hidden="1"/>
    </xf>
    <xf numFmtId="0" fontId="38" fillId="0" borderId="28" xfId="52" applyFont="1" applyBorder="1" applyProtection="1">
      <alignment vertical="center"/>
      <protection hidden="1"/>
    </xf>
    <xf numFmtId="0" fontId="38" fillId="0" borderId="29" xfId="52" applyFont="1" applyBorder="1" applyProtection="1">
      <alignment vertical="center"/>
      <protection hidden="1"/>
    </xf>
    <xf numFmtId="0" fontId="38" fillId="0" borderId="181" xfId="52" applyFont="1" applyBorder="1" applyProtection="1">
      <alignment vertical="center"/>
      <protection hidden="1"/>
    </xf>
    <xf numFmtId="0" fontId="38" fillId="0" borderId="91" xfId="52" applyFont="1" applyBorder="1" applyProtection="1">
      <alignment vertical="center"/>
      <protection hidden="1"/>
    </xf>
    <xf numFmtId="0" fontId="38" fillId="0" borderId="92" xfId="52" applyFont="1" applyBorder="1" applyProtection="1">
      <alignment vertical="center"/>
      <protection hidden="1"/>
    </xf>
    <xf numFmtId="0" fontId="38" fillId="0" borderId="132" xfId="52" applyFont="1" applyBorder="1" applyProtection="1">
      <alignment vertical="center"/>
      <protection hidden="1"/>
    </xf>
    <xf numFmtId="0" fontId="38" fillId="0" borderId="20" xfId="52" applyFont="1" applyBorder="1" applyProtection="1">
      <alignment vertical="center"/>
      <protection hidden="1"/>
    </xf>
    <xf numFmtId="0" fontId="38" fillId="0" borderId="21" xfId="52" applyFont="1" applyBorder="1" applyProtection="1">
      <alignment vertical="center"/>
      <protection hidden="1"/>
    </xf>
    <xf numFmtId="0" fontId="38" fillId="0" borderId="183" xfId="52" applyFont="1" applyBorder="1" applyAlignment="1" applyProtection="1">
      <alignment horizontal="centerContinuous" vertical="center"/>
      <protection hidden="1"/>
    </xf>
    <xf numFmtId="0" fontId="38" fillId="0" borderId="65" xfId="52" applyFont="1" applyBorder="1" applyAlignment="1" applyProtection="1">
      <alignment horizontal="centerContinuous" vertical="center"/>
      <protection hidden="1"/>
    </xf>
    <xf numFmtId="0" fontId="38" fillId="0" borderId="107" xfId="52" applyFont="1" applyBorder="1" applyAlignment="1" applyProtection="1">
      <alignment horizontal="centerContinuous" vertical="center"/>
      <protection hidden="1"/>
    </xf>
    <xf numFmtId="0" fontId="38" fillId="0" borderId="66" xfId="52" applyFont="1" applyBorder="1" applyAlignment="1" applyProtection="1">
      <alignment horizontal="centerContinuous" vertical="center"/>
      <protection hidden="1"/>
    </xf>
    <xf numFmtId="38" fontId="33" fillId="0" borderId="96" xfId="53" applyFont="1" applyBorder="1" applyAlignment="1" applyProtection="1">
      <alignment vertical="center"/>
      <protection hidden="1"/>
    </xf>
    <xf numFmtId="0" fontId="34" fillId="29" borderId="29" xfId="3" applyFont="1" applyFill="1" applyBorder="1" applyProtection="1">
      <alignment vertical="center"/>
      <protection hidden="1"/>
    </xf>
    <xf numFmtId="0" fontId="30" fillId="0" borderId="102" xfId="0" applyFont="1" applyBorder="1" applyAlignment="1" applyProtection="1">
      <alignment horizontal="center" vertical="center"/>
      <protection hidden="1"/>
    </xf>
    <xf numFmtId="0" fontId="38" fillId="0" borderId="0" xfId="0" applyFont="1" applyAlignment="1" applyProtection="1">
      <alignment horizontal="center" vertical="center"/>
      <protection hidden="1"/>
    </xf>
    <xf numFmtId="0" fontId="38" fillId="0" borderId="102" xfId="0" applyFont="1" applyBorder="1" applyAlignment="1" applyProtection="1">
      <alignment horizontal="center" vertical="center"/>
      <protection hidden="1"/>
    </xf>
    <xf numFmtId="0" fontId="38" fillId="0" borderId="99" xfId="0" applyFont="1" applyBorder="1" applyAlignment="1" applyProtection="1">
      <alignment horizontal="center" vertical="center"/>
      <protection hidden="1"/>
    </xf>
    <xf numFmtId="213" fontId="38" fillId="5" borderId="182" xfId="1" applyNumberFormat="1" applyFont="1" applyFill="1" applyBorder="1" applyAlignment="1" applyProtection="1">
      <alignment horizontal="center" vertical="center"/>
      <protection locked="0"/>
    </xf>
    <xf numFmtId="213" fontId="38" fillId="5" borderId="32" xfId="1" applyNumberFormat="1" applyFont="1" applyFill="1" applyBorder="1" applyAlignment="1" applyProtection="1">
      <alignment horizontal="center" vertical="center"/>
      <protection locked="0"/>
    </xf>
    <xf numFmtId="213" fontId="38" fillId="5" borderId="191" xfId="1" applyNumberFormat="1" applyFont="1" applyFill="1" applyBorder="1" applyAlignment="1" applyProtection="1">
      <alignment horizontal="center" vertical="center"/>
      <protection locked="0"/>
    </xf>
    <xf numFmtId="213" fontId="38" fillId="5" borderId="188" xfId="1" applyNumberFormat="1" applyFont="1" applyFill="1" applyBorder="1" applyAlignment="1" applyProtection="1">
      <alignment horizontal="center" vertical="center"/>
      <protection locked="0"/>
    </xf>
    <xf numFmtId="213" fontId="38" fillId="5" borderId="178" xfId="1" applyNumberFormat="1" applyFont="1" applyFill="1" applyBorder="1" applyAlignment="1" applyProtection="1">
      <alignment horizontal="center" vertical="center"/>
      <protection locked="0"/>
    </xf>
    <xf numFmtId="213" fontId="38" fillId="5" borderId="26" xfId="1" applyNumberFormat="1" applyFont="1" applyFill="1" applyBorder="1" applyAlignment="1" applyProtection="1">
      <alignment horizontal="center" vertical="center"/>
      <protection locked="0"/>
    </xf>
    <xf numFmtId="214" fontId="34" fillId="0" borderId="26" xfId="3" applyNumberFormat="1" applyFont="1" applyBorder="1" applyAlignment="1" applyProtection="1">
      <alignment vertical="center" shrinkToFit="1"/>
      <protection hidden="1"/>
    </xf>
    <xf numFmtId="214" fontId="34" fillId="0" borderId="32" xfId="3" applyNumberFormat="1" applyFont="1" applyBorder="1" applyAlignment="1" applyProtection="1">
      <alignment vertical="center" shrinkToFit="1"/>
      <protection hidden="1"/>
    </xf>
    <xf numFmtId="214" fontId="34" fillId="0" borderId="194" xfId="3" applyNumberFormat="1" applyFont="1" applyBorder="1" applyAlignment="1" applyProtection="1">
      <alignment vertical="center" shrinkToFit="1"/>
      <protection hidden="1"/>
    </xf>
    <xf numFmtId="214" fontId="34" fillId="0" borderId="69" xfId="3" applyNumberFormat="1" applyFont="1" applyBorder="1" applyAlignment="1" applyProtection="1">
      <alignment vertical="center" shrinkToFit="1"/>
      <protection hidden="1"/>
    </xf>
    <xf numFmtId="214" fontId="34" fillId="0" borderId="0" xfId="3" applyNumberFormat="1" applyFont="1" applyAlignment="1" applyProtection="1">
      <alignment vertical="center" shrinkToFit="1"/>
      <protection hidden="1"/>
    </xf>
    <xf numFmtId="214" fontId="34" fillId="0" borderId="133" xfId="3" applyNumberFormat="1" applyFont="1" applyBorder="1" applyAlignment="1" applyProtection="1">
      <alignment vertical="center" shrinkToFit="1"/>
      <protection hidden="1"/>
    </xf>
    <xf numFmtId="214" fontId="38" fillId="0" borderId="0" xfId="52" applyNumberFormat="1" applyFont="1" applyProtection="1">
      <alignment vertical="center"/>
      <protection hidden="1"/>
    </xf>
    <xf numFmtId="215" fontId="34" fillId="0" borderId="22" xfId="3" applyNumberFormat="1" applyFont="1" applyBorder="1" applyAlignment="1" applyProtection="1">
      <alignment vertical="center" shrinkToFit="1"/>
      <protection hidden="1"/>
    </xf>
    <xf numFmtId="215" fontId="34" fillId="0" borderId="30" xfId="3" applyNumberFormat="1" applyFont="1" applyBorder="1" applyAlignment="1" applyProtection="1">
      <alignment vertical="center" shrinkToFit="1"/>
      <protection hidden="1"/>
    </xf>
    <xf numFmtId="215" fontId="34" fillId="0" borderId="67" xfId="3" applyNumberFormat="1" applyFont="1" applyBorder="1" applyAlignment="1" applyProtection="1">
      <alignment vertical="center" shrinkToFit="1"/>
      <protection hidden="1"/>
    </xf>
    <xf numFmtId="215" fontId="34" fillId="0" borderId="0" xfId="3" applyNumberFormat="1" applyFont="1" applyAlignment="1" applyProtection="1">
      <alignment vertical="center" shrinkToFit="1"/>
      <protection hidden="1"/>
    </xf>
    <xf numFmtId="215" fontId="34" fillId="0" borderId="112" xfId="3" applyNumberFormat="1" applyFont="1" applyBorder="1" applyAlignment="1" applyProtection="1">
      <alignment vertical="center" shrinkToFit="1"/>
      <protection hidden="1"/>
    </xf>
    <xf numFmtId="215" fontId="34" fillId="0" borderId="168" xfId="3" applyNumberFormat="1" applyFont="1" applyBorder="1" applyAlignment="1" applyProtection="1">
      <alignment vertical="center" shrinkToFit="1"/>
      <protection hidden="1"/>
    </xf>
    <xf numFmtId="215" fontId="34" fillId="0" borderId="169" xfId="52" applyNumberFormat="1" applyFont="1" applyBorder="1" applyAlignment="1" applyProtection="1">
      <alignment vertical="center" shrinkToFit="1"/>
      <protection hidden="1"/>
    </xf>
    <xf numFmtId="215" fontId="38" fillId="0" borderId="0" xfId="52" applyNumberFormat="1" applyFont="1" applyProtection="1">
      <alignment vertical="center"/>
      <protection hidden="1"/>
    </xf>
    <xf numFmtId="215" fontId="30" fillId="0" borderId="0" xfId="0" applyNumberFormat="1" applyFont="1" applyProtection="1">
      <alignment vertical="center"/>
      <protection hidden="1"/>
    </xf>
    <xf numFmtId="214" fontId="30" fillId="0" borderId="0" xfId="0" applyNumberFormat="1" applyFont="1" applyProtection="1">
      <alignment vertical="center"/>
      <protection hidden="1"/>
    </xf>
    <xf numFmtId="0" fontId="38" fillId="0" borderId="0" xfId="0" applyFont="1" applyAlignment="1" applyProtection="1">
      <alignment horizontal="right" vertical="center"/>
      <protection hidden="1"/>
    </xf>
    <xf numFmtId="0" fontId="43" fillId="0" borderId="0" xfId="0" applyFont="1" applyAlignment="1" applyProtection="1">
      <alignment horizontal="right" vertical="center"/>
      <protection hidden="1"/>
    </xf>
    <xf numFmtId="0" fontId="38" fillId="0" borderId="0" xfId="0" applyFont="1" applyAlignment="1" applyProtection="1">
      <alignment horizontal="distributed" vertical="center"/>
      <protection hidden="1"/>
    </xf>
    <xf numFmtId="0" fontId="38" fillId="0" borderId="0" xfId="0" applyFont="1" applyAlignment="1" applyProtection="1">
      <alignment vertical="center" wrapText="1"/>
      <protection hidden="1"/>
    </xf>
    <xf numFmtId="0" fontId="51" fillId="0" borderId="0" xfId="0" applyFont="1" applyAlignment="1" applyProtection="1">
      <alignment horizontal="center" vertical="center"/>
      <protection hidden="1"/>
    </xf>
    <xf numFmtId="0" fontId="34" fillId="0" borderId="0" xfId="0" applyFont="1" applyAlignment="1" applyProtection="1">
      <alignment horizontal="left" vertical="center" wrapText="1"/>
      <protection hidden="1"/>
    </xf>
    <xf numFmtId="0" fontId="34" fillId="0" borderId="0" xfId="0" applyFont="1" applyAlignment="1" applyProtection="1">
      <alignment horizontal="distributed" vertical="center" wrapText="1"/>
      <protection hidden="1"/>
    </xf>
    <xf numFmtId="0" fontId="34" fillId="0" borderId="2" xfId="0" applyFont="1" applyBorder="1" applyAlignment="1" applyProtection="1">
      <alignment horizontal="left" vertical="center"/>
      <protection hidden="1"/>
    </xf>
    <xf numFmtId="0" fontId="34" fillId="28" borderId="0" xfId="0" applyFont="1" applyFill="1" applyAlignment="1" applyProtection="1">
      <protection hidden="1"/>
    </xf>
    <xf numFmtId="0" fontId="34" fillId="32" borderId="86" xfId="0" applyFont="1" applyFill="1" applyBorder="1" applyAlignment="1" applyProtection="1">
      <alignment vertical="center" wrapText="1"/>
      <protection hidden="1"/>
    </xf>
    <xf numFmtId="0" fontId="34" fillId="32" borderId="102" xfId="0" applyFont="1" applyFill="1" applyBorder="1" applyAlignment="1" applyProtection="1">
      <alignment vertical="center" wrapText="1"/>
      <protection hidden="1"/>
    </xf>
    <xf numFmtId="0" fontId="34" fillId="32" borderId="83" xfId="0" applyFont="1" applyFill="1" applyBorder="1" applyAlignment="1" applyProtection="1">
      <alignment vertical="center" wrapText="1"/>
      <protection hidden="1"/>
    </xf>
    <xf numFmtId="0" fontId="38" fillId="0" borderId="53" xfId="0" applyFont="1" applyBorder="1" applyAlignment="1" applyProtection="1">
      <alignment horizontal="center" vertical="center" wrapText="1"/>
      <protection hidden="1"/>
    </xf>
    <xf numFmtId="0" fontId="34" fillId="32" borderId="54" xfId="0" applyFont="1" applyFill="1" applyBorder="1" applyAlignment="1" applyProtection="1">
      <alignment vertical="center" wrapText="1"/>
      <protection hidden="1"/>
    </xf>
    <xf numFmtId="0" fontId="38" fillId="0" borderId="86" xfId="0" applyFont="1" applyBorder="1" applyAlignment="1" applyProtection="1">
      <alignment horizontal="center" vertical="center" wrapText="1"/>
      <protection hidden="1"/>
    </xf>
    <xf numFmtId="0" fontId="34" fillId="32" borderId="7" xfId="0" applyFont="1" applyFill="1" applyBorder="1" applyAlignment="1" applyProtection="1">
      <alignment vertical="center" wrapText="1"/>
      <protection hidden="1"/>
    </xf>
    <xf numFmtId="0" fontId="0" fillId="0" borderId="100" xfId="0" applyBorder="1" applyProtection="1">
      <alignment vertical="center"/>
      <protection hidden="1"/>
    </xf>
    <xf numFmtId="0" fontId="38" fillId="0" borderId="0" xfId="0" applyFont="1" applyAlignment="1" applyProtection="1">
      <alignment horizontal="left" vertical="center" wrapText="1"/>
      <protection hidden="1"/>
    </xf>
    <xf numFmtId="181" fontId="43" fillId="0" borderId="0" xfId="0" applyNumberFormat="1" applyFont="1" applyProtection="1">
      <alignment vertical="center"/>
      <protection hidden="1"/>
    </xf>
    <xf numFmtId="0" fontId="38" fillId="0" borderId="101" xfId="0" applyFont="1" applyBorder="1" applyAlignment="1" applyProtection="1">
      <alignment vertical="center" shrinkToFit="1"/>
      <protection hidden="1"/>
    </xf>
    <xf numFmtId="0" fontId="38" fillId="0" borderId="95" xfId="0" applyFont="1" applyBorder="1" applyAlignment="1" applyProtection="1">
      <alignment vertical="center" shrinkToFit="1"/>
      <protection hidden="1"/>
    </xf>
    <xf numFmtId="0" fontId="38" fillId="0" borderId="99" xfId="0" applyFont="1" applyBorder="1" applyAlignment="1" applyProtection="1">
      <alignment vertical="center" wrapText="1"/>
      <protection hidden="1"/>
    </xf>
    <xf numFmtId="0" fontId="38" fillId="0" borderId="99" xfId="0" applyFont="1" applyBorder="1" applyProtection="1">
      <alignment vertical="center"/>
      <protection hidden="1"/>
    </xf>
    <xf numFmtId="0" fontId="38" fillId="0" borderId="95" xfId="0" applyFont="1" applyBorder="1" applyAlignment="1" applyProtection="1">
      <alignment vertical="center" wrapText="1"/>
      <protection hidden="1"/>
    </xf>
    <xf numFmtId="0" fontId="38" fillId="0" borderId="54" xfId="0" applyFont="1" applyBorder="1" applyProtection="1">
      <alignment vertical="center"/>
      <protection hidden="1"/>
    </xf>
    <xf numFmtId="0" fontId="38" fillId="32" borderId="102" xfId="0" applyFont="1" applyFill="1" applyBorder="1" applyAlignment="1" applyProtection="1">
      <alignment horizontal="centerContinuous" vertical="center"/>
      <protection hidden="1"/>
    </xf>
    <xf numFmtId="0" fontId="38" fillId="32" borderId="99" xfId="0" applyFont="1" applyFill="1" applyBorder="1" applyAlignment="1" applyProtection="1">
      <alignment horizontal="centerContinuous" vertical="center"/>
      <protection hidden="1"/>
    </xf>
    <xf numFmtId="0" fontId="38" fillId="32" borderId="95" xfId="0" applyFont="1" applyFill="1" applyBorder="1" applyAlignment="1" applyProtection="1">
      <alignment horizontal="centerContinuous" vertical="center"/>
      <protection hidden="1"/>
    </xf>
    <xf numFmtId="0" fontId="38" fillId="32" borderId="86" xfId="0" applyFont="1" applyFill="1" applyBorder="1" applyAlignment="1" applyProtection="1">
      <alignment horizontal="centerContinuous" vertical="center"/>
      <protection hidden="1"/>
    </xf>
    <xf numFmtId="212" fontId="30" fillId="47" borderId="0" xfId="0" applyNumberFormat="1" applyFont="1" applyFill="1" applyAlignment="1" applyProtection="1">
      <alignment horizontal="center" vertical="center"/>
      <protection hidden="1"/>
    </xf>
    <xf numFmtId="14" fontId="38" fillId="47" borderId="0" xfId="0" applyNumberFormat="1" applyFont="1" applyFill="1" applyAlignment="1" applyProtection="1">
      <alignment horizontal="center" vertical="center"/>
      <protection hidden="1"/>
    </xf>
    <xf numFmtId="14" fontId="38" fillId="47" borderId="0" xfId="0" applyNumberFormat="1" applyFont="1" applyFill="1" applyProtection="1">
      <alignment vertical="center"/>
      <protection hidden="1"/>
    </xf>
    <xf numFmtId="0" fontId="34" fillId="0" borderId="1" xfId="0" applyFont="1" applyBorder="1" applyAlignment="1" applyProtection="1">
      <alignment horizontal="center" vertical="center" textRotation="255"/>
      <protection hidden="1"/>
    </xf>
    <xf numFmtId="0" fontId="79" fillId="0" borderId="0" xfId="0" applyFont="1" applyProtection="1">
      <alignment vertical="center"/>
      <protection hidden="1"/>
    </xf>
    <xf numFmtId="0" fontId="30" fillId="0" borderId="0" xfId="0" applyFont="1" applyAlignment="1" applyProtection="1">
      <protection hidden="1"/>
    </xf>
    <xf numFmtId="0" fontId="32" fillId="0" borderId="0" xfId="0" applyFont="1" applyAlignment="1" applyProtection="1">
      <protection hidden="1"/>
    </xf>
    <xf numFmtId="0" fontId="32" fillId="0" borderId="0" xfId="0" applyFont="1" applyAlignment="1" applyProtection="1">
      <alignment horizontal="right"/>
      <protection hidden="1"/>
    </xf>
    <xf numFmtId="0" fontId="32" fillId="0" borderId="0" xfId="0" applyFont="1" applyAlignment="1" applyProtection="1">
      <alignment horizontal="left"/>
      <protection hidden="1"/>
    </xf>
    <xf numFmtId="0" fontId="32" fillId="47" borderId="0" xfId="0" applyFont="1" applyFill="1" applyAlignment="1" applyProtection="1">
      <protection hidden="1"/>
    </xf>
    <xf numFmtId="0" fontId="30" fillId="47" borderId="0" xfId="0" applyFont="1" applyFill="1" applyAlignment="1" applyProtection="1">
      <protection hidden="1"/>
    </xf>
    <xf numFmtId="0" fontId="34" fillId="32" borderId="86" xfId="0" applyFont="1" applyFill="1" applyBorder="1" applyAlignment="1" applyProtection="1">
      <alignment horizontal="distributed" vertical="center" wrapText="1"/>
      <protection hidden="1"/>
    </xf>
    <xf numFmtId="0" fontId="34" fillId="32" borderId="102" xfId="0" applyFont="1" applyFill="1" applyBorder="1" applyAlignment="1" applyProtection="1">
      <alignment horizontal="distributed" vertical="center" wrapText="1"/>
      <protection hidden="1"/>
    </xf>
    <xf numFmtId="0" fontId="34" fillId="29" borderId="0" xfId="0" applyFont="1" applyFill="1" applyAlignment="1" applyProtection="1">
      <alignment horizontal="distributed" vertical="center" wrapText="1"/>
      <protection hidden="1"/>
    </xf>
    <xf numFmtId="0" fontId="38" fillId="29" borderId="0" xfId="0" applyFont="1" applyFill="1" applyAlignment="1" applyProtection="1">
      <alignment horizontal="left" vertical="center" wrapText="1"/>
      <protection hidden="1"/>
    </xf>
    <xf numFmtId="0" fontId="34" fillId="29" borderId="0" xfId="0" applyFont="1" applyFill="1" applyAlignment="1" applyProtection="1">
      <protection hidden="1"/>
    </xf>
    <xf numFmtId="181" fontId="38" fillId="47" borderId="0" xfId="0" applyNumberFormat="1" applyFont="1" applyFill="1" applyProtection="1">
      <alignment vertical="center"/>
      <protection hidden="1"/>
    </xf>
    <xf numFmtId="0" fontId="38" fillId="47" borderId="0" xfId="0" applyFont="1" applyFill="1" applyAlignment="1" applyProtection="1">
      <alignment horizontal="left" vertical="center" wrapText="1"/>
      <protection hidden="1"/>
    </xf>
    <xf numFmtId="0" fontId="38" fillId="0" borderId="95" xfId="0" applyFont="1" applyBorder="1" applyAlignment="1" applyProtection="1">
      <alignment horizontal="left" vertical="center" wrapText="1"/>
      <protection hidden="1"/>
    </xf>
    <xf numFmtId="0" fontId="49" fillId="0" borderId="0" xfId="0" applyFont="1" applyAlignment="1" applyProtection="1">
      <alignment horizontal="right"/>
      <protection hidden="1"/>
    </xf>
    <xf numFmtId="0" fontId="38" fillId="51" borderId="86" xfId="0" applyFont="1" applyFill="1" applyBorder="1" applyAlignment="1" applyProtection="1">
      <alignment horizontal="center" vertical="center" wrapText="1"/>
      <protection hidden="1"/>
    </xf>
    <xf numFmtId="0" fontId="38" fillId="51" borderId="86" xfId="0" applyFont="1" applyFill="1" applyBorder="1" applyAlignment="1" applyProtection="1">
      <alignment horizontal="center" vertical="center"/>
      <protection hidden="1"/>
    </xf>
    <xf numFmtId="193" fontId="38" fillId="0" borderId="86" xfId="0" applyNumberFormat="1" applyFont="1" applyBorder="1" applyAlignment="1" applyProtection="1">
      <alignment horizontal="center" vertical="center"/>
      <protection hidden="1"/>
    </xf>
    <xf numFmtId="0" fontId="38" fillId="51" borderId="142" xfId="0" applyFont="1" applyFill="1" applyBorder="1" applyAlignment="1" applyProtection="1">
      <alignment horizontal="center" vertical="center" wrapText="1"/>
      <protection hidden="1"/>
    </xf>
    <xf numFmtId="193" fontId="38" fillId="0" borderId="142" xfId="0" applyNumberFormat="1" applyFont="1" applyBorder="1" applyAlignment="1" applyProtection="1">
      <alignment horizontal="center" vertical="center"/>
      <protection hidden="1"/>
    </xf>
    <xf numFmtId="1" fontId="38" fillId="0" borderId="0" xfId="0" applyNumberFormat="1" applyFont="1" applyProtection="1">
      <alignment vertical="center"/>
      <protection hidden="1"/>
    </xf>
    <xf numFmtId="0" fontId="38" fillId="51" borderId="53" xfId="0" applyFont="1" applyFill="1" applyBorder="1" applyAlignment="1" applyProtection="1">
      <alignment horizontal="center" vertical="center"/>
      <protection hidden="1"/>
    </xf>
    <xf numFmtId="193" fontId="38" fillId="0" borderId="53" xfId="0" applyNumberFormat="1" applyFont="1" applyBorder="1" applyAlignment="1" applyProtection="1">
      <alignment horizontal="center" vertical="center"/>
      <protection hidden="1"/>
    </xf>
    <xf numFmtId="0" fontId="53" fillId="0" borderId="0" xfId="0" applyFont="1" applyAlignment="1" applyProtection="1">
      <alignment horizontal="center" vertical="center"/>
      <protection hidden="1"/>
    </xf>
    <xf numFmtId="0" fontId="32" fillId="0" borderId="162" xfId="0" applyFont="1" applyBorder="1" applyAlignment="1" applyProtection="1">
      <alignment horizontal="center" vertical="center"/>
      <protection hidden="1"/>
    </xf>
    <xf numFmtId="0" fontId="32" fillId="30" borderId="163" xfId="0" applyFont="1" applyFill="1" applyBorder="1" applyAlignment="1" applyProtection="1">
      <alignment horizontal="center" vertical="center"/>
      <protection hidden="1"/>
    </xf>
    <xf numFmtId="0" fontId="38" fillId="0" borderId="86" xfId="0" applyFont="1" applyBorder="1" applyProtection="1">
      <alignment vertical="center"/>
      <protection hidden="1"/>
    </xf>
    <xf numFmtId="0" fontId="38" fillId="51" borderId="86" xfId="0" applyFont="1" applyFill="1" applyBorder="1" applyProtection="1">
      <alignment vertical="center"/>
      <protection hidden="1"/>
    </xf>
    <xf numFmtId="2" fontId="38" fillId="0" borderId="86" xfId="0" applyNumberFormat="1" applyFont="1" applyBorder="1" applyAlignment="1" applyProtection="1">
      <alignment horizontal="center" vertical="center"/>
      <protection hidden="1"/>
    </xf>
    <xf numFmtId="0" fontId="38" fillId="51" borderId="82" xfId="0" applyFont="1" applyFill="1" applyBorder="1" applyAlignment="1" applyProtection="1">
      <alignment horizontal="center" vertical="center" wrapText="1"/>
      <protection hidden="1"/>
    </xf>
    <xf numFmtId="0" fontId="38" fillId="51" borderId="53" xfId="0" applyFont="1" applyFill="1" applyBorder="1" applyAlignment="1" applyProtection="1">
      <alignment horizontal="center" vertical="center" shrinkToFit="1"/>
      <protection hidden="1"/>
    </xf>
    <xf numFmtId="0" fontId="38" fillId="51" borderId="70" xfId="0" applyFont="1" applyFill="1" applyBorder="1" applyAlignment="1" applyProtection="1">
      <alignment horizontal="center" vertical="center" shrinkToFit="1"/>
      <protection hidden="1"/>
    </xf>
    <xf numFmtId="0" fontId="38" fillId="52" borderId="164" xfId="0" applyFont="1" applyFill="1" applyBorder="1" applyAlignment="1" applyProtection="1">
      <alignment horizontal="center" vertical="center"/>
      <protection hidden="1"/>
    </xf>
    <xf numFmtId="0" fontId="38" fillId="0" borderId="86" xfId="0" quotePrefix="1" applyFont="1" applyBorder="1" applyProtection="1">
      <alignment vertical="center"/>
      <protection hidden="1"/>
    </xf>
    <xf numFmtId="0" fontId="30" fillId="0" borderId="0" xfId="0" applyFont="1" applyAlignment="1" applyProtection="1">
      <alignment horizontal="centerContinuous" vertical="center"/>
      <protection hidden="1"/>
    </xf>
    <xf numFmtId="0" fontId="30" fillId="0" borderId="0" xfId="0" applyFont="1" applyAlignment="1" applyProtection="1">
      <alignment horizontal="centerContinuous" vertical="top"/>
      <protection hidden="1"/>
    </xf>
    <xf numFmtId="0" fontId="30" fillId="0" borderId="86" xfId="0" applyFont="1" applyBorder="1" applyAlignment="1" applyProtection="1">
      <alignment horizontal="center" vertical="center"/>
      <protection hidden="1"/>
    </xf>
    <xf numFmtId="0" fontId="30" fillId="29" borderId="86" xfId="0" applyFont="1" applyFill="1" applyBorder="1" applyAlignment="1" applyProtection="1">
      <alignment horizontal="center" vertical="top"/>
      <protection hidden="1"/>
    </xf>
    <xf numFmtId="0" fontId="30" fillId="0" borderId="86" xfId="0" applyFont="1" applyBorder="1" applyAlignment="1" applyProtection="1">
      <alignment horizontal="center" vertical="top"/>
      <protection hidden="1"/>
    </xf>
    <xf numFmtId="0" fontId="30" fillId="29" borderId="86" xfId="0" applyFont="1" applyFill="1" applyBorder="1" applyAlignment="1" applyProtection="1">
      <alignment horizontal="center" vertical="center"/>
      <protection hidden="1"/>
    </xf>
    <xf numFmtId="0" fontId="30" fillId="35" borderId="0" xfId="0" applyFont="1" applyFill="1" applyProtection="1">
      <alignment vertical="center"/>
      <protection hidden="1"/>
    </xf>
    <xf numFmtId="0" fontId="33" fillId="0" borderId="0" xfId="0" applyFont="1" applyAlignment="1" applyProtection="1">
      <alignment vertical="center" wrapText="1"/>
      <protection hidden="1"/>
    </xf>
    <xf numFmtId="0" fontId="30" fillId="2" borderId="0" xfId="0" applyFont="1" applyFill="1" applyProtection="1">
      <alignment vertical="center"/>
      <protection hidden="1"/>
    </xf>
    <xf numFmtId="0" fontId="30" fillId="0" borderId="1" xfId="0" applyFont="1" applyBorder="1" applyProtection="1">
      <alignment vertical="center"/>
      <protection hidden="1"/>
    </xf>
    <xf numFmtId="0" fontId="30" fillId="40" borderId="0" xfId="0" applyFont="1" applyFill="1" applyProtection="1">
      <alignment vertical="center"/>
      <protection hidden="1"/>
    </xf>
    <xf numFmtId="0" fontId="30" fillId="31" borderId="0" xfId="0" applyFont="1" applyFill="1" applyProtection="1">
      <alignment vertical="center"/>
      <protection hidden="1"/>
    </xf>
    <xf numFmtId="0" fontId="30" fillId="34" borderId="0" xfId="0" applyFont="1" applyFill="1" applyProtection="1">
      <alignment vertical="center"/>
      <protection hidden="1"/>
    </xf>
    <xf numFmtId="0" fontId="30" fillId="53" borderId="86" xfId="0" applyFont="1" applyFill="1" applyBorder="1" applyAlignment="1" applyProtection="1">
      <alignment vertical="center" shrinkToFit="1"/>
      <protection hidden="1"/>
    </xf>
    <xf numFmtId="0" fontId="30" fillId="53" borderId="86" xfId="0" applyFont="1" applyFill="1" applyBorder="1" applyAlignment="1" applyProtection="1">
      <alignment vertical="center" wrapText="1"/>
      <protection hidden="1"/>
    </xf>
    <xf numFmtId="0" fontId="30" fillId="54" borderId="86" xfId="0" applyFont="1" applyFill="1" applyBorder="1" applyAlignment="1" applyProtection="1">
      <alignment vertical="center" shrinkToFit="1"/>
      <protection hidden="1"/>
    </xf>
    <xf numFmtId="0" fontId="30" fillId="54" borderId="86" xfId="0" applyFont="1" applyFill="1" applyBorder="1" applyAlignment="1" applyProtection="1">
      <alignment vertical="center" wrapText="1"/>
      <protection hidden="1"/>
    </xf>
    <xf numFmtId="0" fontId="30" fillId="31" borderId="86" xfId="0" applyFont="1" applyFill="1" applyBorder="1" applyAlignment="1" applyProtection="1">
      <alignment vertical="center" shrinkToFit="1"/>
      <protection hidden="1"/>
    </xf>
    <xf numFmtId="0" fontId="30" fillId="53" borderId="86" xfId="0" applyFont="1" applyFill="1" applyBorder="1" applyProtection="1">
      <alignment vertical="center"/>
      <protection hidden="1"/>
    </xf>
    <xf numFmtId="0" fontId="30" fillId="54" borderId="86" xfId="0" applyFont="1" applyFill="1" applyBorder="1" applyProtection="1">
      <alignment vertical="center"/>
      <protection hidden="1"/>
    </xf>
    <xf numFmtId="0" fontId="30" fillId="54" borderId="86" xfId="0" applyFont="1" applyFill="1" applyBorder="1" applyAlignment="1" applyProtection="1">
      <alignment horizontal="left" vertical="center" wrapText="1"/>
      <protection hidden="1"/>
    </xf>
    <xf numFmtId="0" fontId="33" fillId="56" borderId="0" xfId="0" applyFont="1" applyFill="1" applyProtection="1">
      <alignment vertical="center"/>
      <protection hidden="1"/>
    </xf>
    <xf numFmtId="0" fontId="30" fillId="56" borderId="0" xfId="0" applyFont="1" applyFill="1" applyProtection="1">
      <alignment vertical="center"/>
      <protection hidden="1"/>
    </xf>
    <xf numFmtId="0" fontId="33" fillId="56" borderId="0" xfId="0" quotePrefix="1" applyFont="1" applyFill="1" applyProtection="1">
      <alignment vertical="center"/>
      <protection hidden="1"/>
    </xf>
    <xf numFmtId="0" fontId="30" fillId="37" borderId="0" xfId="0" applyFont="1" applyFill="1" applyProtection="1">
      <alignment vertical="center"/>
      <protection hidden="1"/>
    </xf>
    <xf numFmtId="0" fontId="30" fillId="36" borderId="0" xfId="0" applyFont="1" applyFill="1" applyProtection="1">
      <alignment vertical="center"/>
      <protection hidden="1"/>
    </xf>
    <xf numFmtId="0" fontId="30" fillId="0" borderId="0" xfId="0" applyFont="1" applyAlignment="1" applyProtection="1">
      <alignment vertical="top" shrinkToFit="1"/>
      <protection hidden="1"/>
    </xf>
    <xf numFmtId="0" fontId="62" fillId="29" borderId="165" xfId="0" applyFont="1" applyFill="1" applyBorder="1" applyAlignment="1" applyProtection="1">
      <alignment vertical="top"/>
      <protection hidden="1"/>
    </xf>
    <xf numFmtId="0" fontId="62" fillId="0" borderId="166" xfId="0" applyFont="1" applyBorder="1" applyAlignment="1" applyProtection="1">
      <alignment vertical="top" shrinkToFit="1"/>
      <protection hidden="1"/>
    </xf>
    <xf numFmtId="0" fontId="30" fillId="0" borderId="124" xfId="0" applyFont="1" applyBorder="1" applyAlignment="1" applyProtection="1">
      <alignment vertical="top" wrapText="1"/>
      <protection hidden="1"/>
    </xf>
    <xf numFmtId="0" fontId="30" fillId="0" borderId="31" xfId="0" applyFont="1" applyBorder="1" applyAlignment="1" applyProtection="1">
      <alignment vertical="top" wrapText="1"/>
      <protection hidden="1"/>
    </xf>
    <xf numFmtId="0" fontId="30" fillId="0" borderId="125" xfId="0" applyFont="1" applyBorder="1" applyAlignment="1" applyProtection="1">
      <alignment vertical="top" wrapText="1"/>
      <protection hidden="1"/>
    </xf>
    <xf numFmtId="0" fontId="30" fillId="0" borderId="89" xfId="0" applyFont="1" applyBorder="1" applyAlignment="1" applyProtection="1">
      <alignment vertical="top" wrapText="1"/>
      <protection hidden="1"/>
    </xf>
    <xf numFmtId="0" fontId="62" fillId="0" borderId="86" xfId="0" applyFont="1" applyBorder="1" applyProtection="1">
      <alignment vertical="center"/>
      <protection hidden="1"/>
    </xf>
    <xf numFmtId="0" fontId="30" fillId="0" borderId="98" xfId="0" applyFont="1" applyBorder="1" applyProtection="1">
      <alignment vertical="center"/>
      <protection hidden="1"/>
    </xf>
    <xf numFmtId="0" fontId="30" fillId="0" borderId="112" xfId="0" applyFont="1" applyBorder="1" applyProtection="1">
      <alignment vertical="center"/>
      <protection hidden="1"/>
    </xf>
    <xf numFmtId="0" fontId="30" fillId="0" borderId="113" xfId="0" applyFont="1" applyBorder="1" applyProtection="1">
      <alignment vertical="center"/>
      <protection hidden="1"/>
    </xf>
    <xf numFmtId="0" fontId="30" fillId="0" borderId="82" xfId="0" applyFont="1" applyBorder="1" applyAlignment="1" applyProtection="1">
      <alignment horizontal="centerContinuous" vertical="center" wrapText="1"/>
      <protection hidden="1"/>
    </xf>
    <xf numFmtId="0" fontId="30" fillId="0" borderId="86" xfId="0" applyFont="1" applyBorder="1" applyAlignment="1" applyProtection="1">
      <alignment horizontal="centerContinuous" vertical="center" wrapText="1"/>
      <protection hidden="1"/>
    </xf>
    <xf numFmtId="49" fontId="30" fillId="0" borderId="86" xfId="0" applyNumberFormat="1" applyFont="1" applyBorder="1" applyAlignment="1" applyProtection="1">
      <alignment vertical="top" wrapText="1"/>
      <protection hidden="1"/>
    </xf>
    <xf numFmtId="194" fontId="30" fillId="0" borderId="0" xfId="0" applyNumberFormat="1" applyFont="1" applyProtection="1">
      <alignment vertical="center"/>
      <protection hidden="1"/>
    </xf>
    <xf numFmtId="0" fontId="30" fillId="0" borderId="0" xfId="0" applyFont="1" applyAlignment="1" applyProtection="1">
      <alignment vertical="center" wrapText="1"/>
      <protection hidden="1"/>
    </xf>
    <xf numFmtId="0" fontId="30" fillId="0" borderId="53" xfId="0" applyFont="1" applyBorder="1" applyAlignment="1" applyProtection="1">
      <alignment horizontal="center" vertical="center" wrapText="1"/>
      <protection hidden="1"/>
    </xf>
    <xf numFmtId="0" fontId="30" fillId="0" borderId="86" xfId="0" applyFont="1" applyBorder="1" applyAlignment="1" applyProtection="1">
      <alignment horizontal="center" vertical="center" wrapText="1"/>
      <protection hidden="1"/>
    </xf>
    <xf numFmtId="0" fontId="30" fillId="0" borderId="86" xfId="0" applyFont="1" applyBorder="1" applyAlignment="1" applyProtection="1">
      <alignment vertical="center" wrapText="1"/>
      <protection hidden="1"/>
    </xf>
    <xf numFmtId="14" fontId="30" fillId="0" borderId="86" xfId="0" applyNumberFormat="1" applyFont="1" applyBorder="1" applyAlignment="1" applyProtection="1">
      <alignment vertical="center" wrapText="1"/>
      <protection hidden="1"/>
    </xf>
    <xf numFmtId="195" fontId="30" fillId="0" borderId="0" xfId="0" applyNumberFormat="1" applyFont="1" applyAlignment="1" applyProtection="1">
      <alignment horizontal="center" vertical="center"/>
      <protection hidden="1"/>
    </xf>
    <xf numFmtId="199" fontId="30" fillId="0" borderId="0" xfId="0" applyNumberFormat="1" applyFont="1" applyAlignment="1" applyProtection="1">
      <alignment horizontal="center" vertical="center"/>
      <protection hidden="1"/>
    </xf>
    <xf numFmtId="200" fontId="30" fillId="0" borderId="0" xfId="0" applyNumberFormat="1" applyFont="1" applyAlignment="1" applyProtection="1">
      <alignment horizontal="center" vertical="center"/>
      <protection hidden="1"/>
    </xf>
    <xf numFmtId="0" fontId="30" fillId="0" borderId="86" xfId="1" applyFont="1" applyBorder="1" applyAlignment="1" applyProtection="1">
      <alignment vertical="center" wrapText="1"/>
      <protection hidden="1"/>
    </xf>
    <xf numFmtId="0" fontId="31" fillId="0" borderId="0" xfId="0" applyFont="1" applyProtection="1">
      <alignment vertical="center"/>
      <protection hidden="1"/>
    </xf>
    <xf numFmtId="14" fontId="30" fillId="0" borderId="0" xfId="0" applyNumberFormat="1" applyFont="1" applyProtection="1">
      <alignment vertical="center"/>
      <protection hidden="1"/>
    </xf>
    <xf numFmtId="195" fontId="30" fillId="0" borderId="0" xfId="0" applyNumberFormat="1" applyFont="1" applyProtection="1">
      <alignment vertical="center"/>
      <protection hidden="1"/>
    </xf>
    <xf numFmtId="14" fontId="30" fillId="0" borderId="0" xfId="0" applyNumberFormat="1" applyFont="1" applyAlignment="1" applyProtection="1">
      <alignment horizontal="center" vertical="center"/>
      <protection hidden="1"/>
    </xf>
    <xf numFmtId="0" fontId="30" fillId="0" borderId="83" xfId="0" applyFont="1" applyBorder="1" applyAlignment="1" applyProtection="1">
      <alignment horizontal="right" vertical="center"/>
      <protection hidden="1"/>
    </xf>
    <xf numFmtId="0" fontId="62" fillId="5" borderId="99" xfId="0" applyFont="1" applyFill="1" applyBorder="1" applyAlignment="1" applyProtection="1">
      <alignment horizontal="center" vertical="center"/>
      <protection locked="0" hidden="1"/>
    </xf>
    <xf numFmtId="0" fontId="30" fillId="0" borderId="70" xfId="0" applyFont="1" applyBorder="1" applyProtection="1">
      <alignment vertical="center"/>
      <protection hidden="1"/>
    </xf>
    <xf numFmtId="0" fontId="30" fillId="0" borderId="53" xfId="0" applyFont="1" applyBorder="1" applyProtection="1">
      <alignment vertical="center"/>
      <protection hidden="1"/>
    </xf>
    <xf numFmtId="196" fontId="30" fillId="0" borderId="0" xfId="0" applyNumberFormat="1" applyFont="1" applyProtection="1">
      <alignment vertical="center"/>
      <protection hidden="1"/>
    </xf>
    <xf numFmtId="0" fontId="62" fillId="0" borderId="99" xfId="0" applyFont="1" applyBorder="1" applyProtection="1">
      <alignment vertical="center"/>
      <protection locked="0" hidden="1"/>
    </xf>
    <xf numFmtId="0" fontId="30" fillId="0" borderId="100" xfId="0" applyFont="1" applyBorder="1" applyProtection="1">
      <alignment vertical="center"/>
      <protection hidden="1"/>
    </xf>
    <xf numFmtId="0" fontId="30" fillId="0" borderId="70" xfId="0" applyFont="1" applyBorder="1" applyAlignment="1" applyProtection="1">
      <alignment horizontal="center" vertical="center"/>
      <protection hidden="1"/>
    </xf>
    <xf numFmtId="0" fontId="30" fillId="0" borderId="53" xfId="0" applyFont="1" applyBorder="1" applyAlignment="1" applyProtection="1">
      <alignment horizontal="center" vertical="center"/>
      <protection hidden="1"/>
    </xf>
    <xf numFmtId="0" fontId="62" fillId="5" borderId="102" xfId="0" applyFont="1" applyFill="1" applyBorder="1" applyProtection="1">
      <alignment vertical="center"/>
      <protection locked="0" hidden="1"/>
    </xf>
    <xf numFmtId="0" fontId="50" fillId="0" borderId="36" xfId="3" applyFont="1" applyBorder="1" applyAlignment="1" applyProtection="1">
      <alignment horizontal="centerContinuous" vertical="center"/>
      <protection hidden="1"/>
    </xf>
    <xf numFmtId="0" fontId="34" fillId="0" borderId="36" xfId="3" applyFont="1" applyBorder="1" applyAlignment="1" applyProtection="1">
      <alignment horizontal="centerContinuous" vertical="center"/>
      <protection hidden="1"/>
    </xf>
    <xf numFmtId="0" fontId="34" fillId="0" borderId="36" xfId="3" applyFont="1" applyBorder="1" applyAlignment="1" applyProtection="1">
      <alignment horizontal="center" vertical="center"/>
      <protection hidden="1"/>
    </xf>
    <xf numFmtId="0" fontId="34" fillId="0" borderId="2" xfId="3" applyFont="1" applyBorder="1" applyAlignment="1" applyProtection="1">
      <alignment horizontal="center" vertical="center"/>
      <protection hidden="1"/>
    </xf>
    <xf numFmtId="0" fontId="34" fillId="0" borderId="1" xfId="3" applyFont="1" applyBorder="1" applyProtection="1">
      <alignment vertical="center"/>
      <protection hidden="1"/>
    </xf>
    <xf numFmtId="0" fontId="34" fillId="0" borderId="3" xfId="3" applyFont="1" applyBorder="1" applyAlignment="1" applyProtection="1">
      <alignment horizontal="centerContinuous" vertical="center"/>
      <protection hidden="1"/>
    </xf>
    <xf numFmtId="0" fontId="34" fillId="0" borderId="4" xfId="3" applyFont="1" applyBorder="1" applyAlignment="1" applyProtection="1">
      <alignment horizontal="centerContinuous" vertical="center"/>
      <protection hidden="1"/>
    </xf>
    <xf numFmtId="176" fontId="34" fillId="0" borderId="33" xfId="3" applyNumberFormat="1" applyFont="1" applyBorder="1" applyAlignment="1" applyProtection="1">
      <alignment horizontal="center" vertical="center"/>
      <protection hidden="1"/>
    </xf>
    <xf numFmtId="0" fontId="30" fillId="0" borderId="2" xfId="2" applyFont="1" applyBorder="1" applyAlignment="1" applyProtection="1">
      <alignment horizontal="centerContinuous" vertical="center"/>
      <protection hidden="1"/>
    </xf>
    <xf numFmtId="0" fontId="30" fillId="0" borderId="3" xfId="2" applyFont="1" applyBorder="1" applyAlignment="1" applyProtection="1">
      <alignment horizontal="centerContinuous" vertical="center"/>
      <protection hidden="1"/>
    </xf>
    <xf numFmtId="0" fontId="30" fillId="0" borderId="4" xfId="2" applyFont="1" applyBorder="1" applyAlignment="1" applyProtection="1">
      <alignment horizontal="centerContinuous" vertical="center"/>
      <protection hidden="1"/>
    </xf>
    <xf numFmtId="0" fontId="30" fillId="0" borderId="98" xfId="2" applyFont="1" applyBorder="1" applyAlignment="1" applyProtection="1">
      <alignment vertical="center"/>
      <protection hidden="1"/>
    </xf>
    <xf numFmtId="0" fontId="30" fillId="0" borderId="98" xfId="2" applyFont="1" applyBorder="1" applyAlignment="1" applyProtection="1">
      <alignment horizontal="center" vertical="center"/>
      <protection hidden="1"/>
    </xf>
    <xf numFmtId="0" fontId="34" fillId="0" borderId="22" xfId="3" applyFont="1" applyBorder="1" applyAlignment="1" applyProtection="1">
      <alignment horizontal="center" vertical="center"/>
      <protection hidden="1"/>
    </xf>
    <xf numFmtId="185" fontId="30" fillId="0" borderId="22" xfId="2" applyNumberFormat="1" applyFont="1" applyBorder="1" applyAlignment="1" applyProtection="1">
      <alignment vertical="center"/>
      <protection hidden="1"/>
    </xf>
    <xf numFmtId="180" fontId="34" fillId="0" borderId="21" xfId="3" applyNumberFormat="1" applyFont="1" applyBorder="1" applyAlignment="1" applyProtection="1">
      <alignment vertical="center" shrinkToFit="1"/>
      <protection hidden="1"/>
    </xf>
    <xf numFmtId="186" fontId="33" fillId="0" borderId="22" xfId="3" applyNumberFormat="1" applyFont="1" applyBorder="1" applyAlignment="1" applyProtection="1">
      <alignment vertical="center" shrinkToFit="1"/>
      <protection hidden="1"/>
    </xf>
    <xf numFmtId="180" fontId="33" fillId="0" borderId="21" xfId="3" applyNumberFormat="1" applyFont="1" applyBorder="1" applyAlignment="1" applyProtection="1">
      <alignment vertical="center" shrinkToFit="1"/>
      <protection hidden="1"/>
    </xf>
    <xf numFmtId="0" fontId="30" fillId="0" borderId="112" xfId="2" applyFont="1" applyBorder="1" applyAlignment="1" applyProtection="1">
      <alignment vertical="center"/>
      <protection hidden="1"/>
    </xf>
    <xf numFmtId="0" fontId="30" fillId="0" borderId="112" xfId="2" applyFont="1" applyBorder="1" applyAlignment="1" applyProtection="1">
      <alignment horizontal="center" vertical="center"/>
      <protection hidden="1"/>
    </xf>
    <xf numFmtId="0" fontId="34" fillId="29" borderId="51" xfId="3" applyFont="1" applyFill="1" applyBorder="1" applyProtection="1">
      <alignment vertical="center"/>
      <protection hidden="1"/>
    </xf>
    <xf numFmtId="0" fontId="34" fillId="0" borderId="27" xfId="3" applyFont="1" applyBorder="1" applyAlignment="1" applyProtection="1">
      <alignment horizontal="center" vertical="center"/>
      <protection hidden="1"/>
    </xf>
    <xf numFmtId="185" fontId="30" fillId="0" borderId="27" xfId="2" applyNumberFormat="1" applyFont="1" applyBorder="1" applyAlignment="1" applyProtection="1">
      <alignment vertical="center"/>
      <protection hidden="1"/>
    </xf>
    <xf numFmtId="180" fontId="34" fillId="0" borderId="85" xfId="3" applyNumberFormat="1" applyFont="1" applyBorder="1" applyAlignment="1" applyProtection="1">
      <alignment vertical="center" shrinkToFit="1"/>
      <protection hidden="1"/>
    </xf>
    <xf numFmtId="186" fontId="33" fillId="0" borderId="27" xfId="3" applyNumberFormat="1" applyFont="1" applyBorder="1" applyAlignment="1" applyProtection="1">
      <alignment vertical="center" shrinkToFit="1"/>
      <protection hidden="1"/>
    </xf>
    <xf numFmtId="180" fontId="33" fillId="0" borderId="85" xfId="3" applyNumberFormat="1" applyFont="1" applyBorder="1" applyAlignment="1" applyProtection="1">
      <alignment vertical="center" shrinkToFit="1"/>
      <protection hidden="1"/>
    </xf>
    <xf numFmtId="0" fontId="30" fillId="0" borderId="54" xfId="0" applyFont="1" applyBorder="1" applyAlignment="1" applyProtection="1">
      <alignment horizontal="centerContinuous" vertical="center"/>
      <protection hidden="1"/>
    </xf>
    <xf numFmtId="0" fontId="34" fillId="0" borderId="30" xfId="3" applyFont="1" applyBorder="1" applyAlignment="1" applyProtection="1">
      <alignment horizontal="center" vertical="center"/>
      <protection hidden="1"/>
    </xf>
    <xf numFmtId="185" fontId="30" fillId="0" borderId="30" xfId="2" applyNumberFormat="1" applyFont="1" applyBorder="1" applyAlignment="1" applyProtection="1">
      <alignment vertical="center"/>
      <protection hidden="1"/>
    </xf>
    <xf numFmtId="180" fontId="34" fillId="0" borderId="29" xfId="3" applyNumberFormat="1" applyFont="1" applyBorder="1" applyAlignment="1" applyProtection="1">
      <alignment vertical="center" shrinkToFit="1"/>
      <protection hidden="1"/>
    </xf>
    <xf numFmtId="186" fontId="33" fillId="0" borderId="30" xfId="3" applyNumberFormat="1" applyFont="1" applyBorder="1" applyAlignment="1" applyProtection="1">
      <alignment vertical="center" shrinkToFit="1"/>
      <protection hidden="1"/>
    </xf>
    <xf numFmtId="180" fontId="33" fillId="0" borderId="29" xfId="3" applyNumberFormat="1" applyFont="1" applyBorder="1" applyAlignment="1" applyProtection="1">
      <alignment vertical="center" shrinkToFit="1"/>
      <protection hidden="1"/>
    </xf>
    <xf numFmtId="0" fontId="43" fillId="30" borderId="30" xfId="52" applyFont="1" applyFill="1" applyBorder="1" applyAlignment="1" applyProtection="1">
      <alignment horizontal="center" vertical="center"/>
      <protection hidden="1"/>
    </xf>
    <xf numFmtId="0" fontId="34" fillId="29" borderId="24" xfId="3" applyFont="1" applyFill="1" applyBorder="1" applyAlignment="1" applyProtection="1">
      <alignment horizontal="center" vertical="center"/>
      <protection hidden="1"/>
    </xf>
    <xf numFmtId="0" fontId="45" fillId="29" borderId="28" xfId="3" applyFont="1" applyFill="1" applyBorder="1" applyProtection="1">
      <alignment vertical="center"/>
      <protection hidden="1"/>
    </xf>
    <xf numFmtId="187" fontId="30" fillId="0" borderId="30" xfId="2" applyNumberFormat="1" applyFont="1" applyBorder="1" applyAlignment="1" applyProtection="1">
      <alignment vertical="center"/>
      <protection hidden="1"/>
    </xf>
    <xf numFmtId="0" fontId="30" fillId="29" borderId="0" xfId="2" applyFont="1" applyFill="1" applyAlignment="1" applyProtection="1">
      <alignment vertical="center"/>
      <protection hidden="1"/>
    </xf>
    <xf numFmtId="0" fontId="35" fillId="0" borderId="30" xfId="52" applyFont="1" applyBorder="1" applyAlignment="1" applyProtection="1">
      <alignment horizontal="center" vertical="center"/>
      <protection hidden="1"/>
    </xf>
    <xf numFmtId="187" fontId="33" fillId="0" borderId="30" xfId="2" applyNumberFormat="1" applyFont="1" applyBorder="1" applyAlignment="1" applyProtection="1">
      <alignment vertical="center"/>
      <protection hidden="1"/>
    </xf>
    <xf numFmtId="180" fontId="43" fillId="30" borderId="29" xfId="3" applyNumberFormat="1" applyFont="1" applyFill="1" applyBorder="1" applyAlignment="1" applyProtection="1">
      <alignment vertical="center" shrinkToFit="1"/>
      <protection hidden="1"/>
    </xf>
    <xf numFmtId="0" fontId="30" fillId="0" borderId="113" xfId="2" applyFont="1" applyBorder="1" applyAlignment="1" applyProtection="1">
      <alignment vertical="center"/>
      <protection hidden="1"/>
    </xf>
    <xf numFmtId="0" fontId="30" fillId="0" borderId="113" xfId="2" applyFont="1" applyBorder="1" applyAlignment="1" applyProtection="1">
      <alignment horizontal="center" vertical="center"/>
      <protection hidden="1"/>
    </xf>
    <xf numFmtId="0" fontId="34" fillId="29" borderId="91" xfId="3" applyFont="1" applyFill="1" applyBorder="1" applyProtection="1">
      <alignment vertical="center"/>
      <protection hidden="1"/>
    </xf>
    <xf numFmtId="0" fontId="35" fillId="0" borderId="88" xfId="52" applyFont="1" applyBorder="1" applyAlignment="1" applyProtection="1">
      <alignment horizontal="center" vertical="center"/>
      <protection hidden="1"/>
    </xf>
    <xf numFmtId="0" fontId="30" fillId="0" borderId="88" xfId="2" applyFont="1" applyBorder="1" applyAlignment="1" applyProtection="1">
      <alignment vertical="center"/>
      <protection hidden="1"/>
    </xf>
    <xf numFmtId="180" fontId="34" fillId="0" borderId="92" xfId="3" applyNumberFormat="1" applyFont="1" applyBorder="1" applyAlignment="1" applyProtection="1">
      <alignment vertical="center" shrinkToFit="1"/>
      <protection hidden="1"/>
    </xf>
    <xf numFmtId="0" fontId="30" fillId="0" borderId="30" xfId="2" applyFont="1" applyBorder="1" applyAlignment="1" applyProtection="1">
      <alignment horizontal="centerContinuous" vertical="center"/>
      <protection hidden="1"/>
    </xf>
    <xf numFmtId="0" fontId="30" fillId="0" borderId="29" xfId="2" applyFont="1" applyBorder="1" applyAlignment="1" applyProtection="1">
      <alignment horizontal="centerContinuous" vertical="center"/>
      <protection hidden="1"/>
    </xf>
    <xf numFmtId="38" fontId="30" fillId="29" borderId="20" xfId="53" applyFont="1" applyFill="1" applyBorder="1" applyAlignment="1" applyProtection="1">
      <alignment vertical="center"/>
      <protection hidden="1"/>
    </xf>
    <xf numFmtId="0" fontId="35" fillId="0" borderId="98" xfId="52" applyFont="1" applyBorder="1" applyAlignment="1" applyProtection="1">
      <alignment horizontal="center" vertical="center"/>
      <protection hidden="1"/>
    </xf>
    <xf numFmtId="184" fontId="30" fillId="0" borderId="22" xfId="2" applyNumberFormat="1" applyFont="1" applyBorder="1" applyAlignment="1" applyProtection="1">
      <alignment vertical="center"/>
      <protection hidden="1"/>
    </xf>
    <xf numFmtId="0" fontId="30" fillId="0" borderId="22" xfId="2" applyFont="1" applyBorder="1" applyAlignment="1" applyProtection="1">
      <alignment horizontal="centerContinuous" vertical="center"/>
      <protection hidden="1"/>
    </xf>
    <xf numFmtId="0" fontId="30" fillId="0" borderId="21" xfId="2" applyFont="1" applyBorder="1" applyAlignment="1" applyProtection="1">
      <alignment horizontal="centerContinuous" vertical="center"/>
      <protection hidden="1"/>
    </xf>
    <xf numFmtId="38" fontId="30" fillId="29" borderId="28" xfId="53" applyFont="1" applyFill="1" applyBorder="1" applyAlignment="1" applyProtection="1">
      <alignment vertical="center"/>
      <protection hidden="1"/>
    </xf>
    <xf numFmtId="0" fontId="35" fillId="0" borderId="112" xfId="52" applyFont="1" applyBorder="1" applyAlignment="1" applyProtection="1">
      <alignment horizontal="center" vertical="center"/>
      <protection hidden="1"/>
    </xf>
    <xf numFmtId="184" fontId="30" fillId="0" borderId="30" xfId="2" applyNumberFormat="1" applyFont="1" applyBorder="1" applyAlignment="1" applyProtection="1">
      <alignment vertical="center"/>
      <protection hidden="1"/>
    </xf>
    <xf numFmtId="38" fontId="33" fillId="0" borderId="28" xfId="53" applyFont="1" applyFill="1" applyBorder="1" applyAlignment="1" applyProtection="1">
      <alignment vertical="center"/>
      <protection hidden="1"/>
    </xf>
    <xf numFmtId="0" fontId="34" fillId="0" borderId="112" xfId="52" applyFont="1" applyBorder="1" applyAlignment="1" applyProtection="1">
      <alignment horizontal="center" vertical="center"/>
      <protection hidden="1"/>
    </xf>
    <xf numFmtId="184" fontId="33" fillId="0" borderId="30" xfId="2" applyNumberFormat="1" applyFont="1" applyBorder="1" applyAlignment="1" applyProtection="1">
      <alignment vertical="center"/>
      <protection hidden="1"/>
    </xf>
    <xf numFmtId="0" fontId="34" fillId="0" borderId="51" xfId="3" applyFont="1" applyBorder="1" applyProtection="1">
      <alignment vertical="center"/>
      <protection hidden="1"/>
    </xf>
    <xf numFmtId="38" fontId="30" fillId="29" borderId="91" xfId="53" applyFont="1" applyFill="1" applyBorder="1" applyAlignment="1" applyProtection="1">
      <alignment vertical="center"/>
      <protection hidden="1"/>
    </xf>
    <xf numFmtId="0" fontId="35" fillId="0" borderId="113" xfId="52" applyFont="1" applyBorder="1" applyAlignment="1" applyProtection="1">
      <alignment horizontal="center" vertical="center"/>
      <protection hidden="1"/>
    </xf>
    <xf numFmtId="184" fontId="34" fillId="0" borderId="88" xfId="3" applyNumberFormat="1" applyFont="1" applyBorder="1" applyAlignment="1" applyProtection="1">
      <alignment vertical="center" shrinkToFit="1"/>
      <protection hidden="1"/>
    </xf>
    <xf numFmtId="38" fontId="30" fillId="0" borderId="98" xfId="53" applyFont="1" applyFill="1" applyBorder="1" applyAlignment="1" applyProtection="1">
      <alignment vertical="center"/>
      <protection hidden="1"/>
    </xf>
    <xf numFmtId="38" fontId="30" fillId="0" borderId="98" xfId="53" applyFont="1" applyFill="1" applyBorder="1" applyAlignment="1" applyProtection="1">
      <alignment horizontal="center" vertical="center"/>
      <protection hidden="1"/>
    </xf>
    <xf numFmtId="0" fontId="34" fillId="0" borderId="98" xfId="3" applyFont="1" applyBorder="1" applyAlignment="1" applyProtection="1">
      <alignment horizontal="center" vertical="center"/>
      <protection hidden="1"/>
    </xf>
    <xf numFmtId="0" fontId="30" fillId="0" borderId="22" xfId="2" applyFont="1" applyBorder="1" applyAlignment="1" applyProtection="1">
      <alignment vertical="center"/>
      <protection hidden="1"/>
    </xf>
    <xf numFmtId="0" fontId="30" fillId="0" borderId="21" xfId="2" applyFont="1" applyBorder="1" applyAlignment="1" applyProtection="1">
      <alignment vertical="center"/>
      <protection hidden="1"/>
    </xf>
    <xf numFmtId="189" fontId="30" fillId="0" borderId="22" xfId="2" applyNumberFormat="1" applyFont="1" applyBorder="1" applyAlignment="1" applyProtection="1">
      <alignment vertical="center"/>
      <protection hidden="1"/>
    </xf>
    <xf numFmtId="38" fontId="30" fillId="0" borderId="112" xfId="53" applyFont="1" applyFill="1" applyBorder="1" applyAlignment="1" applyProtection="1">
      <alignment vertical="center"/>
      <protection hidden="1"/>
    </xf>
    <xf numFmtId="38" fontId="30" fillId="0" borderId="112" xfId="53" applyFont="1" applyFill="1" applyBorder="1" applyAlignment="1" applyProtection="1">
      <alignment horizontal="center" vertical="center"/>
      <protection hidden="1"/>
    </xf>
    <xf numFmtId="0" fontId="34" fillId="0" borderId="112" xfId="3" applyFont="1" applyBorder="1" applyAlignment="1" applyProtection="1">
      <alignment horizontal="center" vertical="center"/>
      <protection hidden="1"/>
    </xf>
    <xf numFmtId="0" fontId="30" fillId="0" borderId="30" xfId="2" applyFont="1" applyBorder="1" applyAlignment="1" applyProtection="1">
      <alignment vertical="center"/>
      <protection hidden="1"/>
    </xf>
    <xf numFmtId="0" fontId="30" fillId="0" borderId="29" xfId="2" applyFont="1" applyBorder="1" applyAlignment="1" applyProtection="1">
      <alignment vertical="center"/>
      <protection hidden="1"/>
    </xf>
    <xf numFmtId="38" fontId="30" fillId="0" borderId="113" xfId="53" applyFont="1" applyFill="1" applyBorder="1" applyAlignment="1" applyProtection="1">
      <alignment vertical="center"/>
      <protection hidden="1"/>
    </xf>
    <xf numFmtId="38" fontId="30" fillId="0" borderId="113" xfId="53" applyFont="1" applyFill="1" applyBorder="1" applyAlignment="1" applyProtection="1">
      <alignment horizontal="center" vertical="center"/>
      <protection hidden="1"/>
    </xf>
    <xf numFmtId="0" fontId="34" fillId="0" borderId="113" xfId="3" applyFont="1" applyBorder="1" applyAlignment="1" applyProtection="1">
      <alignment horizontal="center" vertical="center"/>
      <protection hidden="1"/>
    </xf>
    <xf numFmtId="0" fontId="30" fillId="0" borderId="88" xfId="2" applyFont="1" applyBorder="1" applyAlignment="1" applyProtection="1">
      <alignment horizontal="centerContinuous" vertical="center"/>
      <protection hidden="1"/>
    </xf>
    <xf numFmtId="0" fontId="30" fillId="0" borderId="92" xfId="2" applyFont="1" applyBorder="1" applyAlignment="1" applyProtection="1">
      <alignment horizontal="centerContinuous" vertical="center"/>
      <protection hidden="1"/>
    </xf>
    <xf numFmtId="38" fontId="47" fillId="30" borderId="98" xfId="53" applyFont="1" applyFill="1" applyBorder="1" applyAlignment="1" applyProtection="1">
      <alignment vertical="center"/>
      <protection hidden="1"/>
    </xf>
    <xf numFmtId="0" fontId="43" fillId="30" borderId="22" xfId="3" applyFont="1" applyFill="1" applyBorder="1" applyAlignment="1" applyProtection="1">
      <alignment horizontal="left" vertical="center"/>
      <protection hidden="1"/>
    </xf>
    <xf numFmtId="188" fontId="34" fillId="0" borderId="22" xfId="3" applyNumberFormat="1" applyFont="1" applyBorder="1" applyAlignment="1" applyProtection="1">
      <alignment vertical="center" shrinkToFit="1"/>
      <protection hidden="1"/>
    </xf>
    <xf numFmtId="188" fontId="34" fillId="0" borderId="21" xfId="3" applyNumberFormat="1" applyFont="1" applyBorder="1" applyAlignment="1" applyProtection="1">
      <alignment vertical="center" shrinkToFit="1"/>
      <protection hidden="1"/>
    </xf>
    <xf numFmtId="0" fontId="34" fillId="29" borderId="28" xfId="3" applyFont="1" applyFill="1" applyBorder="1" applyAlignment="1" applyProtection="1">
      <alignment horizontal="left" vertical="center"/>
      <protection hidden="1"/>
    </xf>
    <xf numFmtId="0" fontId="30" fillId="0" borderId="30" xfId="2" applyFont="1" applyBorder="1" applyAlignment="1" applyProtection="1">
      <alignment horizontal="left" vertical="center" indent="5"/>
      <protection hidden="1"/>
    </xf>
    <xf numFmtId="188" fontId="34" fillId="0" borderId="30" xfId="3" applyNumberFormat="1" applyFont="1" applyBorder="1" applyAlignment="1" applyProtection="1">
      <alignment vertical="center" shrinkToFit="1"/>
      <protection hidden="1"/>
    </xf>
    <xf numFmtId="188" fontId="34" fillId="0" borderId="29" xfId="3" applyNumberFormat="1" applyFont="1" applyBorder="1" applyAlignment="1" applyProtection="1">
      <alignment vertical="center" shrinkToFit="1"/>
      <protection hidden="1"/>
    </xf>
    <xf numFmtId="38" fontId="30" fillId="0" borderId="130" xfId="53" applyFont="1" applyFill="1" applyBorder="1" applyAlignment="1" applyProtection="1">
      <alignment vertical="center"/>
      <protection hidden="1"/>
    </xf>
    <xf numFmtId="38" fontId="30" fillId="0" borderId="130" xfId="53" applyFont="1" applyFill="1" applyBorder="1" applyAlignment="1" applyProtection="1">
      <alignment horizontal="center" vertical="center"/>
      <protection hidden="1"/>
    </xf>
    <xf numFmtId="0" fontId="30" fillId="29" borderId="90" xfId="2" applyFont="1" applyFill="1" applyBorder="1" applyAlignment="1" applyProtection="1">
      <alignment vertical="center"/>
      <protection hidden="1"/>
    </xf>
    <xf numFmtId="0" fontId="35" fillId="0" borderId="130" xfId="52" applyFont="1" applyBorder="1" applyAlignment="1" applyProtection="1">
      <alignment horizontal="center" vertical="center"/>
      <protection hidden="1"/>
    </xf>
    <xf numFmtId="188" fontId="34" fillId="0" borderId="27" xfId="3" applyNumberFormat="1" applyFont="1" applyBorder="1" applyAlignment="1" applyProtection="1">
      <alignment vertical="center" shrinkToFit="1"/>
      <protection hidden="1"/>
    </xf>
    <xf numFmtId="188" fontId="34" fillId="0" borderId="85" xfId="3" applyNumberFormat="1" applyFont="1" applyBorder="1" applyAlignment="1" applyProtection="1">
      <alignment vertical="center" shrinkToFit="1"/>
      <protection hidden="1"/>
    </xf>
    <xf numFmtId="0" fontId="30" fillId="0" borderId="27" xfId="2" applyFont="1" applyBorder="1" applyAlignment="1" applyProtection="1">
      <alignment horizontal="centerContinuous" vertical="center"/>
      <protection hidden="1"/>
    </xf>
    <xf numFmtId="0" fontId="30" fillId="0" borderId="85" xfId="2" applyFont="1" applyBorder="1" applyAlignment="1" applyProtection="1">
      <alignment horizontal="centerContinuous" vertical="center"/>
      <protection hidden="1"/>
    </xf>
    <xf numFmtId="0" fontId="30" fillId="29" borderId="31" xfId="2" applyFont="1" applyFill="1" applyBorder="1" applyAlignment="1" applyProtection="1">
      <alignment vertical="center"/>
      <protection hidden="1"/>
    </xf>
    <xf numFmtId="0" fontId="30" fillId="29" borderId="29" xfId="2" applyFont="1" applyFill="1" applyBorder="1" applyAlignment="1" applyProtection="1">
      <alignment vertical="center" wrapText="1"/>
      <protection hidden="1"/>
    </xf>
    <xf numFmtId="184" fontId="34" fillId="0" borderId="30" xfId="3" applyNumberFormat="1" applyFont="1" applyBorder="1" applyAlignment="1" applyProtection="1">
      <alignment vertical="center" shrinkToFit="1"/>
      <protection hidden="1"/>
    </xf>
    <xf numFmtId="0" fontId="30" fillId="29" borderId="76" xfId="2" applyFont="1" applyFill="1" applyBorder="1" applyAlignment="1" applyProtection="1">
      <alignment vertical="center"/>
      <protection hidden="1"/>
    </xf>
    <xf numFmtId="0" fontId="30" fillId="29" borderId="29" xfId="2" applyFont="1" applyFill="1" applyBorder="1" applyAlignment="1" applyProtection="1">
      <alignment vertical="center"/>
      <protection hidden="1"/>
    </xf>
    <xf numFmtId="0" fontId="30" fillId="29" borderId="34" xfId="2" applyFont="1" applyFill="1" applyBorder="1" applyAlignment="1" applyProtection="1">
      <alignment vertical="center"/>
      <protection hidden="1"/>
    </xf>
    <xf numFmtId="0" fontId="30" fillId="29" borderId="24" xfId="2" applyFont="1" applyFill="1" applyBorder="1" applyAlignment="1" applyProtection="1">
      <alignment vertical="center"/>
      <protection hidden="1"/>
    </xf>
    <xf numFmtId="0" fontId="30" fillId="29" borderId="31" xfId="2" applyFont="1" applyFill="1" applyBorder="1" applyAlignment="1" applyProtection="1">
      <alignment vertical="center" wrapText="1"/>
      <protection hidden="1"/>
    </xf>
    <xf numFmtId="0" fontId="30" fillId="29" borderId="89" xfId="2" applyFont="1" applyFill="1" applyBorder="1" applyAlignment="1" applyProtection="1">
      <alignment vertical="center"/>
      <protection hidden="1"/>
    </xf>
    <xf numFmtId="0" fontId="30" fillId="0" borderId="0" xfId="2" applyFont="1" applyAlignment="1" applyProtection="1">
      <alignment vertical="center"/>
      <protection hidden="1"/>
    </xf>
    <xf numFmtId="0" fontId="30" fillId="0" borderId="1" xfId="0" applyFont="1" applyBorder="1" applyAlignment="1" applyProtection="1">
      <alignment horizontal="center" vertical="center"/>
      <protection hidden="1"/>
    </xf>
    <xf numFmtId="49" fontId="30" fillId="0" borderId="1" xfId="0" applyNumberFormat="1" applyFont="1" applyBorder="1" applyAlignment="1" applyProtection="1">
      <alignment horizontal="left" vertical="center"/>
      <protection hidden="1"/>
    </xf>
    <xf numFmtId="0" fontId="30" fillId="0" borderId="1" xfId="0" applyFont="1" applyBorder="1" applyAlignment="1" applyProtection="1">
      <alignment vertical="center" shrinkToFit="1"/>
      <protection hidden="1"/>
    </xf>
    <xf numFmtId="49" fontId="30" fillId="0" borderId="1" xfId="0" applyNumberFormat="1" applyFont="1" applyBorder="1" applyProtection="1">
      <alignment vertical="center"/>
      <protection hidden="1"/>
    </xf>
    <xf numFmtId="49" fontId="30" fillId="0" borderId="1" xfId="0" quotePrefix="1" applyNumberFormat="1" applyFont="1" applyBorder="1" applyProtection="1">
      <alignment vertical="center"/>
      <protection hidden="1"/>
    </xf>
    <xf numFmtId="0" fontId="67" fillId="50" borderId="0" xfId="52" applyFont="1" applyFill="1" applyAlignment="1" applyProtection="1">
      <alignment horizontal="left" vertical="center" indent="1"/>
      <protection hidden="1"/>
    </xf>
    <xf numFmtId="49" fontId="56" fillId="50" borderId="0" xfId="0" applyNumberFormat="1" applyFont="1" applyFill="1" applyProtection="1">
      <alignment vertical="center"/>
      <protection hidden="1"/>
    </xf>
    <xf numFmtId="0" fontId="32" fillId="50" borderId="0" xfId="0" applyFont="1" applyFill="1" applyAlignment="1" applyProtection="1">
      <alignment horizontal="center"/>
      <protection hidden="1"/>
    </xf>
    <xf numFmtId="0" fontId="0" fillId="50" borderId="0" xfId="0" applyFill="1" applyAlignment="1" applyProtection="1">
      <protection hidden="1"/>
    </xf>
    <xf numFmtId="0" fontId="30" fillId="50" borderId="0" xfId="0" applyFont="1" applyFill="1" applyProtection="1">
      <alignment vertical="center"/>
      <protection hidden="1"/>
    </xf>
    <xf numFmtId="49" fontId="0" fillId="29" borderId="0" xfId="0" applyNumberFormat="1" applyFill="1" applyProtection="1">
      <alignment vertical="center"/>
      <protection hidden="1"/>
    </xf>
    <xf numFmtId="0" fontId="68" fillId="29" borderId="0" xfId="0" applyFont="1" applyFill="1" applyProtection="1">
      <alignment vertical="center"/>
      <protection hidden="1"/>
    </xf>
    <xf numFmtId="0" fontId="29" fillId="29" borderId="0" xfId="0" applyFont="1" applyFill="1" applyProtection="1">
      <alignment vertical="center"/>
      <protection hidden="1"/>
    </xf>
    <xf numFmtId="0" fontId="67" fillId="41" borderId="83" xfId="52" applyFont="1" applyFill="1" applyBorder="1" applyAlignment="1" applyProtection="1">
      <alignment horizontal="left" vertical="center" indent="1"/>
      <protection hidden="1"/>
    </xf>
    <xf numFmtId="0" fontId="38" fillId="41" borderId="100" xfId="0" applyFont="1" applyFill="1" applyBorder="1" applyProtection="1">
      <alignment vertical="center"/>
      <protection hidden="1"/>
    </xf>
    <xf numFmtId="0" fontId="49" fillId="41" borderId="100" xfId="0" applyFont="1" applyFill="1" applyBorder="1" applyProtection="1">
      <alignment vertical="center"/>
      <protection hidden="1"/>
    </xf>
    <xf numFmtId="0" fontId="38" fillId="41" borderId="101" xfId="0" applyFont="1" applyFill="1" applyBorder="1" applyProtection="1">
      <alignment vertical="center"/>
      <protection hidden="1"/>
    </xf>
    <xf numFmtId="0" fontId="0" fillId="29" borderId="54" xfId="0" applyFill="1" applyBorder="1" applyProtection="1">
      <alignment vertical="center"/>
      <protection hidden="1"/>
    </xf>
    <xf numFmtId="0" fontId="0" fillId="29" borderId="63" xfId="0" applyFill="1" applyBorder="1" applyProtection="1">
      <alignment vertical="center"/>
      <protection hidden="1"/>
    </xf>
    <xf numFmtId="183" fontId="30" fillId="29" borderId="0" xfId="0" applyNumberFormat="1" applyFont="1" applyFill="1" applyProtection="1">
      <alignment vertical="center"/>
      <protection hidden="1"/>
    </xf>
    <xf numFmtId="49" fontId="38" fillId="29" borderId="0" xfId="0" applyNumberFormat="1" applyFont="1" applyFill="1" applyProtection="1">
      <alignment vertical="center"/>
      <protection hidden="1"/>
    </xf>
    <xf numFmtId="0" fontId="38" fillId="29" borderId="82" xfId="0" applyFont="1" applyFill="1" applyBorder="1" applyProtection="1">
      <alignment vertical="center"/>
      <protection hidden="1"/>
    </xf>
    <xf numFmtId="0" fontId="38" fillId="29" borderId="102" xfId="0" applyFont="1" applyFill="1" applyBorder="1" applyProtection="1">
      <alignment vertical="center"/>
      <protection hidden="1"/>
    </xf>
    <xf numFmtId="0" fontId="49" fillId="29" borderId="95" xfId="0" applyFont="1" applyFill="1" applyBorder="1" applyProtection="1">
      <alignment vertical="center"/>
      <protection hidden="1"/>
    </xf>
    <xf numFmtId="0" fontId="38" fillId="29" borderId="70" xfId="0" applyFont="1" applyFill="1" applyBorder="1" applyProtection="1">
      <alignment vertical="center"/>
      <protection hidden="1"/>
    </xf>
    <xf numFmtId="0" fontId="38" fillId="29" borderId="53" xfId="0" applyFont="1" applyFill="1" applyBorder="1" applyProtection="1">
      <alignment vertical="center"/>
      <protection hidden="1"/>
    </xf>
    <xf numFmtId="0" fontId="38" fillId="5" borderId="86" xfId="0" applyFont="1" applyFill="1" applyBorder="1" applyProtection="1">
      <alignment vertical="center"/>
      <protection hidden="1"/>
    </xf>
    <xf numFmtId="0" fontId="52" fillId="29" borderId="0" xfId="0" applyFont="1" applyFill="1" applyProtection="1">
      <alignment vertical="center"/>
      <protection hidden="1"/>
    </xf>
    <xf numFmtId="0" fontId="38" fillId="29" borderId="83" xfId="0" applyFont="1" applyFill="1" applyBorder="1" applyProtection="1">
      <alignment vertical="center"/>
      <protection hidden="1"/>
    </xf>
    <xf numFmtId="0" fontId="49" fillId="29" borderId="101" xfId="0" applyFont="1" applyFill="1" applyBorder="1" applyProtection="1">
      <alignment vertical="center"/>
      <protection hidden="1"/>
    </xf>
    <xf numFmtId="0" fontId="38" fillId="29" borderId="63" xfId="0" applyFont="1" applyFill="1" applyBorder="1" applyProtection="1">
      <alignment vertical="center"/>
      <protection hidden="1"/>
    </xf>
    <xf numFmtId="0" fontId="38" fillId="29" borderId="7" xfId="0" applyFont="1" applyFill="1" applyBorder="1" applyProtection="1">
      <alignment vertical="center"/>
      <protection hidden="1"/>
    </xf>
    <xf numFmtId="0" fontId="49" fillId="29" borderId="8" xfId="0" applyFont="1" applyFill="1" applyBorder="1" applyProtection="1">
      <alignment vertical="center"/>
      <protection hidden="1"/>
    </xf>
    <xf numFmtId="181" fontId="38" fillId="29" borderId="0" xfId="0" applyNumberFormat="1" applyFont="1" applyFill="1" applyProtection="1">
      <alignment vertical="center"/>
      <protection hidden="1"/>
    </xf>
    <xf numFmtId="214" fontId="34" fillId="5" borderId="22" xfId="3" applyNumberFormat="1" applyFont="1" applyFill="1" applyBorder="1" applyAlignment="1" applyProtection="1">
      <alignment vertical="center" shrinkToFit="1"/>
      <protection locked="0"/>
    </xf>
    <xf numFmtId="214" fontId="34" fillId="5" borderId="30" xfId="3" applyNumberFormat="1" applyFont="1" applyFill="1" applyBorder="1" applyAlignment="1" applyProtection="1">
      <alignment vertical="center" shrinkToFit="1"/>
      <protection locked="0"/>
    </xf>
    <xf numFmtId="214" fontId="34" fillId="5" borderId="93" xfId="3" applyNumberFormat="1" applyFont="1" applyFill="1" applyBorder="1" applyAlignment="1" applyProtection="1">
      <alignment vertical="center" shrinkToFit="1"/>
      <protection locked="0"/>
    </xf>
    <xf numFmtId="216" fontId="34" fillId="0" borderId="124" xfId="3" applyNumberFormat="1" applyFont="1" applyBorder="1" applyAlignment="1" applyProtection="1">
      <alignment vertical="center" shrinkToFit="1"/>
      <protection hidden="1"/>
    </xf>
    <xf numFmtId="0" fontId="34" fillId="5" borderId="154" xfId="3" applyFont="1" applyFill="1" applyBorder="1" applyAlignment="1" applyProtection="1">
      <alignment horizontal="center" vertical="center" shrinkToFit="1"/>
      <protection locked="0"/>
    </xf>
    <xf numFmtId="217" fontId="35" fillId="5" borderId="154" xfId="52" applyNumberFormat="1" applyFont="1" applyFill="1" applyBorder="1" applyAlignment="1" applyProtection="1">
      <alignment vertical="center" shrinkToFit="1"/>
      <protection locked="0"/>
    </xf>
    <xf numFmtId="217" fontId="34" fillId="5" borderId="94" xfId="3" applyNumberFormat="1" applyFont="1" applyFill="1" applyBorder="1" applyAlignment="1" applyProtection="1">
      <alignment vertical="center" shrinkToFit="1"/>
      <protection locked="0"/>
    </xf>
    <xf numFmtId="217" fontId="34" fillId="0" borderId="1" xfId="52" applyNumberFormat="1" applyFont="1" applyBorder="1" applyProtection="1">
      <alignment vertical="center"/>
      <protection hidden="1"/>
    </xf>
    <xf numFmtId="217" fontId="34" fillId="0" borderId="86" xfId="52" applyNumberFormat="1" applyFont="1" applyBorder="1" applyAlignment="1" applyProtection="1">
      <alignment vertical="center" shrinkToFit="1"/>
      <protection hidden="1"/>
    </xf>
    <xf numFmtId="217" fontId="34" fillId="0" borderId="86" xfId="52" applyNumberFormat="1" applyFont="1" applyBorder="1" applyProtection="1">
      <alignment vertical="center"/>
      <protection hidden="1"/>
    </xf>
    <xf numFmtId="192" fontId="34" fillId="0" borderId="86" xfId="52" applyNumberFormat="1" applyFont="1" applyBorder="1" applyProtection="1">
      <alignment vertical="center"/>
      <protection hidden="1"/>
    </xf>
    <xf numFmtId="192" fontId="34" fillId="0" borderId="71" xfId="51" applyNumberFormat="1" applyFont="1" applyBorder="1" applyProtection="1">
      <alignment vertical="center"/>
      <protection hidden="1"/>
    </xf>
    <xf numFmtId="218" fontId="34" fillId="0" borderId="86" xfId="52" applyNumberFormat="1" applyFont="1" applyBorder="1" applyProtection="1">
      <alignment vertical="center"/>
      <protection hidden="1"/>
    </xf>
    <xf numFmtId="218" fontId="34" fillId="0" borderId="71" xfId="52" applyNumberFormat="1" applyFont="1" applyBorder="1" applyProtection="1">
      <alignment vertical="center"/>
      <protection hidden="1"/>
    </xf>
    <xf numFmtId="218" fontId="34" fillId="0" borderId="82" xfId="52" applyNumberFormat="1" applyFont="1" applyBorder="1" applyProtection="1">
      <alignment vertical="center"/>
      <protection hidden="1"/>
    </xf>
    <xf numFmtId="218" fontId="34" fillId="0" borderId="124" xfId="3" applyNumberFormat="1" applyFont="1" applyBorder="1" applyAlignment="1" applyProtection="1">
      <alignment vertical="center" shrinkToFit="1"/>
      <protection hidden="1"/>
    </xf>
    <xf numFmtId="218" fontId="34" fillId="0" borderId="167" xfId="3" applyNumberFormat="1" applyFont="1" applyBorder="1" applyAlignment="1" applyProtection="1">
      <alignment vertical="center" shrinkToFit="1"/>
      <protection hidden="1"/>
    </xf>
    <xf numFmtId="218" fontId="34" fillId="0" borderId="142" xfId="52" applyNumberFormat="1" applyFont="1" applyBorder="1" applyProtection="1">
      <alignment vertical="center"/>
      <protection hidden="1"/>
    </xf>
    <xf numFmtId="217" fontId="34" fillId="0" borderId="142" xfId="52" applyNumberFormat="1" applyFont="1" applyBorder="1" applyAlignment="1" applyProtection="1">
      <alignment vertical="center" shrinkToFit="1"/>
      <protection hidden="1"/>
    </xf>
    <xf numFmtId="192" fontId="34" fillId="0" borderId="142" xfId="52" applyNumberFormat="1" applyFont="1" applyBorder="1" applyProtection="1">
      <alignment vertical="center"/>
      <protection hidden="1"/>
    </xf>
    <xf numFmtId="177" fontId="34" fillId="0" borderId="196" xfId="52" applyNumberFormat="1" applyFont="1" applyBorder="1" applyProtection="1">
      <alignment vertical="center"/>
      <protection hidden="1"/>
    </xf>
    <xf numFmtId="0" fontId="26" fillId="29" borderId="0" xfId="50" applyFill="1" applyAlignment="1" applyProtection="1">
      <alignment vertical="center"/>
      <protection hidden="1"/>
    </xf>
    <xf numFmtId="0" fontId="67" fillId="46" borderId="0" xfId="0" applyFont="1" applyFill="1" applyProtection="1">
      <alignment vertical="center"/>
      <protection hidden="1"/>
    </xf>
    <xf numFmtId="0" fontId="30" fillId="0" borderId="0" xfId="0" applyFont="1" applyAlignment="1" applyProtection="1">
      <alignment horizontal="left" vertical="center"/>
      <protection hidden="1"/>
    </xf>
    <xf numFmtId="0" fontId="38" fillId="47" borderId="86" xfId="0" applyFont="1" applyFill="1" applyBorder="1" applyAlignment="1" applyProtection="1">
      <alignment horizontal="center" vertical="center" wrapText="1"/>
      <protection hidden="1"/>
    </xf>
    <xf numFmtId="0" fontId="38" fillId="47" borderId="0" xfId="0" applyFont="1" applyFill="1" applyAlignment="1" applyProtection="1">
      <alignment horizontal="center" vertical="center" wrapText="1"/>
      <protection hidden="1"/>
    </xf>
    <xf numFmtId="210" fontId="42" fillId="0" borderId="50" xfId="52" applyNumberFormat="1" applyFont="1" applyBorder="1" applyProtection="1">
      <alignment vertical="center"/>
      <protection hidden="1"/>
    </xf>
    <xf numFmtId="0" fontId="34" fillId="29" borderId="95" xfId="49" applyFont="1" applyFill="1" applyBorder="1" applyAlignment="1" applyProtection="1">
      <alignment vertical="center" shrinkToFit="1"/>
      <protection hidden="1"/>
    </xf>
    <xf numFmtId="0" fontId="34" fillId="29" borderId="101" xfId="49" applyFont="1" applyFill="1" applyBorder="1" applyAlignment="1" applyProtection="1">
      <alignment vertical="center" shrinkToFit="1"/>
      <protection hidden="1"/>
    </xf>
    <xf numFmtId="211" fontId="53" fillId="30" borderId="197" xfId="0" applyNumberFormat="1" applyFont="1" applyFill="1" applyBorder="1" applyProtection="1">
      <alignment vertical="center"/>
      <protection locked="0"/>
    </xf>
    <xf numFmtId="220" fontId="38" fillId="5" borderId="83" xfId="51" applyNumberFormat="1" applyFont="1" applyFill="1" applyBorder="1" applyAlignment="1" applyProtection="1">
      <alignment vertical="center" shrinkToFit="1"/>
      <protection locked="0"/>
    </xf>
    <xf numFmtId="220" fontId="38" fillId="0" borderId="83" xfId="0" applyNumberFormat="1" applyFont="1" applyBorder="1" applyAlignment="1" applyProtection="1">
      <alignment vertical="center" shrinkToFit="1"/>
      <protection hidden="1"/>
    </xf>
    <xf numFmtId="220" fontId="38" fillId="29" borderId="83" xfId="0" applyNumberFormat="1" applyFont="1" applyFill="1" applyBorder="1" applyAlignment="1" applyProtection="1">
      <alignment vertical="center" shrinkToFit="1"/>
      <protection hidden="1"/>
    </xf>
    <xf numFmtId="220" fontId="38" fillId="29" borderId="83" xfId="51" applyNumberFormat="1" applyFont="1" applyFill="1" applyBorder="1" applyAlignment="1" applyProtection="1">
      <alignment vertical="center" shrinkToFit="1"/>
      <protection hidden="1"/>
    </xf>
    <xf numFmtId="220" fontId="42" fillId="0" borderId="50" xfId="52" applyNumberFormat="1" applyFont="1" applyBorder="1" applyProtection="1">
      <alignment vertical="center"/>
      <protection hidden="1"/>
    </xf>
    <xf numFmtId="0" fontId="38" fillId="57" borderId="0" xfId="52" applyFont="1" applyFill="1" applyAlignment="1" applyProtection="1">
      <alignment horizontal="center" vertical="center"/>
      <protection hidden="1"/>
    </xf>
    <xf numFmtId="0" fontId="77" fillId="0" borderId="0" xfId="3" applyFont="1" applyProtection="1">
      <alignment vertical="center"/>
      <protection hidden="1"/>
    </xf>
    <xf numFmtId="201" fontId="38" fillId="0" borderId="2" xfId="0" applyNumberFormat="1" applyFont="1" applyBorder="1" applyAlignment="1" applyProtection="1">
      <alignment vertical="center" shrinkToFit="1"/>
      <protection hidden="1"/>
    </xf>
    <xf numFmtId="9" fontId="38" fillId="0" borderId="86" xfId="0" applyNumberFormat="1" applyFont="1" applyBorder="1" applyProtection="1">
      <alignment vertical="center"/>
      <protection hidden="1"/>
    </xf>
    <xf numFmtId="182" fontId="34" fillId="0" borderId="23" xfId="3" applyNumberFormat="1" applyFont="1" applyBorder="1" applyAlignment="1" applyProtection="1">
      <alignment horizontal="center" vertical="center"/>
      <protection hidden="1"/>
    </xf>
    <xf numFmtId="182" fontId="34" fillId="0" borderId="24" xfId="3" applyNumberFormat="1" applyFont="1" applyBorder="1" applyAlignment="1" applyProtection="1">
      <alignment horizontal="center" vertical="center"/>
      <protection hidden="1"/>
    </xf>
    <xf numFmtId="216" fontId="34" fillId="0" borderId="201" xfId="3" applyNumberFormat="1" applyFont="1" applyBorder="1" applyAlignment="1" applyProtection="1">
      <alignment vertical="center" shrinkToFit="1"/>
      <protection hidden="1"/>
    </xf>
    <xf numFmtId="182" fontId="34" fillId="0" borderId="202" xfId="3" applyNumberFormat="1" applyFont="1" applyBorder="1" applyAlignment="1" applyProtection="1">
      <alignment horizontal="center" vertical="center" shrinkToFit="1"/>
      <protection hidden="1"/>
    </xf>
    <xf numFmtId="218" fontId="34" fillId="0" borderId="202" xfId="3" applyNumberFormat="1" applyFont="1" applyBorder="1" applyAlignment="1" applyProtection="1">
      <alignment vertical="center" shrinkToFit="1"/>
      <protection hidden="1"/>
    </xf>
    <xf numFmtId="216" fontId="34" fillId="0" borderId="167" xfId="3" applyNumberFormat="1" applyFont="1" applyBorder="1" applyAlignment="1" applyProtection="1">
      <alignment vertical="center" shrinkToFit="1"/>
      <protection hidden="1"/>
    </xf>
    <xf numFmtId="10" fontId="38" fillId="0" borderId="86" xfId="0" applyNumberFormat="1" applyFont="1" applyBorder="1" applyAlignment="1" applyProtection="1">
      <alignment horizontal="center" vertical="center"/>
      <protection hidden="1"/>
    </xf>
    <xf numFmtId="0" fontId="65" fillId="5" borderId="86" xfId="0" applyFont="1" applyFill="1" applyBorder="1" applyAlignment="1" applyProtection="1">
      <alignment horizontal="center"/>
      <protection hidden="1"/>
    </xf>
    <xf numFmtId="0" fontId="74" fillId="0" borderId="193" xfId="0" applyFont="1" applyBorder="1" applyProtection="1">
      <alignment vertical="center"/>
      <protection hidden="1"/>
    </xf>
    <xf numFmtId="221" fontId="38" fillId="0" borderId="69" xfId="52" applyNumberFormat="1" applyFont="1" applyBorder="1" applyAlignment="1" applyProtection="1">
      <alignment horizontal="center" vertical="center"/>
      <protection hidden="1"/>
    </xf>
    <xf numFmtId="221" fontId="38" fillId="0" borderId="182" xfId="52" applyNumberFormat="1" applyFont="1" applyBorder="1" applyAlignment="1" applyProtection="1">
      <alignment horizontal="center" vertical="center"/>
      <protection hidden="1"/>
    </xf>
    <xf numFmtId="221" fontId="38" fillId="0" borderId="32" xfId="52" applyNumberFormat="1" applyFont="1" applyBorder="1" applyAlignment="1" applyProtection="1">
      <alignment horizontal="center" vertical="center"/>
      <protection hidden="1"/>
    </xf>
    <xf numFmtId="221" fontId="38" fillId="0" borderId="178" xfId="52" applyNumberFormat="1" applyFont="1" applyBorder="1" applyAlignment="1" applyProtection="1">
      <alignment horizontal="center" vertical="center"/>
      <protection hidden="1"/>
    </xf>
    <xf numFmtId="221" fontId="38" fillId="0" borderId="26" xfId="52" applyNumberFormat="1" applyFont="1" applyBorder="1" applyAlignment="1" applyProtection="1">
      <alignment horizontal="center" vertical="center"/>
      <protection hidden="1"/>
    </xf>
    <xf numFmtId="0" fontId="30" fillId="0" borderId="0" xfId="0" applyFont="1" applyProtection="1">
      <alignment vertical="center"/>
      <protection locked="0"/>
    </xf>
    <xf numFmtId="0" fontId="38" fillId="0" borderId="65" xfId="52" applyFont="1" applyBorder="1" applyAlignment="1">
      <alignment horizontal="centerContinuous" vertical="center"/>
    </xf>
    <xf numFmtId="0" fontId="38" fillId="0" borderId="107" xfId="52" applyFont="1" applyBorder="1" applyAlignment="1">
      <alignment horizontal="centerContinuous" vertical="center"/>
    </xf>
    <xf numFmtId="0" fontId="38" fillId="0" borderId="66" xfId="52" applyFont="1" applyBorder="1" applyAlignment="1">
      <alignment horizontal="centerContinuous" vertical="center"/>
    </xf>
    <xf numFmtId="0" fontId="38" fillId="0" borderId="205" xfId="52" applyFont="1" applyBorder="1">
      <alignment vertical="center"/>
    </xf>
    <xf numFmtId="0" fontId="38" fillId="29" borderId="206" xfId="0" applyFont="1" applyFill="1" applyBorder="1" applyProtection="1">
      <alignment vertical="center"/>
      <protection hidden="1"/>
    </xf>
    <xf numFmtId="213" fontId="38" fillId="5" borderId="207" xfId="1" applyNumberFormat="1" applyFont="1" applyFill="1" applyBorder="1" applyAlignment="1" applyProtection="1">
      <alignment horizontal="center" vertical="center"/>
      <protection locked="0"/>
    </xf>
    <xf numFmtId="213" fontId="38" fillId="29" borderId="69" xfId="0" applyNumberFormat="1" applyFont="1" applyFill="1" applyBorder="1" applyAlignment="1" applyProtection="1">
      <alignment horizontal="center" vertical="center"/>
      <protection hidden="1"/>
    </xf>
    <xf numFmtId="49" fontId="38" fillId="5" borderId="86" xfId="0" applyNumberFormat="1" applyFont="1" applyFill="1" applyBorder="1" applyProtection="1">
      <alignment vertical="center"/>
      <protection locked="0"/>
    </xf>
    <xf numFmtId="0" fontId="38" fillId="29" borderId="102" xfId="0" applyFont="1" applyFill="1" applyBorder="1" applyAlignment="1" applyProtection="1">
      <alignment vertical="center" shrinkToFit="1"/>
      <protection hidden="1"/>
    </xf>
    <xf numFmtId="0" fontId="38" fillId="29" borderId="99" xfId="0" applyFont="1" applyFill="1" applyBorder="1" applyAlignment="1" applyProtection="1">
      <alignment vertical="center" shrinkToFit="1"/>
      <protection hidden="1"/>
    </xf>
    <xf numFmtId="0" fontId="38" fillId="29" borderId="95" xfId="0" applyFont="1" applyFill="1" applyBorder="1" applyAlignment="1" applyProtection="1">
      <alignment vertical="center" shrinkToFit="1"/>
      <protection hidden="1"/>
    </xf>
    <xf numFmtId="49" fontId="38" fillId="5" borderId="86" xfId="0" applyNumberFormat="1" applyFont="1" applyFill="1" applyBorder="1" applyAlignment="1" applyProtection="1">
      <alignment horizontal="left" vertical="center"/>
      <protection locked="0"/>
    </xf>
    <xf numFmtId="49" fontId="85" fillId="5" borderId="86" xfId="50" applyNumberFormat="1" applyFont="1" applyFill="1" applyBorder="1" applyProtection="1">
      <alignment vertical="center"/>
      <protection locked="0"/>
    </xf>
    <xf numFmtId="0" fontId="38" fillId="0" borderId="102" xfId="0" applyFont="1" applyBorder="1" applyProtection="1">
      <alignment vertical="center"/>
      <protection hidden="1"/>
    </xf>
    <xf numFmtId="0" fontId="38" fillId="0" borderId="99" xfId="0" applyFont="1" applyBorder="1" applyProtection="1">
      <alignment vertical="center"/>
      <protection hidden="1"/>
    </xf>
    <xf numFmtId="0" fontId="38" fillId="0" borderId="95" xfId="0" applyFont="1" applyBorder="1" applyProtection="1">
      <alignment vertical="center"/>
      <protection hidden="1"/>
    </xf>
    <xf numFmtId="0" fontId="34" fillId="0" borderId="1" xfId="0" applyFont="1" applyBorder="1" applyAlignment="1" applyProtection="1">
      <alignment horizontal="center" vertical="center" textRotation="255" shrinkToFit="1"/>
      <protection hidden="1"/>
    </xf>
    <xf numFmtId="0" fontId="30" fillId="0" borderId="102" xfId="0" applyFont="1" applyBorder="1" applyAlignment="1" applyProtection="1">
      <alignment horizontal="center" vertical="center"/>
      <protection hidden="1"/>
    </xf>
    <xf numFmtId="0" fontId="30" fillId="0" borderId="95" xfId="0" applyFont="1" applyBorder="1" applyAlignment="1" applyProtection="1">
      <alignment horizontal="center" vertical="center"/>
      <protection hidden="1"/>
    </xf>
    <xf numFmtId="0" fontId="38" fillId="0" borderId="102" xfId="0" applyFont="1" applyBorder="1" applyAlignment="1" applyProtection="1">
      <alignment horizontal="center" vertical="center" wrapText="1"/>
      <protection hidden="1"/>
    </xf>
    <xf numFmtId="0" fontId="38" fillId="0" borderId="99" xfId="0" applyFont="1" applyBorder="1" applyAlignment="1" applyProtection="1">
      <alignment horizontal="center" vertical="center" wrapText="1"/>
      <protection hidden="1"/>
    </xf>
    <xf numFmtId="0" fontId="38" fillId="0" borderId="95" xfId="0" applyFont="1" applyBorder="1" applyAlignment="1" applyProtection="1">
      <alignment horizontal="center" vertical="center" wrapText="1"/>
      <protection hidden="1"/>
    </xf>
    <xf numFmtId="0" fontId="30" fillId="29" borderId="0" xfId="0" applyFont="1" applyFill="1" applyAlignment="1" applyProtection="1">
      <alignment horizontal="left" vertical="top" wrapText="1" indent="1"/>
      <protection hidden="1"/>
    </xf>
    <xf numFmtId="0" fontId="38" fillId="5" borderId="102" xfId="0" applyFont="1" applyFill="1" applyBorder="1" applyAlignment="1" applyProtection="1">
      <alignment vertical="center" wrapText="1"/>
      <protection locked="0"/>
    </xf>
    <xf numFmtId="0" fontId="38" fillId="5" borderId="99" xfId="0" applyFont="1" applyFill="1" applyBorder="1" applyAlignment="1" applyProtection="1">
      <alignment vertical="center" wrapText="1"/>
      <protection locked="0"/>
    </xf>
    <xf numFmtId="0" fontId="38" fillId="5" borderId="95" xfId="0" applyFont="1" applyFill="1" applyBorder="1" applyAlignment="1" applyProtection="1">
      <alignment vertical="center" wrapText="1"/>
      <protection locked="0"/>
    </xf>
    <xf numFmtId="0" fontId="34" fillId="0" borderId="102" xfId="0" applyFont="1" applyBorder="1" applyAlignment="1" applyProtection="1">
      <alignment vertical="center" wrapText="1"/>
      <protection hidden="1"/>
    </xf>
    <xf numFmtId="0" fontId="34" fillId="0" borderId="99" xfId="0" applyFont="1" applyBorder="1" applyAlignment="1" applyProtection="1">
      <alignment vertical="center" wrapText="1"/>
      <protection hidden="1"/>
    </xf>
    <xf numFmtId="0" fontId="34" fillId="0" borderId="95" xfId="0" applyFont="1" applyBorder="1" applyAlignment="1" applyProtection="1">
      <alignment vertical="center" wrapText="1"/>
      <protection hidden="1"/>
    </xf>
    <xf numFmtId="0" fontId="30" fillId="0" borderId="99" xfId="0" applyFont="1" applyBorder="1" applyAlignment="1" applyProtection="1">
      <alignment horizontal="left" vertical="center"/>
      <protection hidden="1"/>
    </xf>
    <xf numFmtId="0" fontId="30" fillId="0" borderId="95" xfId="0" applyFont="1" applyBorder="1" applyAlignment="1" applyProtection="1">
      <alignment horizontal="left" vertical="center"/>
      <protection hidden="1"/>
    </xf>
    <xf numFmtId="0" fontId="34" fillId="28" borderId="82" xfId="0" applyFont="1" applyFill="1" applyBorder="1" applyAlignment="1" applyProtection="1">
      <alignment horizontal="center" vertical="center" wrapText="1"/>
      <protection hidden="1"/>
    </xf>
    <xf numFmtId="0" fontId="34" fillId="28" borderId="53" xfId="0" applyFont="1" applyFill="1" applyBorder="1" applyAlignment="1" applyProtection="1">
      <alignment horizontal="center" vertical="center" wrapText="1"/>
      <protection hidden="1"/>
    </xf>
    <xf numFmtId="0" fontId="34" fillId="28" borderId="82" xfId="0" applyFont="1" applyFill="1" applyBorder="1" applyAlignment="1" applyProtection="1">
      <alignment horizontal="center" vertical="center"/>
      <protection hidden="1"/>
    </xf>
    <xf numFmtId="0" fontId="34" fillId="28" borderId="53" xfId="0" applyFont="1" applyFill="1" applyBorder="1" applyAlignment="1" applyProtection="1">
      <alignment horizontal="center" vertical="center"/>
      <protection hidden="1"/>
    </xf>
    <xf numFmtId="0" fontId="38" fillId="0" borderId="83" xfId="0" applyFont="1" applyBorder="1" applyAlignment="1" applyProtection="1">
      <alignment horizontal="center" vertical="center"/>
      <protection hidden="1"/>
    </xf>
    <xf numFmtId="0" fontId="38" fillId="0" borderId="100" xfId="0" applyFont="1" applyBorder="1" applyAlignment="1" applyProtection="1">
      <alignment horizontal="center" vertical="center"/>
      <protection hidden="1"/>
    </xf>
    <xf numFmtId="0" fontId="38" fillId="0" borderId="101" xfId="0" applyFont="1" applyBorder="1" applyAlignment="1" applyProtection="1">
      <alignment horizontal="center" vertical="center"/>
      <protection hidden="1"/>
    </xf>
    <xf numFmtId="0" fontId="38" fillId="0" borderId="7" xfId="0" applyFont="1" applyBorder="1" applyAlignment="1" applyProtection="1">
      <alignment horizontal="center" vertical="center"/>
      <protection hidden="1"/>
    </xf>
    <xf numFmtId="0" fontId="38" fillId="0" borderId="36" xfId="0" applyFont="1" applyBorder="1" applyAlignment="1" applyProtection="1">
      <alignment horizontal="center" vertical="center"/>
      <protection hidden="1"/>
    </xf>
    <xf numFmtId="0" fontId="38" fillId="0" borderId="8" xfId="0" applyFont="1" applyBorder="1" applyAlignment="1" applyProtection="1">
      <alignment horizontal="center" vertical="center"/>
      <protection hidden="1"/>
    </xf>
    <xf numFmtId="0" fontId="30" fillId="0" borderId="102" xfId="0" applyFont="1" applyBorder="1" applyAlignment="1" applyProtection="1">
      <alignment horizontal="right" vertical="center"/>
      <protection hidden="1"/>
    </xf>
    <xf numFmtId="0" fontId="30" fillId="0" borderId="99" xfId="0" applyFont="1" applyBorder="1" applyAlignment="1" applyProtection="1">
      <alignment horizontal="right" vertical="center"/>
      <protection hidden="1"/>
    </xf>
    <xf numFmtId="0" fontId="38" fillId="0" borderId="83" xfId="0" applyFont="1" applyBorder="1" applyAlignment="1" applyProtection="1">
      <alignment horizontal="center" vertical="center" wrapText="1"/>
      <protection hidden="1"/>
    </xf>
    <xf numFmtId="0" fontId="38" fillId="0" borderId="101" xfId="0" applyFont="1" applyBorder="1" applyAlignment="1" applyProtection="1">
      <alignment horizontal="center" vertical="center" wrapText="1"/>
      <protection hidden="1"/>
    </xf>
    <xf numFmtId="0" fontId="38" fillId="0" borderId="54" xfId="0" applyFont="1" applyBorder="1" applyAlignment="1" applyProtection="1">
      <alignment horizontal="center" vertical="center" wrapText="1"/>
      <protection hidden="1"/>
    </xf>
    <xf numFmtId="0" fontId="38" fillId="0" borderId="63" xfId="0" applyFont="1" applyBorder="1" applyAlignment="1" applyProtection="1">
      <alignment horizontal="center" vertical="center" wrapText="1"/>
      <protection hidden="1"/>
    </xf>
    <xf numFmtId="0" fontId="38" fillId="0" borderId="7" xfId="0" applyFont="1" applyBorder="1" applyAlignment="1" applyProtection="1">
      <alignment horizontal="center" vertical="center" wrapText="1"/>
      <protection hidden="1"/>
    </xf>
    <xf numFmtId="0" fontId="38" fillId="0" borderId="8" xfId="0" applyFont="1" applyBorder="1" applyAlignment="1" applyProtection="1">
      <alignment horizontal="center" vertical="center" wrapText="1"/>
      <protection hidden="1"/>
    </xf>
    <xf numFmtId="0" fontId="30" fillId="5" borderId="102" xfId="52" applyFont="1" applyFill="1" applyBorder="1" applyAlignment="1" applyProtection="1">
      <alignment vertical="center" wrapText="1"/>
      <protection locked="0"/>
    </xf>
    <xf numFmtId="0" fontId="30" fillId="5" borderId="99" xfId="52" applyFont="1" applyFill="1" applyBorder="1" applyAlignment="1" applyProtection="1">
      <alignment vertical="center" wrapText="1"/>
      <protection locked="0"/>
    </xf>
    <xf numFmtId="0" fontId="30" fillId="5" borderId="95" xfId="52" applyFont="1" applyFill="1" applyBorder="1" applyAlignment="1" applyProtection="1">
      <alignment vertical="center" wrapText="1"/>
      <protection locked="0"/>
    </xf>
    <xf numFmtId="0" fontId="38" fillId="0" borderId="54" xfId="0" applyFont="1" applyBorder="1" applyAlignment="1" applyProtection="1">
      <alignment horizontal="center" vertical="center"/>
      <protection hidden="1"/>
    </xf>
    <xf numFmtId="0" fontId="38" fillId="0" borderId="0" xfId="0" applyFont="1" applyAlignment="1" applyProtection="1">
      <alignment horizontal="center" vertical="center"/>
      <protection hidden="1"/>
    </xf>
    <xf numFmtId="0" fontId="38" fillId="0" borderId="63" xfId="0" applyFont="1" applyBorder="1" applyAlignment="1" applyProtection="1">
      <alignment horizontal="center" vertical="center"/>
      <protection hidden="1"/>
    </xf>
    <xf numFmtId="0" fontId="38" fillId="0" borderId="102" xfId="52" applyFont="1" applyBorder="1" applyAlignment="1" applyProtection="1">
      <alignment horizontal="center" vertical="center" wrapText="1"/>
      <protection hidden="1"/>
    </xf>
    <xf numFmtId="0" fontId="38" fillId="0" borderId="95" xfId="52" applyFont="1" applyBorder="1" applyAlignment="1" applyProtection="1">
      <alignment horizontal="center" vertical="center" wrapText="1"/>
      <protection hidden="1"/>
    </xf>
    <xf numFmtId="194" fontId="38" fillId="0" borderId="83" xfId="0" applyNumberFormat="1" applyFont="1" applyBorder="1" applyAlignment="1" applyProtection="1">
      <alignment horizontal="center" vertical="center"/>
      <protection hidden="1"/>
    </xf>
    <xf numFmtId="194" fontId="38" fillId="0" borderId="101" xfId="0" applyNumberFormat="1" applyFont="1" applyBorder="1" applyAlignment="1" applyProtection="1">
      <alignment horizontal="center" vertical="center"/>
      <protection hidden="1"/>
    </xf>
    <xf numFmtId="194" fontId="38" fillId="0" borderId="54" xfId="0" applyNumberFormat="1" applyFont="1" applyBorder="1" applyAlignment="1" applyProtection="1">
      <alignment horizontal="center" vertical="center"/>
      <protection hidden="1"/>
    </xf>
    <xf numFmtId="194" fontId="38" fillId="0" borderId="63" xfId="0" applyNumberFormat="1" applyFont="1" applyBorder="1" applyAlignment="1" applyProtection="1">
      <alignment horizontal="center" vertical="center"/>
      <protection hidden="1"/>
    </xf>
    <xf numFmtId="194" fontId="38" fillId="0" borderId="7" xfId="0" applyNumberFormat="1" applyFont="1" applyBorder="1" applyAlignment="1" applyProtection="1">
      <alignment horizontal="center" vertical="center"/>
      <protection hidden="1"/>
    </xf>
    <xf numFmtId="194" fontId="38" fillId="0" borderId="8" xfId="0" applyNumberFormat="1" applyFont="1" applyBorder="1" applyAlignment="1" applyProtection="1">
      <alignment horizontal="center" vertical="center"/>
      <protection hidden="1"/>
    </xf>
    <xf numFmtId="0" fontId="34" fillId="28" borderId="83" xfId="0" applyFont="1" applyFill="1" applyBorder="1" applyAlignment="1" applyProtection="1">
      <alignment horizontal="center" vertical="center"/>
      <protection hidden="1"/>
    </xf>
    <xf numFmtId="0" fontId="34" fillId="28" borderId="100" xfId="0" applyFont="1" applyFill="1" applyBorder="1" applyAlignment="1" applyProtection="1">
      <alignment horizontal="center" vertical="center"/>
      <protection hidden="1"/>
    </xf>
    <xf numFmtId="0" fontId="34" fillId="28" borderId="101" xfId="0" applyFont="1" applyFill="1" applyBorder="1" applyAlignment="1" applyProtection="1">
      <alignment horizontal="center" vertical="center"/>
      <protection hidden="1"/>
    </xf>
    <xf numFmtId="0" fontId="34" fillId="28" borderId="7" xfId="0" applyFont="1" applyFill="1" applyBorder="1" applyAlignment="1" applyProtection="1">
      <alignment horizontal="center" vertical="center"/>
      <protection hidden="1"/>
    </xf>
    <xf numFmtId="0" fontId="34" fillId="28" borderId="36" xfId="0" applyFont="1" applyFill="1" applyBorder="1" applyAlignment="1" applyProtection="1">
      <alignment horizontal="center" vertical="center"/>
      <protection hidden="1"/>
    </xf>
    <xf numFmtId="0" fontId="34" fillId="28" borderId="8" xfId="0" applyFont="1" applyFill="1" applyBorder="1" applyAlignment="1" applyProtection="1">
      <alignment horizontal="center" vertical="center"/>
      <protection hidden="1"/>
    </xf>
    <xf numFmtId="0" fontId="38" fillId="5" borderId="102" xfId="52" applyFont="1" applyFill="1" applyBorder="1" applyAlignment="1" applyProtection="1">
      <alignment horizontal="center" vertical="center" wrapText="1"/>
      <protection hidden="1"/>
    </xf>
    <xf numFmtId="0" fontId="38" fillId="5" borderId="99" xfId="52" applyFont="1" applyFill="1" applyBorder="1" applyAlignment="1" applyProtection="1">
      <alignment horizontal="center" vertical="center" wrapText="1"/>
      <protection hidden="1"/>
    </xf>
    <xf numFmtId="0" fontId="38" fillId="5" borderId="95" xfId="52" applyFont="1" applyFill="1" applyBorder="1" applyAlignment="1" applyProtection="1">
      <alignment horizontal="center" vertical="center" wrapText="1"/>
      <protection hidden="1"/>
    </xf>
    <xf numFmtId="0" fontId="38" fillId="0" borderId="102" xfId="0" applyFont="1" applyBorder="1" applyAlignment="1" applyProtection="1">
      <alignment horizontal="center" vertical="center"/>
      <protection hidden="1"/>
    </xf>
    <xf numFmtId="0" fontId="38" fillId="0" borderId="95" xfId="0" applyFont="1" applyBorder="1" applyAlignment="1" applyProtection="1">
      <alignment horizontal="center" vertical="center"/>
      <protection hidden="1"/>
    </xf>
    <xf numFmtId="0" fontId="26" fillId="0" borderId="0" xfId="50" applyAlignment="1" applyProtection="1">
      <alignment horizontal="center" vertical="center"/>
      <protection hidden="1"/>
    </xf>
    <xf numFmtId="0" fontId="30" fillId="0" borderId="102" xfId="0" applyFont="1" applyBorder="1" applyProtection="1">
      <alignment vertical="center"/>
      <protection hidden="1"/>
    </xf>
    <xf numFmtId="0" fontId="30" fillId="0" borderId="99" xfId="0" applyFont="1" applyBorder="1" applyProtection="1">
      <alignment vertical="center"/>
      <protection hidden="1"/>
    </xf>
    <xf numFmtId="0" fontId="30" fillId="0" borderId="95" xfId="0" applyFont="1" applyBorder="1" applyProtection="1">
      <alignment vertical="center"/>
      <protection hidden="1"/>
    </xf>
    <xf numFmtId="0" fontId="30" fillId="0" borderId="86" xfId="0" applyFont="1" applyBorder="1" applyAlignment="1" applyProtection="1">
      <alignment horizontal="right" vertical="center"/>
      <protection hidden="1"/>
    </xf>
    <xf numFmtId="0" fontId="30" fillId="0" borderId="86" xfId="0" applyFont="1" applyBorder="1" applyAlignment="1" applyProtection="1">
      <alignment horizontal="left" vertical="center"/>
      <protection hidden="1"/>
    </xf>
    <xf numFmtId="0" fontId="26" fillId="0" borderId="0" xfId="50" applyAlignment="1" applyProtection="1">
      <alignment vertical="center"/>
      <protection hidden="1"/>
    </xf>
    <xf numFmtId="192" fontId="34" fillId="5" borderId="146" xfId="3" applyNumberFormat="1" applyFont="1" applyFill="1" applyBorder="1" applyAlignment="1" applyProtection="1">
      <alignment vertical="center" shrinkToFit="1"/>
      <protection hidden="1"/>
    </xf>
    <xf numFmtId="192" fontId="34" fillId="5" borderId="153" xfId="3" applyNumberFormat="1" applyFont="1" applyFill="1" applyBorder="1" applyAlignment="1" applyProtection="1">
      <alignment vertical="center" shrinkToFit="1"/>
      <protection hidden="1"/>
    </xf>
    <xf numFmtId="192" fontId="34" fillId="5" borderId="149" xfId="3" applyNumberFormat="1" applyFont="1" applyFill="1" applyBorder="1" applyAlignment="1" applyProtection="1">
      <alignment vertical="center" shrinkToFit="1"/>
      <protection hidden="1"/>
    </xf>
    <xf numFmtId="192" fontId="34" fillId="5" borderId="93" xfId="3" applyNumberFormat="1" applyFont="1" applyFill="1" applyBorder="1" applyAlignment="1" applyProtection="1">
      <alignment vertical="center" shrinkToFit="1"/>
      <protection hidden="1"/>
    </xf>
    <xf numFmtId="192" fontId="34" fillId="5" borderId="148" xfId="3" applyNumberFormat="1" applyFont="1" applyFill="1" applyBorder="1" applyAlignment="1" applyProtection="1">
      <alignment vertical="center" shrinkToFit="1"/>
      <protection hidden="1"/>
    </xf>
    <xf numFmtId="216" fontId="34" fillId="5" borderId="22" xfId="3" applyNumberFormat="1" applyFont="1" applyFill="1" applyBorder="1" applyAlignment="1" applyProtection="1">
      <alignment vertical="center" shrinkToFit="1"/>
      <protection locked="0"/>
    </xf>
    <xf numFmtId="216" fontId="34" fillId="5" borderId="20" xfId="3" applyNumberFormat="1" applyFont="1" applyFill="1" applyBorder="1" applyAlignment="1" applyProtection="1">
      <alignment vertical="center" shrinkToFit="1"/>
      <protection locked="0"/>
    </xf>
    <xf numFmtId="216" fontId="34" fillId="5" borderId="143" xfId="3" applyNumberFormat="1" applyFont="1" applyFill="1" applyBorder="1" applyAlignment="1" applyProtection="1">
      <alignment vertical="center" shrinkToFit="1"/>
      <protection locked="0"/>
    </xf>
    <xf numFmtId="0" fontId="38" fillId="0" borderId="150" xfId="3" applyFont="1" applyBorder="1" applyAlignment="1" applyProtection="1">
      <alignment horizontal="center" vertical="center" wrapText="1"/>
      <protection hidden="1"/>
    </xf>
    <xf numFmtId="0" fontId="38" fillId="0" borderId="151" xfId="3" applyFont="1" applyBorder="1" applyAlignment="1" applyProtection="1">
      <alignment horizontal="center" vertical="center" wrapText="1"/>
      <protection hidden="1"/>
    </xf>
    <xf numFmtId="0" fontId="38" fillId="0" borderId="56" xfId="3" applyFont="1" applyBorder="1" applyAlignment="1" applyProtection="1">
      <alignment horizontal="center" vertical="center"/>
      <protection hidden="1"/>
    </xf>
    <xf numFmtId="0" fontId="0" fillId="0" borderId="114" xfId="0" applyBorder="1" applyAlignment="1">
      <alignment horizontal="center" vertical="center"/>
    </xf>
    <xf numFmtId="190" fontId="38" fillId="0" borderId="56" xfId="3" applyNumberFormat="1" applyFont="1" applyBorder="1" applyAlignment="1" applyProtection="1">
      <alignment horizontal="center" vertical="center"/>
      <protection hidden="1"/>
    </xf>
    <xf numFmtId="176" fontId="38" fillId="0" borderId="97" xfId="3" applyNumberFormat="1" applyFont="1" applyBorder="1" applyAlignment="1" applyProtection="1">
      <alignment horizontal="center" vertical="center"/>
      <protection hidden="1"/>
    </xf>
    <xf numFmtId="176" fontId="38" fillId="0" borderId="87" xfId="3" applyNumberFormat="1" applyFont="1" applyBorder="1" applyAlignment="1" applyProtection="1">
      <alignment horizontal="center" vertical="center"/>
      <protection hidden="1"/>
    </xf>
    <xf numFmtId="176" fontId="38" fillId="0" borderId="56" xfId="3" applyNumberFormat="1" applyFont="1" applyBorder="1" applyAlignment="1" applyProtection="1">
      <alignment horizontal="center" vertical="center"/>
      <protection hidden="1"/>
    </xf>
    <xf numFmtId="194" fontId="38" fillId="0" borderId="100" xfId="0" applyNumberFormat="1" applyFont="1" applyBorder="1" applyAlignment="1" applyProtection="1">
      <alignment horizontal="center" vertical="center"/>
      <protection hidden="1"/>
    </xf>
    <xf numFmtId="194" fontId="38" fillId="0" borderId="36" xfId="0" applyNumberFormat="1" applyFont="1" applyBorder="1" applyAlignment="1" applyProtection="1">
      <alignment horizontal="center" vertical="center"/>
      <protection hidden="1"/>
    </xf>
    <xf numFmtId="0" fontId="38" fillId="0" borderId="55" xfId="0" applyFont="1" applyBorder="1" applyAlignment="1">
      <alignment horizontal="center" vertical="center" wrapText="1"/>
    </xf>
    <xf numFmtId="0" fontId="38" fillId="0" borderId="120" xfId="0" applyFont="1" applyBorder="1" applyAlignment="1">
      <alignment horizontal="center" vertical="center" wrapText="1"/>
    </xf>
    <xf numFmtId="0" fontId="38" fillId="29" borderId="156" xfId="0" applyFont="1" applyFill="1" applyBorder="1" applyAlignment="1" applyProtection="1">
      <alignment horizontal="center" vertical="center"/>
      <protection hidden="1"/>
    </xf>
    <xf numFmtId="0" fontId="38" fillId="29" borderId="95" xfId="0" applyFont="1" applyFill="1" applyBorder="1" applyAlignment="1" applyProtection="1">
      <alignment horizontal="center" vertical="center"/>
      <protection hidden="1"/>
    </xf>
    <xf numFmtId="0" fontId="38" fillId="29" borderId="203" xfId="0" applyFont="1" applyFill="1" applyBorder="1" applyAlignment="1" applyProtection="1">
      <alignment horizontal="center" vertical="center"/>
      <protection hidden="1"/>
    </xf>
    <xf numFmtId="0" fontId="38" fillId="29" borderId="101" xfId="0" applyFont="1" applyFill="1" applyBorder="1" applyAlignment="1" applyProtection="1">
      <alignment horizontal="center" vertical="center"/>
      <protection hidden="1"/>
    </xf>
    <xf numFmtId="0" fontId="38" fillId="0" borderId="118" xfId="0" applyFont="1" applyBorder="1" applyAlignment="1">
      <alignment horizontal="center" vertical="center"/>
    </xf>
    <xf numFmtId="0" fontId="38" fillId="0" borderId="8" xfId="0" applyFont="1" applyBorder="1" applyAlignment="1">
      <alignment horizontal="center" vertical="center"/>
    </xf>
    <xf numFmtId="0" fontId="38" fillId="0" borderId="156" xfId="0" applyFont="1" applyBorder="1" applyAlignment="1">
      <alignment horizontal="center" vertical="center"/>
    </xf>
    <xf numFmtId="0" fontId="38" fillId="0" borderId="95" xfId="0" applyFont="1" applyBorder="1" applyAlignment="1">
      <alignment horizontal="center" vertical="center"/>
    </xf>
    <xf numFmtId="216" fontId="34" fillId="5" borderId="93" xfId="3" applyNumberFormat="1" applyFont="1" applyFill="1" applyBorder="1" applyAlignment="1" applyProtection="1">
      <alignment vertical="center" shrinkToFit="1"/>
      <protection locked="0"/>
    </xf>
    <xf numFmtId="216" fontId="34" fillId="5" borderId="153" xfId="3" applyNumberFormat="1" applyFont="1" applyFill="1" applyBorder="1" applyAlignment="1" applyProtection="1">
      <alignment vertical="center" shrinkToFit="1"/>
      <protection locked="0"/>
    </xf>
    <xf numFmtId="0" fontId="34" fillId="0" borderId="11" xfId="3" applyFont="1" applyBorder="1" applyAlignment="1" applyProtection="1">
      <alignment horizontal="center" vertical="center"/>
      <protection hidden="1"/>
    </xf>
    <xf numFmtId="0" fontId="34" fillId="0" borderId="129" xfId="3" applyFont="1" applyBorder="1" applyAlignment="1" applyProtection="1">
      <alignment horizontal="center" vertical="center"/>
      <protection hidden="1"/>
    </xf>
    <xf numFmtId="3" fontId="38" fillId="5" borderId="159" xfId="52" applyNumberFormat="1" applyFont="1" applyFill="1" applyBorder="1" applyAlignment="1" applyProtection="1">
      <alignment horizontal="center" vertical="center"/>
      <protection locked="0"/>
    </xf>
    <xf numFmtId="3" fontId="38" fillId="5" borderId="110" xfId="52" applyNumberFormat="1" applyFont="1" applyFill="1" applyBorder="1" applyAlignment="1" applyProtection="1">
      <alignment horizontal="center" vertical="center"/>
      <protection locked="0"/>
    </xf>
    <xf numFmtId="3" fontId="38" fillId="5" borderId="160" xfId="52" applyNumberFormat="1" applyFont="1" applyFill="1" applyBorder="1" applyAlignment="1" applyProtection="1">
      <alignment horizontal="center" vertical="center"/>
      <protection locked="0"/>
    </xf>
    <xf numFmtId="0" fontId="38" fillId="5" borderId="102" xfId="54" applyNumberFormat="1" applyFont="1" applyFill="1" applyBorder="1" applyAlignment="1" applyProtection="1">
      <alignment horizontal="center" vertical="center"/>
      <protection locked="0"/>
    </xf>
    <xf numFmtId="0" fontId="38" fillId="5" borderId="99" xfId="54" applyNumberFormat="1" applyFont="1" applyFill="1" applyBorder="1" applyAlignment="1" applyProtection="1">
      <alignment horizontal="center" vertical="center"/>
      <protection locked="0"/>
    </xf>
    <xf numFmtId="0" fontId="38" fillId="5" borderId="131" xfId="54" applyNumberFormat="1" applyFont="1" applyFill="1" applyBorder="1" applyAlignment="1" applyProtection="1">
      <alignment horizontal="center" vertical="center"/>
      <protection locked="0"/>
    </xf>
    <xf numFmtId="0" fontId="38" fillId="5" borderId="102" xfId="52" applyFont="1" applyFill="1" applyBorder="1" applyAlignment="1" applyProtection="1">
      <alignment horizontal="center" vertical="center"/>
      <protection locked="0"/>
    </xf>
    <xf numFmtId="0" fontId="38" fillId="5" borderId="99" xfId="52" applyFont="1" applyFill="1" applyBorder="1" applyAlignment="1" applyProtection="1">
      <alignment horizontal="center" vertical="center"/>
      <protection locked="0"/>
    </xf>
    <xf numFmtId="0" fontId="38" fillId="5" borderId="131" xfId="52" applyFont="1" applyFill="1" applyBorder="1" applyAlignment="1" applyProtection="1">
      <alignment horizontal="center" vertical="center"/>
      <protection locked="0"/>
    </xf>
    <xf numFmtId="0" fontId="38" fillId="29" borderId="65" xfId="0" applyFont="1" applyFill="1" applyBorder="1" applyAlignment="1" applyProtection="1">
      <alignment horizontal="center" vertical="center"/>
      <protection hidden="1"/>
    </xf>
    <xf numFmtId="0" fontId="38" fillId="29" borderId="66" xfId="0" applyFont="1" applyFill="1" applyBorder="1" applyAlignment="1" applyProtection="1">
      <alignment horizontal="center" vertical="center"/>
      <protection hidden="1"/>
    </xf>
    <xf numFmtId="213" fontId="38" fillId="29" borderId="67" xfId="0" applyNumberFormat="1" applyFont="1" applyFill="1" applyBorder="1" applyAlignment="1" applyProtection="1">
      <alignment horizontal="center" vertical="center"/>
      <protection hidden="1"/>
    </xf>
    <xf numFmtId="213" fontId="38" fillId="29" borderId="108" xfId="0" applyNumberFormat="1" applyFont="1" applyFill="1" applyBorder="1" applyAlignment="1" applyProtection="1">
      <alignment horizontal="center" vertical="center"/>
      <protection hidden="1"/>
    </xf>
    <xf numFmtId="192" fontId="34" fillId="5" borderId="52" xfId="3" applyNumberFormat="1" applyFont="1" applyFill="1" applyBorder="1" applyAlignment="1" applyProtection="1">
      <alignment vertical="center" shrinkToFit="1"/>
      <protection hidden="1"/>
    </xf>
    <xf numFmtId="192" fontId="34" fillId="5" borderId="28" xfId="3" applyNumberFormat="1" applyFont="1" applyFill="1" applyBorder="1" applyAlignment="1" applyProtection="1">
      <alignment vertical="center" shrinkToFit="1"/>
      <protection hidden="1"/>
    </xf>
    <xf numFmtId="192" fontId="34" fillId="5" borderId="29" xfId="3" applyNumberFormat="1" applyFont="1" applyFill="1" applyBorder="1" applyAlignment="1" applyProtection="1">
      <alignment vertical="center" shrinkToFit="1"/>
      <protection hidden="1"/>
    </xf>
    <xf numFmtId="216" fontId="34" fillId="5" borderId="148" xfId="3" applyNumberFormat="1" applyFont="1" applyFill="1" applyBorder="1" applyAlignment="1" applyProtection="1">
      <alignment vertical="center" shrinkToFit="1"/>
      <protection locked="0"/>
    </xf>
    <xf numFmtId="0" fontId="34" fillId="5" borderId="146" xfId="3" applyFont="1" applyFill="1" applyBorder="1" applyProtection="1">
      <alignment vertical="center"/>
      <protection locked="0"/>
    </xf>
    <xf numFmtId="0" fontId="34" fillId="5" borderId="149" xfId="3" applyFont="1" applyFill="1" applyBorder="1" applyProtection="1">
      <alignment vertical="center"/>
      <protection locked="0"/>
    </xf>
    <xf numFmtId="0" fontId="34" fillId="5" borderId="52" xfId="3" applyFont="1" applyFill="1" applyBorder="1" applyProtection="1">
      <alignment vertical="center"/>
      <protection locked="0"/>
    </xf>
    <xf numFmtId="0" fontId="34" fillId="5" borderId="29" xfId="3" applyFont="1" applyFill="1" applyBorder="1" applyProtection="1">
      <alignment vertical="center"/>
      <protection locked="0"/>
    </xf>
    <xf numFmtId="0" fontId="69" fillId="29" borderId="0" xfId="50" applyFont="1" applyFill="1" applyAlignment="1" applyProtection="1">
      <alignment vertical="center"/>
      <protection locked="0" hidden="1"/>
    </xf>
    <xf numFmtId="0" fontId="34" fillId="0" borderId="104" xfId="3" applyFont="1" applyBorder="1" applyAlignment="1" applyProtection="1">
      <alignment horizontal="center" vertical="center" wrapText="1"/>
      <protection hidden="1"/>
    </xf>
    <xf numFmtId="0" fontId="34" fillId="0" borderId="9" xfId="3" applyFont="1" applyBorder="1" applyAlignment="1" applyProtection="1">
      <alignment horizontal="center" vertical="center" wrapText="1"/>
      <protection hidden="1"/>
    </xf>
    <xf numFmtId="0" fontId="34" fillId="0" borderId="10" xfId="3" applyFont="1" applyBorder="1" applyAlignment="1" applyProtection="1">
      <alignment horizontal="center" vertical="center" wrapText="1"/>
      <protection hidden="1"/>
    </xf>
    <xf numFmtId="0" fontId="34" fillId="5" borderId="132" xfId="3" applyFont="1" applyFill="1" applyBorder="1" applyProtection="1">
      <alignment vertical="center"/>
      <protection locked="0"/>
    </xf>
    <xf numFmtId="0" fontId="34" fillId="5" borderId="21" xfId="3" applyFont="1" applyFill="1" applyBorder="1" applyProtection="1">
      <alignment vertical="center"/>
      <protection locked="0"/>
    </xf>
    <xf numFmtId="216" fontId="34" fillId="5" borderId="30" xfId="3" applyNumberFormat="1" applyFont="1" applyFill="1" applyBorder="1" applyAlignment="1" applyProtection="1">
      <alignment vertical="center" shrinkToFit="1"/>
      <protection locked="0"/>
    </xf>
    <xf numFmtId="216" fontId="34" fillId="5" borderId="28" xfId="3" applyNumberFormat="1" applyFont="1" applyFill="1" applyBorder="1" applyAlignment="1" applyProtection="1">
      <alignment vertical="center" shrinkToFit="1"/>
      <protection locked="0"/>
    </xf>
    <xf numFmtId="216" fontId="34" fillId="5" borderId="105" xfId="3" applyNumberFormat="1" applyFont="1" applyFill="1" applyBorder="1" applyAlignment="1" applyProtection="1">
      <alignment vertical="center" shrinkToFit="1"/>
      <protection locked="0"/>
    </xf>
    <xf numFmtId="0" fontId="38" fillId="0" borderId="14" xfId="3" applyFont="1" applyBorder="1" applyAlignment="1" applyProtection="1">
      <alignment horizontal="center" vertical="center"/>
      <protection hidden="1"/>
    </xf>
    <xf numFmtId="0" fontId="38" fillId="0" borderId="96" xfId="3" applyFont="1" applyBorder="1" applyAlignment="1" applyProtection="1">
      <alignment horizontal="center" vertical="center"/>
      <protection hidden="1"/>
    </xf>
    <xf numFmtId="0" fontId="38" fillId="0" borderId="117" xfId="3" applyFont="1" applyBorder="1" applyAlignment="1" applyProtection="1">
      <alignment horizontal="center" vertical="center"/>
      <protection hidden="1"/>
    </xf>
    <xf numFmtId="0" fontId="38" fillId="0" borderId="118" xfId="3" applyFont="1" applyBorder="1" applyAlignment="1" applyProtection="1">
      <alignment horizontal="center" vertical="center"/>
      <protection hidden="1"/>
    </xf>
    <xf numFmtId="0" fontId="38" fillId="0" borderId="36" xfId="3" applyFont="1" applyBorder="1" applyAlignment="1" applyProtection="1">
      <alignment horizontal="center" vertical="center"/>
      <protection hidden="1"/>
    </xf>
    <xf numFmtId="0" fontId="38" fillId="0" borderId="8" xfId="3" applyFont="1" applyBorder="1" applyAlignment="1" applyProtection="1">
      <alignment horizontal="center" vertical="center"/>
      <protection hidden="1"/>
    </xf>
    <xf numFmtId="192" fontId="34" fillId="5" borderId="30" xfId="3" applyNumberFormat="1" applyFont="1" applyFill="1" applyBorder="1" applyAlignment="1" applyProtection="1">
      <alignment vertical="center" shrinkToFit="1"/>
      <protection hidden="1"/>
    </xf>
    <xf numFmtId="192" fontId="34" fillId="5" borderId="105" xfId="3" applyNumberFormat="1" applyFont="1" applyFill="1" applyBorder="1" applyAlignment="1" applyProtection="1">
      <alignment vertical="center" shrinkToFit="1"/>
      <protection hidden="1"/>
    </xf>
    <xf numFmtId="192" fontId="34" fillId="5" borderId="132" xfId="3" applyNumberFormat="1" applyFont="1" applyFill="1" applyBorder="1" applyAlignment="1" applyProtection="1">
      <alignment vertical="center" shrinkToFit="1"/>
      <protection hidden="1"/>
    </xf>
    <xf numFmtId="192" fontId="34" fillId="5" borderId="20" xfId="3" applyNumberFormat="1" applyFont="1" applyFill="1" applyBorder="1" applyAlignment="1" applyProtection="1">
      <alignment vertical="center" shrinkToFit="1"/>
      <protection hidden="1"/>
    </xf>
    <xf numFmtId="192" fontId="34" fillId="5" borderId="21" xfId="3" applyNumberFormat="1" applyFont="1" applyFill="1" applyBorder="1" applyAlignment="1" applyProtection="1">
      <alignment vertical="center" shrinkToFit="1"/>
      <protection hidden="1"/>
    </xf>
    <xf numFmtId="217" fontId="34" fillId="5" borderId="102" xfId="52" applyNumberFormat="1" applyFont="1" applyFill="1" applyBorder="1" applyProtection="1">
      <alignment vertical="center"/>
      <protection locked="0"/>
    </xf>
    <xf numFmtId="217" fontId="34" fillId="5" borderId="131" xfId="52" applyNumberFormat="1" applyFont="1" applyFill="1" applyBorder="1" applyProtection="1">
      <alignment vertical="center"/>
      <protection locked="0"/>
    </xf>
    <xf numFmtId="0" fontId="38" fillId="5" borderId="172" xfId="0" applyFont="1" applyFill="1" applyBorder="1" applyProtection="1">
      <alignment vertical="center"/>
      <protection locked="0"/>
    </xf>
    <xf numFmtId="0" fontId="38" fillId="5" borderId="185" xfId="0" applyFont="1" applyFill="1" applyBorder="1" applyProtection="1">
      <alignment vertical="center"/>
      <protection locked="0"/>
    </xf>
    <xf numFmtId="0" fontId="34" fillId="29" borderId="132" xfId="3" applyFont="1" applyFill="1" applyBorder="1" applyProtection="1">
      <alignment vertical="center"/>
      <protection hidden="1"/>
    </xf>
    <xf numFmtId="0" fontId="34" fillId="29" borderId="20" xfId="3" applyFont="1" applyFill="1" applyBorder="1" applyProtection="1">
      <alignment vertical="center"/>
      <protection hidden="1"/>
    </xf>
    <xf numFmtId="0" fontId="34" fillId="29" borderId="21" xfId="3" applyFont="1" applyFill="1" applyBorder="1" applyProtection="1">
      <alignment vertical="center"/>
      <protection hidden="1"/>
    </xf>
    <xf numFmtId="0" fontId="34" fillId="29" borderId="52" xfId="3" applyFont="1" applyFill="1" applyBorder="1" applyProtection="1">
      <alignment vertical="center"/>
      <protection hidden="1"/>
    </xf>
    <xf numFmtId="0" fontId="34" fillId="29" borderId="28" xfId="3" applyFont="1" applyFill="1" applyBorder="1" applyProtection="1">
      <alignment vertical="center"/>
      <protection hidden="1"/>
    </xf>
    <xf numFmtId="0" fontId="34" fillId="29" borderId="29" xfId="3" applyFont="1" applyFill="1" applyBorder="1" applyProtection="1">
      <alignment vertical="center"/>
      <protection hidden="1"/>
    </xf>
    <xf numFmtId="0" fontId="34" fillId="0" borderId="17" xfId="3" applyFont="1" applyBorder="1" applyProtection="1">
      <alignment vertical="center"/>
      <protection hidden="1"/>
    </xf>
    <xf numFmtId="0" fontId="34" fillId="0" borderId="172" xfId="3" applyFont="1" applyBorder="1" applyProtection="1">
      <alignment vertical="center"/>
      <protection hidden="1"/>
    </xf>
    <xf numFmtId="218" fontId="34" fillId="5" borderId="159" xfId="52" applyNumberFormat="1" applyFont="1" applyFill="1" applyBorder="1" applyProtection="1">
      <alignment vertical="center"/>
      <protection locked="0"/>
    </xf>
    <xf numFmtId="218" fontId="34" fillId="5" borderId="158" xfId="52" applyNumberFormat="1" applyFont="1" applyFill="1" applyBorder="1" applyProtection="1">
      <alignment vertical="center"/>
      <protection locked="0"/>
    </xf>
    <xf numFmtId="218" fontId="34" fillId="5" borderId="102" xfId="52" applyNumberFormat="1" applyFont="1" applyFill="1" applyBorder="1" applyProtection="1">
      <alignment vertical="center"/>
      <protection locked="0"/>
    </xf>
    <xf numFmtId="218" fontId="34" fillId="5" borderId="95" xfId="52" applyNumberFormat="1" applyFont="1" applyFill="1" applyBorder="1" applyProtection="1">
      <alignment vertical="center"/>
      <protection locked="0"/>
    </xf>
    <xf numFmtId="0" fontId="30" fillId="0" borderId="0" xfId="0" applyFont="1" applyAlignment="1" applyProtection="1">
      <alignment horizontal="center" vertical="center"/>
      <protection hidden="1"/>
    </xf>
    <xf numFmtId="217" fontId="34" fillId="5" borderId="159" xfId="52" applyNumberFormat="1" applyFont="1" applyFill="1" applyBorder="1" applyProtection="1">
      <alignment vertical="center"/>
      <protection locked="0"/>
    </xf>
    <xf numFmtId="217" fontId="34" fillId="5" borderId="160" xfId="52" applyNumberFormat="1" applyFont="1" applyFill="1" applyBorder="1" applyProtection="1">
      <alignment vertical="center"/>
      <protection locked="0"/>
    </xf>
    <xf numFmtId="192" fontId="34" fillId="5" borderId="22" xfId="3" applyNumberFormat="1" applyFont="1" applyFill="1" applyBorder="1" applyAlignment="1" applyProtection="1">
      <alignment vertical="center" shrinkToFit="1"/>
      <protection hidden="1"/>
    </xf>
    <xf numFmtId="192" fontId="34" fillId="5" borderId="143" xfId="3" applyNumberFormat="1" applyFont="1" applyFill="1" applyBorder="1" applyAlignment="1" applyProtection="1">
      <alignment vertical="center" shrinkToFit="1"/>
      <protection hidden="1"/>
    </xf>
    <xf numFmtId="0" fontId="69" fillId="0" borderId="0" xfId="50" applyFont="1" applyAlignment="1" applyProtection="1">
      <alignment horizontal="left" vertical="center" indent="2"/>
      <protection locked="0" hidden="1"/>
    </xf>
    <xf numFmtId="213" fontId="38" fillId="5" borderId="102" xfId="0" applyNumberFormat="1" applyFont="1" applyFill="1" applyBorder="1" applyAlignment="1" applyProtection="1">
      <alignment horizontal="center" vertical="center"/>
      <protection locked="0"/>
    </xf>
    <xf numFmtId="213" fontId="38" fillId="5" borderId="131" xfId="0" applyNumberFormat="1" applyFont="1" applyFill="1" applyBorder="1" applyAlignment="1" applyProtection="1">
      <alignment horizontal="center" vertical="center"/>
      <protection locked="0"/>
    </xf>
    <xf numFmtId="213" fontId="38" fillId="5" borderId="83" xfId="0" applyNumberFormat="1" applyFont="1" applyFill="1" applyBorder="1" applyAlignment="1" applyProtection="1">
      <alignment horizontal="center" vertical="center"/>
      <protection locked="0"/>
    </xf>
    <xf numFmtId="213" fontId="38" fillId="5" borderId="204" xfId="0" applyNumberFormat="1" applyFont="1" applyFill="1" applyBorder="1" applyAlignment="1" applyProtection="1">
      <alignment horizontal="center" vertical="center"/>
      <protection locked="0"/>
    </xf>
    <xf numFmtId="213" fontId="38" fillId="5" borderId="7" xfId="0" applyNumberFormat="1" applyFont="1" applyFill="1" applyBorder="1" applyAlignment="1" applyProtection="1">
      <alignment horizontal="center" vertical="center"/>
      <protection locked="0"/>
    </xf>
    <xf numFmtId="213" fontId="38" fillId="5" borderId="192" xfId="0" applyNumberFormat="1" applyFont="1" applyFill="1" applyBorder="1" applyAlignment="1" applyProtection="1">
      <alignment horizontal="center" vertical="center"/>
      <protection locked="0"/>
    </xf>
    <xf numFmtId="0" fontId="38" fillId="0" borderId="14" xfId="0" applyFont="1" applyBorder="1" applyAlignment="1">
      <alignment horizontal="center" vertical="center" wrapText="1"/>
    </xf>
    <xf numFmtId="0" fontId="38" fillId="0" borderId="96" xfId="0" applyFont="1" applyBorder="1" applyAlignment="1">
      <alignment horizontal="center" vertical="center" wrapText="1"/>
    </xf>
    <xf numFmtId="0" fontId="38" fillId="0" borderId="118" xfId="0" applyFont="1" applyBorder="1" applyAlignment="1">
      <alignment horizontal="center" vertical="center" wrapText="1"/>
    </xf>
    <xf numFmtId="0" fontId="38" fillId="0" borderId="36"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192" xfId="0" applyFont="1" applyBorder="1" applyAlignment="1">
      <alignment horizontal="center" vertical="center" wrapText="1"/>
    </xf>
    <xf numFmtId="0" fontId="38" fillId="38" borderId="102" xfId="0" applyFont="1" applyFill="1" applyBorder="1" applyAlignment="1" applyProtection="1">
      <alignment horizontal="left" vertical="center" wrapText="1"/>
      <protection locked="0"/>
    </xf>
    <xf numFmtId="0" fontId="38" fillId="38" borderId="99" xfId="0" applyFont="1" applyFill="1" applyBorder="1" applyAlignment="1" applyProtection="1">
      <alignment horizontal="left" vertical="center" wrapText="1"/>
      <protection locked="0"/>
    </xf>
    <xf numFmtId="0" fontId="38" fillId="38" borderId="95" xfId="0" applyFont="1" applyFill="1" applyBorder="1" applyAlignment="1" applyProtection="1">
      <alignment horizontal="left" vertical="center" wrapText="1"/>
      <protection locked="0"/>
    </xf>
    <xf numFmtId="0" fontId="34" fillId="33" borderId="102" xfId="0" applyFont="1" applyFill="1" applyBorder="1" applyAlignment="1" applyProtection="1">
      <alignment vertical="center" wrapText="1"/>
      <protection hidden="1"/>
    </xf>
    <xf numFmtId="0" fontId="34" fillId="33" borderId="99" xfId="0" applyFont="1" applyFill="1" applyBorder="1" applyAlignment="1" applyProtection="1">
      <alignment vertical="center" wrapText="1"/>
      <protection hidden="1"/>
    </xf>
    <xf numFmtId="0" fontId="34" fillId="33" borderId="95" xfId="0" applyFont="1" applyFill="1" applyBorder="1" applyAlignment="1" applyProtection="1">
      <alignment vertical="center" wrapText="1"/>
      <protection hidden="1"/>
    </xf>
    <xf numFmtId="0" fontId="38" fillId="29" borderId="0" xfId="0" applyFont="1" applyFill="1" applyAlignment="1" applyProtection="1">
      <alignment vertical="center" wrapText="1"/>
      <protection hidden="1"/>
    </xf>
    <xf numFmtId="0" fontId="38" fillId="0" borderId="99" xfId="0" applyFont="1" applyBorder="1" applyAlignment="1" applyProtection="1">
      <alignment horizontal="center" vertical="center"/>
      <protection hidden="1"/>
    </xf>
    <xf numFmtId="0" fontId="38" fillId="0" borderId="82" xfId="0" applyFont="1" applyBorder="1" applyAlignment="1" applyProtection="1">
      <alignment horizontal="center" vertical="center"/>
      <protection hidden="1"/>
    </xf>
    <xf numFmtId="0" fontId="38" fillId="0" borderId="53" xfId="0" applyFont="1" applyBorder="1" applyAlignment="1" applyProtection="1">
      <alignment horizontal="center" vertical="center"/>
      <protection hidden="1"/>
    </xf>
    <xf numFmtId="0" fontId="35" fillId="0" borderId="16"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192"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96" xfId="0" applyFont="1" applyBorder="1" applyAlignment="1">
      <alignment horizontal="center" vertical="center" wrapText="1"/>
    </xf>
    <xf numFmtId="0" fontId="35" fillId="0" borderId="118" xfId="0" applyFont="1" applyBorder="1" applyAlignment="1">
      <alignment horizontal="center" vertical="center" wrapText="1"/>
    </xf>
    <xf numFmtId="0" fontId="35" fillId="0" borderId="36" xfId="0" applyFont="1" applyBorder="1" applyAlignment="1">
      <alignment horizontal="center" vertical="center" wrapText="1"/>
    </xf>
    <xf numFmtId="176" fontId="38" fillId="0" borderId="114" xfId="3" applyNumberFormat="1" applyFont="1" applyBorder="1" applyAlignment="1" applyProtection="1">
      <alignment horizontal="center" vertical="center"/>
      <protection hidden="1"/>
    </xf>
    <xf numFmtId="0" fontId="38" fillId="0" borderId="114" xfId="3" applyFont="1" applyBorder="1" applyAlignment="1" applyProtection="1">
      <alignment horizontal="center" vertical="center"/>
      <protection hidden="1"/>
    </xf>
    <xf numFmtId="190" fontId="38" fillId="0" borderId="114" xfId="3" applyNumberFormat="1" applyFont="1" applyBorder="1" applyAlignment="1" applyProtection="1">
      <alignment horizontal="center" vertical="center"/>
      <protection hidden="1"/>
    </xf>
    <xf numFmtId="0" fontId="38" fillId="0" borderId="2" xfId="0" applyFont="1" applyBorder="1" applyAlignment="1" applyProtection="1">
      <alignment horizontal="center" vertical="center"/>
      <protection hidden="1"/>
    </xf>
    <xf numFmtId="0" fontId="38" fillId="0" borderId="4" xfId="0" applyFont="1" applyBorder="1" applyAlignment="1" applyProtection="1">
      <alignment horizontal="center" vertical="center"/>
      <protection hidden="1"/>
    </xf>
    <xf numFmtId="0" fontId="38" fillId="5" borderId="54" xfId="52" applyFont="1" applyFill="1" applyBorder="1" applyAlignment="1" applyProtection="1">
      <alignment horizontal="center" vertical="center" wrapText="1"/>
      <protection hidden="1"/>
    </xf>
    <xf numFmtId="0" fontId="38" fillId="5" borderId="0" xfId="52" applyFont="1" applyFill="1" applyAlignment="1" applyProtection="1">
      <alignment horizontal="center" vertical="center" wrapText="1"/>
      <protection hidden="1"/>
    </xf>
    <xf numFmtId="0" fontId="38" fillId="5" borderId="63" xfId="52" applyFont="1" applyFill="1" applyBorder="1" applyAlignment="1" applyProtection="1">
      <alignment horizontal="center" vertical="center" wrapText="1"/>
      <protection hidden="1"/>
    </xf>
    <xf numFmtId="0" fontId="38" fillId="0" borderId="102" xfId="54" applyNumberFormat="1" applyFont="1" applyFill="1" applyBorder="1" applyAlignment="1" applyProtection="1">
      <alignment horizontal="center" vertical="center"/>
      <protection hidden="1"/>
    </xf>
    <xf numFmtId="0" fontId="38" fillId="0" borderId="99" xfId="54" applyNumberFormat="1" applyFont="1" applyFill="1" applyBorder="1" applyAlignment="1" applyProtection="1">
      <alignment horizontal="center" vertical="center"/>
      <protection hidden="1"/>
    </xf>
    <xf numFmtId="0" fontId="38" fillId="0" borderId="131" xfId="54" applyNumberFormat="1" applyFont="1" applyFill="1" applyBorder="1" applyAlignment="1" applyProtection="1">
      <alignment horizontal="center" vertical="center"/>
      <protection hidden="1"/>
    </xf>
    <xf numFmtId="0" fontId="38" fillId="0" borderId="102" xfId="52" applyFont="1" applyBorder="1" applyAlignment="1" applyProtection="1">
      <alignment horizontal="center" vertical="center"/>
      <protection hidden="1"/>
    </xf>
    <xf numFmtId="0" fontId="38" fillId="0" borderId="99" xfId="52" applyFont="1" applyBorder="1" applyAlignment="1" applyProtection="1">
      <alignment horizontal="center" vertical="center"/>
      <protection hidden="1"/>
    </xf>
    <xf numFmtId="0" fontId="38" fillId="0" borderId="131" xfId="52" applyFont="1" applyBorder="1" applyAlignment="1" applyProtection="1">
      <alignment horizontal="center" vertical="center"/>
      <protection hidden="1"/>
    </xf>
    <xf numFmtId="0" fontId="0" fillId="29" borderId="0" xfId="0" applyFill="1" applyAlignment="1" applyProtection="1">
      <alignment horizontal="center" vertical="center"/>
      <protection hidden="1"/>
    </xf>
    <xf numFmtId="0" fontId="38" fillId="29" borderId="0" xfId="52" applyFont="1" applyFill="1" applyAlignment="1" applyProtection="1">
      <alignment horizontal="center" vertical="center"/>
      <protection hidden="1"/>
    </xf>
    <xf numFmtId="49" fontId="38" fillId="5" borderId="102" xfId="52" applyNumberFormat="1" applyFont="1" applyFill="1" applyBorder="1" applyAlignment="1" applyProtection="1">
      <alignment vertical="center" wrapText="1"/>
      <protection locked="0"/>
    </xf>
    <xf numFmtId="49" fontId="38" fillId="5" borderId="99" xfId="52" applyNumberFormat="1" applyFont="1" applyFill="1" applyBorder="1" applyAlignment="1" applyProtection="1">
      <alignment vertical="center" wrapText="1"/>
      <protection locked="0"/>
    </xf>
    <xf numFmtId="49" fontId="38" fillId="5" borderId="95" xfId="52" applyNumberFormat="1" applyFont="1" applyFill="1" applyBorder="1" applyAlignment="1" applyProtection="1">
      <alignment vertical="center" wrapText="1"/>
      <protection locked="0"/>
    </xf>
    <xf numFmtId="0" fontId="26" fillId="29" borderId="0" xfId="50" applyFill="1" applyAlignment="1" applyProtection="1">
      <alignment vertical="center"/>
      <protection hidden="1"/>
    </xf>
    <xf numFmtId="0" fontId="38" fillId="5" borderId="102" xfId="52" applyFont="1" applyFill="1" applyBorder="1" applyAlignment="1" applyProtection="1">
      <alignment horizontal="center" vertical="center" wrapText="1"/>
      <protection locked="0"/>
    </xf>
    <xf numFmtId="0" fontId="38" fillId="5" borderId="99" xfId="52" applyFont="1" applyFill="1" applyBorder="1" applyAlignment="1" applyProtection="1">
      <alignment horizontal="center" vertical="center" wrapText="1"/>
      <protection locked="0"/>
    </xf>
    <xf numFmtId="0" fontId="38" fillId="5" borderId="95" xfId="52" applyFont="1" applyFill="1" applyBorder="1" applyAlignment="1" applyProtection="1">
      <alignment horizontal="center" vertical="center" wrapText="1"/>
      <protection locked="0"/>
    </xf>
    <xf numFmtId="0" fontId="35" fillId="0" borderId="55" xfId="0" applyFont="1" applyBorder="1" applyAlignment="1">
      <alignment horizontal="center" vertical="center" wrapText="1"/>
    </xf>
    <xf numFmtId="0" fontId="35" fillId="0" borderId="120" xfId="0" applyFont="1" applyBorder="1" applyAlignment="1">
      <alignment horizontal="center" vertical="center" wrapText="1"/>
    </xf>
    <xf numFmtId="0" fontId="30" fillId="29" borderId="0" xfId="0" applyFont="1" applyFill="1" applyAlignment="1" applyProtection="1">
      <alignment horizontal="left" vertical="center"/>
      <protection hidden="1"/>
    </xf>
    <xf numFmtId="0" fontId="26" fillId="29" borderId="0" xfId="50" applyFill="1" applyAlignment="1" applyProtection="1">
      <alignment horizontal="center" vertical="center"/>
      <protection hidden="1"/>
    </xf>
    <xf numFmtId="0" fontId="38" fillId="5" borderId="83" xfId="52" applyFont="1" applyFill="1" applyBorder="1" applyAlignment="1" applyProtection="1">
      <alignment horizontal="center" vertical="center" wrapText="1"/>
      <protection hidden="1"/>
    </xf>
    <xf numFmtId="0" fontId="38" fillId="5" borderId="100" xfId="52" applyFont="1" applyFill="1" applyBorder="1" applyAlignment="1" applyProtection="1">
      <alignment horizontal="center" vertical="center" wrapText="1"/>
      <protection hidden="1"/>
    </xf>
    <xf numFmtId="0" fontId="38" fillId="5" borderId="101" xfId="52" applyFont="1" applyFill="1" applyBorder="1" applyAlignment="1" applyProtection="1">
      <alignment horizontal="center" vertical="center" wrapText="1"/>
      <protection hidden="1"/>
    </xf>
    <xf numFmtId="0" fontId="82" fillId="44" borderId="140" xfId="0" applyFont="1" applyFill="1" applyBorder="1" applyAlignment="1" applyProtection="1">
      <alignment horizontal="center" vertical="center" wrapText="1"/>
      <protection hidden="1"/>
    </xf>
    <xf numFmtId="0" fontId="82" fillId="44" borderId="177" xfId="0" applyFont="1" applyFill="1" applyBorder="1" applyAlignment="1" applyProtection="1">
      <alignment horizontal="center" vertical="center" wrapText="1"/>
      <protection hidden="1"/>
    </xf>
    <xf numFmtId="221" fontId="38" fillId="0" borderId="141" xfId="52" applyNumberFormat="1" applyFont="1" applyBorder="1" applyAlignment="1" applyProtection="1">
      <alignment horizontal="center" vertical="center"/>
      <protection hidden="1"/>
    </xf>
    <xf numFmtId="221" fontId="38" fillId="0" borderId="120" xfId="52" applyNumberFormat="1" applyFont="1" applyBorder="1" applyAlignment="1" applyProtection="1">
      <alignment horizontal="center" vertical="center"/>
      <protection hidden="1"/>
    </xf>
    <xf numFmtId="0" fontId="82" fillId="44" borderId="138" xfId="0" applyFont="1" applyFill="1" applyBorder="1" applyAlignment="1" applyProtection="1">
      <alignment horizontal="center" vertical="center" wrapText="1"/>
      <protection hidden="1"/>
    </xf>
    <xf numFmtId="0" fontId="82" fillId="44" borderId="139" xfId="0" applyFont="1" applyFill="1" applyBorder="1" applyAlignment="1" applyProtection="1">
      <alignment horizontal="center" vertical="center" wrapText="1"/>
      <protection hidden="1"/>
    </xf>
    <xf numFmtId="0" fontId="82" fillId="44" borderId="175" xfId="0" applyFont="1" applyFill="1" applyBorder="1" applyAlignment="1" applyProtection="1">
      <alignment horizontal="center" vertical="center" wrapText="1"/>
      <protection hidden="1"/>
    </xf>
    <xf numFmtId="0" fontId="82" fillId="44" borderId="176" xfId="0" applyFont="1" applyFill="1" applyBorder="1" applyAlignment="1" applyProtection="1">
      <alignment horizontal="center" vertical="center" wrapText="1"/>
      <protection hidden="1"/>
    </xf>
    <xf numFmtId="0" fontId="82" fillId="44" borderId="179" xfId="0" applyFont="1" applyFill="1" applyBorder="1" applyAlignment="1" applyProtection="1">
      <alignment horizontal="center" vertical="center" wrapText="1"/>
      <protection hidden="1"/>
    </xf>
    <xf numFmtId="0" fontId="82" fillId="44" borderId="180" xfId="0" applyFont="1" applyFill="1" applyBorder="1" applyAlignment="1" applyProtection="1">
      <alignment horizontal="center" vertical="center" wrapText="1"/>
      <protection hidden="1"/>
    </xf>
    <xf numFmtId="0" fontId="34" fillId="0" borderId="52" xfId="3" applyFont="1" applyBorder="1" applyAlignment="1" applyProtection="1">
      <alignment horizontal="left" vertical="center"/>
      <protection hidden="1"/>
    </xf>
    <xf numFmtId="0" fontId="34" fillId="0" borderId="28" xfId="3" applyFont="1" applyBorder="1" applyAlignment="1" applyProtection="1">
      <alignment horizontal="left" vertical="center"/>
      <protection hidden="1"/>
    </xf>
    <xf numFmtId="0" fontId="34" fillId="0" borderId="29" xfId="3" applyFont="1" applyBorder="1" applyAlignment="1" applyProtection="1">
      <alignment horizontal="left" vertical="center"/>
      <protection hidden="1"/>
    </xf>
    <xf numFmtId="0" fontId="34" fillId="0" borderId="126" xfId="3" applyFont="1" applyBorder="1" applyAlignment="1" applyProtection="1">
      <alignment horizontal="left" vertical="center"/>
      <protection hidden="1"/>
    </xf>
    <xf numFmtId="0" fontId="34" fillId="0" borderId="78" xfId="3" applyFont="1" applyBorder="1" applyAlignment="1" applyProtection="1">
      <alignment horizontal="left" vertical="center"/>
      <protection hidden="1"/>
    </xf>
    <xf numFmtId="0" fontId="34" fillId="0" borderId="79" xfId="3" applyFont="1" applyBorder="1" applyAlignment="1" applyProtection="1">
      <alignment horizontal="left" vertical="center"/>
      <protection hidden="1"/>
    </xf>
    <xf numFmtId="216" fontId="34" fillId="0" borderId="30" xfId="3" applyNumberFormat="1" applyFont="1" applyBorder="1" applyAlignment="1" applyProtection="1">
      <alignment vertical="center" shrinkToFit="1"/>
      <protection hidden="1"/>
    </xf>
    <xf numFmtId="216" fontId="34" fillId="0" borderId="105" xfId="3" applyNumberFormat="1" applyFont="1" applyBorder="1" applyAlignment="1" applyProtection="1">
      <alignment vertical="center" shrinkToFit="1"/>
      <protection hidden="1"/>
    </xf>
    <xf numFmtId="0" fontId="38" fillId="0" borderId="184" xfId="52" applyFont="1" applyBorder="1" applyAlignment="1" applyProtection="1">
      <alignment horizontal="center" vertical="center"/>
      <protection hidden="1"/>
    </xf>
    <xf numFmtId="0" fontId="38" fillId="0" borderId="169" xfId="52" applyFont="1" applyBorder="1" applyAlignment="1" applyProtection="1">
      <alignment horizontal="center" vertical="center"/>
      <protection hidden="1"/>
    </xf>
    <xf numFmtId="0" fontId="38" fillId="0" borderId="174" xfId="52" applyFont="1" applyBorder="1" applyAlignment="1" applyProtection="1">
      <alignment horizontal="center" vertical="center"/>
      <protection hidden="1"/>
    </xf>
    <xf numFmtId="0" fontId="38" fillId="0" borderId="86" xfId="52" applyFont="1" applyBorder="1" applyAlignment="1" applyProtection="1">
      <alignment horizontal="center" vertical="center"/>
      <protection hidden="1"/>
    </xf>
    <xf numFmtId="0" fontId="38" fillId="0" borderId="171" xfId="52" applyFont="1" applyBorder="1" applyAlignment="1" applyProtection="1">
      <alignment horizontal="center" vertical="center"/>
      <protection hidden="1"/>
    </xf>
    <xf numFmtId="0" fontId="38" fillId="0" borderId="53" xfId="52" applyFont="1" applyBorder="1" applyAlignment="1" applyProtection="1">
      <alignment horizontal="center" vertical="center"/>
      <protection hidden="1"/>
    </xf>
    <xf numFmtId="0" fontId="34" fillId="0" borderId="65" xfId="3" applyFont="1" applyBorder="1" applyAlignment="1" applyProtection="1">
      <alignment horizontal="center" vertical="center"/>
      <protection hidden="1"/>
    </xf>
    <xf numFmtId="0" fontId="34" fillId="0" borderId="107" xfId="3" applyFont="1" applyBorder="1" applyAlignment="1" applyProtection="1">
      <alignment horizontal="center" vertical="center"/>
      <protection hidden="1"/>
    </xf>
    <xf numFmtId="0" fontId="34" fillId="0" borderId="66" xfId="3" applyFont="1" applyBorder="1" applyAlignment="1" applyProtection="1">
      <alignment horizontal="center" vertical="center"/>
      <protection hidden="1"/>
    </xf>
    <xf numFmtId="0" fontId="38" fillId="0" borderId="156" xfId="52" applyFont="1" applyBorder="1" applyAlignment="1" applyProtection="1">
      <alignment horizontal="center" vertical="center"/>
      <protection hidden="1"/>
    </xf>
    <xf numFmtId="0" fontId="38" fillId="0" borderId="95" xfId="52" applyFont="1" applyBorder="1" applyAlignment="1" applyProtection="1">
      <alignment horizontal="center" vertical="center"/>
      <protection hidden="1"/>
    </xf>
    <xf numFmtId="0" fontId="38" fillId="0" borderId="11" xfId="52" applyFont="1" applyBorder="1" applyAlignment="1" applyProtection="1">
      <alignment horizontal="center" vertical="center"/>
      <protection hidden="1"/>
    </xf>
    <xf numFmtId="0" fontId="38" fillId="0" borderId="9" xfId="52" applyFont="1" applyBorder="1" applyAlignment="1" applyProtection="1">
      <alignment horizontal="center" vertical="center"/>
      <protection hidden="1"/>
    </xf>
    <xf numFmtId="0" fontId="38" fillId="0" borderId="129" xfId="52" applyFont="1" applyBorder="1" applyAlignment="1" applyProtection="1">
      <alignment horizontal="center" vertical="center"/>
      <protection hidden="1"/>
    </xf>
    <xf numFmtId="0" fontId="82" fillId="4" borderId="14" xfId="3" applyFont="1" applyFill="1" applyBorder="1" applyAlignment="1" applyProtection="1">
      <alignment horizontal="center" vertical="center"/>
      <protection hidden="1"/>
    </xf>
    <xf numFmtId="0" fontId="82" fillId="4" borderId="96" xfId="3" applyFont="1" applyFill="1" applyBorder="1" applyAlignment="1" applyProtection="1">
      <alignment horizontal="center" vertical="center"/>
      <protection hidden="1"/>
    </xf>
    <xf numFmtId="0" fontId="82" fillId="4" borderId="15" xfId="3" applyFont="1" applyFill="1" applyBorder="1" applyAlignment="1" applyProtection="1">
      <alignment horizontal="center" vertical="center"/>
      <protection hidden="1"/>
    </xf>
    <xf numFmtId="0" fontId="82" fillId="4" borderId="17" xfId="3" applyFont="1" applyFill="1" applyBorder="1" applyAlignment="1" applyProtection="1">
      <alignment horizontal="center" vertical="center"/>
      <protection hidden="1"/>
    </xf>
    <xf numFmtId="0" fontId="82" fillId="4" borderId="103" xfId="3" applyFont="1" applyFill="1" applyBorder="1" applyAlignment="1" applyProtection="1">
      <alignment horizontal="center" vertical="center"/>
      <protection hidden="1"/>
    </xf>
    <xf numFmtId="0" fontId="82" fillId="4" borderId="19" xfId="3" applyFont="1" applyFill="1" applyBorder="1" applyAlignment="1" applyProtection="1">
      <alignment horizontal="center" vertical="center"/>
      <protection hidden="1"/>
    </xf>
    <xf numFmtId="0" fontId="82" fillId="4" borderId="117" xfId="3" applyFont="1" applyFill="1" applyBorder="1" applyAlignment="1" applyProtection="1">
      <alignment horizontal="center" vertical="center"/>
      <protection hidden="1"/>
    </xf>
    <xf numFmtId="0" fontId="82" fillId="4" borderId="59" xfId="3" applyFont="1" applyFill="1" applyBorder="1" applyAlignment="1" applyProtection="1">
      <alignment horizontal="center" vertical="center"/>
      <protection hidden="1"/>
    </xf>
    <xf numFmtId="0" fontId="39" fillId="4" borderId="16" xfId="3" applyFont="1" applyFill="1" applyBorder="1" applyAlignment="1" applyProtection="1">
      <alignment horizontal="center" vertical="center" wrapText="1"/>
      <protection hidden="1"/>
    </xf>
    <xf numFmtId="0" fontId="39" fillId="4" borderId="15" xfId="3" applyFont="1" applyFill="1" applyBorder="1" applyAlignment="1" applyProtection="1">
      <alignment horizontal="center" vertical="center" wrapText="1"/>
      <protection hidden="1"/>
    </xf>
    <xf numFmtId="0" fontId="39" fillId="4" borderId="18" xfId="3" applyFont="1" applyFill="1" applyBorder="1" applyAlignment="1" applyProtection="1">
      <alignment horizontal="center" vertical="center" wrapText="1"/>
      <protection hidden="1"/>
    </xf>
    <xf numFmtId="0" fontId="39" fillId="4" borderId="19" xfId="3" applyFont="1" applyFill="1" applyBorder="1" applyAlignment="1" applyProtection="1">
      <alignment horizontal="center" vertical="center" wrapText="1"/>
      <protection hidden="1"/>
    </xf>
    <xf numFmtId="0" fontId="34" fillId="0" borderId="60" xfId="3" applyFont="1" applyBorder="1" applyAlignment="1" applyProtection="1">
      <alignment horizontal="left" vertical="center"/>
      <protection hidden="1"/>
    </xf>
    <xf numFmtId="0" fontId="34" fillId="0" borderId="61" xfId="3" applyFont="1" applyBorder="1" applyAlignment="1" applyProtection="1">
      <alignment horizontal="left" vertical="center"/>
      <protection hidden="1"/>
    </xf>
    <xf numFmtId="0" fontId="34" fillId="0" borderId="64" xfId="3" applyFont="1" applyBorder="1" applyAlignment="1" applyProtection="1">
      <alignment horizontal="left" vertical="center"/>
      <protection hidden="1"/>
    </xf>
    <xf numFmtId="216" fontId="34" fillId="0" borderId="67" xfId="3" applyNumberFormat="1" applyFont="1" applyBorder="1" applyProtection="1">
      <alignment vertical="center"/>
      <protection hidden="1"/>
    </xf>
    <xf numFmtId="216" fontId="34" fillId="0" borderId="108" xfId="3" applyNumberFormat="1" applyFont="1" applyBorder="1" applyProtection="1">
      <alignment vertical="center"/>
      <protection hidden="1"/>
    </xf>
    <xf numFmtId="216" fontId="34" fillId="0" borderId="62" xfId="3" applyNumberFormat="1" applyFont="1" applyBorder="1" applyAlignment="1" applyProtection="1">
      <alignment vertical="center" shrinkToFit="1"/>
      <protection hidden="1"/>
    </xf>
    <xf numFmtId="216" fontId="34" fillId="0" borderId="106" xfId="3" applyNumberFormat="1" applyFont="1" applyBorder="1" applyAlignment="1" applyProtection="1">
      <alignment vertical="center" shrinkToFit="1"/>
      <protection hidden="1"/>
    </xf>
    <xf numFmtId="0" fontId="82" fillId="4" borderId="81" xfId="3" applyFont="1" applyFill="1" applyBorder="1" applyAlignment="1" applyProtection="1">
      <alignment horizontal="center" vertical="center"/>
      <protection hidden="1"/>
    </xf>
    <xf numFmtId="0" fontId="82" fillId="4" borderId="0" xfId="3" applyFont="1" applyFill="1" applyAlignment="1" applyProtection="1">
      <alignment horizontal="center" vertical="center"/>
      <protection hidden="1"/>
    </xf>
    <xf numFmtId="0" fontId="82" fillId="4" borderId="63" xfId="3" applyFont="1" applyFill="1" applyBorder="1" applyAlignment="1" applyProtection="1">
      <alignment horizontal="center" vertical="center"/>
      <protection hidden="1"/>
    </xf>
    <xf numFmtId="0" fontId="82" fillId="4" borderId="172" xfId="3" applyFont="1" applyFill="1" applyBorder="1" applyAlignment="1" applyProtection="1">
      <alignment horizontal="center" vertical="center"/>
      <protection hidden="1"/>
    </xf>
    <xf numFmtId="0" fontId="39" fillId="4" borderId="54" xfId="3" applyFont="1" applyFill="1" applyBorder="1" applyAlignment="1" applyProtection="1">
      <alignment horizontal="center" vertical="center" wrapText="1"/>
      <protection hidden="1"/>
    </xf>
    <xf numFmtId="0" fontId="39" fillId="4" borderId="173" xfId="3" applyFont="1" applyFill="1" applyBorder="1" applyAlignment="1" applyProtection="1">
      <alignment horizontal="center" vertical="center" wrapText="1"/>
      <protection hidden="1"/>
    </xf>
    <xf numFmtId="178" fontId="38" fillId="0" borderId="115" xfId="54" applyNumberFormat="1" applyFont="1" applyFill="1" applyBorder="1" applyAlignment="1" applyProtection="1">
      <alignment horizontal="center" vertical="center"/>
      <protection hidden="1"/>
    </xf>
    <xf numFmtId="178" fontId="38" fillId="0" borderId="13" xfId="54" applyNumberFormat="1" applyFont="1" applyFill="1" applyBorder="1" applyAlignment="1" applyProtection="1">
      <alignment horizontal="center" vertical="center"/>
      <protection hidden="1"/>
    </xf>
    <xf numFmtId="0" fontId="38" fillId="0" borderId="104" xfId="52" applyFont="1" applyBorder="1" applyAlignment="1" applyProtection="1">
      <alignment horizontal="center" vertical="center"/>
      <protection hidden="1"/>
    </xf>
    <xf numFmtId="0" fontId="38" fillId="0" borderId="10" xfId="52" applyFont="1" applyBorder="1" applyAlignment="1" applyProtection="1">
      <alignment horizontal="center" vertical="center"/>
      <protection hidden="1"/>
    </xf>
    <xf numFmtId="216" fontId="34" fillId="0" borderId="80" xfId="3" applyNumberFormat="1" applyFont="1" applyBorder="1" applyAlignment="1" applyProtection="1">
      <alignment vertical="center" shrinkToFit="1"/>
      <protection hidden="1"/>
    </xf>
    <xf numFmtId="216" fontId="34" fillId="0" borderId="127" xfId="3" applyNumberFormat="1" applyFont="1" applyBorder="1" applyAlignment="1" applyProtection="1">
      <alignment vertical="center" shrinkToFit="1"/>
      <protection hidden="1"/>
    </xf>
    <xf numFmtId="216" fontId="34" fillId="0" borderId="67" xfId="3" applyNumberFormat="1" applyFont="1" applyBorder="1" applyAlignment="1" applyProtection="1">
      <alignment vertical="center" shrinkToFit="1"/>
      <protection hidden="1"/>
    </xf>
    <xf numFmtId="216" fontId="34" fillId="0" borderId="108" xfId="3" applyNumberFormat="1" applyFont="1" applyBorder="1" applyAlignment="1" applyProtection="1">
      <alignment vertical="center" shrinkToFit="1"/>
      <protection hidden="1"/>
    </xf>
    <xf numFmtId="0" fontId="38" fillId="0" borderId="157" xfId="52" applyFont="1" applyBorder="1" applyAlignment="1" applyProtection="1">
      <alignment horizontal="center" vertical="center"/>
      <protection hidden="1"/>
    </xf>
    <xf numFmtId="0" fontId="38" fillId="0" borderId="110" xfId="52" applyFont="1" applyBorder="1" applyAlignment="1" applyProtection="1">
      <alignment horizontal="center" vertical="center"/>
      <protection hidden="1"/>
    </xf>
    <xf numFmtId="0" fontId="38" fillId="0" borderId="158" xfId="52" applyFont="1" applyBorder="1" applyAlignment="1" applyProtection="1">
      <alignment horizontal="center" vertical="center"/>
      <protection hidden="1"/>
    </xf>
    <xf numFmtId="0" fontId="36" fillId="3" borderId="0" xfId="3" applyFont="1" applyFill="1" applyAlignment="1" applyProtection="1">
      <alignment horizontal="center" vertical="center"/>
      <protection hidden="1"/>
    </xf>
    <xf numFmtId="176" fontId="39" fillId="4" borderId="97" xfId="3" applyNumberFormat="1" applyFont="1" applyFill="1" applyBorder="1" applyAlignment="1" applyProtection="1">
      <alignment horizontal="center" vertical="center"/>
      <protection hidden="1"/>
    </xf>
    <xf numFmtId="176" fontId="39" fillId="4" borderId="87" xfId="3" applyNumberFormat="1" applyFont="1" applyFill="1" applyBorder="1" applyAlignment="1" applyProtection="1">
      <alignment horizontal="center" vertical="center"/>
      <protection hidden="1"/>
    </xf>
    <xf numFmtId="176" fontId="39" fillId="4" borderId="57" xfId="3" applyNumberFormat="1" applyFont="1" applyFill="1" applyBorder="1" applyAlignment="1" applyProtection="1">
      <alignment horizontal="center" vertical="center"/>
      <protection hidden="1"/>
    </xf>
    <xf numFmtId="176" fontId="39" fillId="4" borderId="119" xfId="3" applyNumberFormat="1" applyFont="1" applyFill="1" applyBorder="1" applyAlignment="1" applyProtection="1">
      <alignment horizontal="center" vertical="center"/>
      <protection hidden="1"/>
    </xf>
    <xf numFmtId="0" fontId="39" fillId="4" borderId="58" xfId="3" applyFont="1" applyFill="1" applyBorder="1" applyAlignment="1" applyProtection="1">
      <alignment horizontal="center" vertical="center" wrapText="1"/>
      <protection hidden="1"/>
    </xf>
    <xf numFmtId="0" fontId="39" fillId="4" borderId="53" xfId="3" applyFont="1" applyFill="1" applyBorder="1" applyAlignment="1" applyProtection="1">
      <alignment horizontal="center" vertical="center" wrapText="1"/>
      <protection hidden="1"/>
    </xf>
    <xf numFmtId="0" fontId="39" fillId="4" borderId="55" xfId="3" applyFont="1" applyFill="1" applyBorder="1" applyAlignment="1" applyProtection="1">
      <alignment horizontal="center" vertical="center" wrapText="1"/>
      <protection hidden="1"/>
    </xf>
    <xf numFmtId="0" fontId="39" fillId="4" borderId="120" xfId="3" applyFont="1" applyFill="1" applyBorder="1" applyAlignment="1" applyProtection="1">
      <alignment horizontal="center" vertical="center" wrapText="1"/>
      <protection hidden="1"/>
    </xf>
    <xf numFmtId="0" fontId="34" fillId="0" borderId="102" xfId="3" applyFont="1" applyBorder="1" applyAlignment="1" applyProtection="1">
      <alignment vertical="center" shrinkToFit="1"/>
      <protection hidden="1"/>
    </xf>
    <xf numFmtId="0" fontId="34" fillId="0" borderId="95" xfId="3" applyFont="1" applyBorder="1" applyAlignment="1" applyProtection="1">
      <alignment vertical="center" shrinkToFit="1"/>
      <protection hidden="1"/>
    </xf>
    <xf numFmtId="215" fontId="39" fillId="4" borderId="58" xfId="3" applyNumberFormat="1" applyFont="1" applyFill="1" applyBorder="1" applyAlignment="1" applyProtection="1">
      <alignment horizontal="center" vertical="center" wrapText="1"/>
      <protection hidden="1"/>
    </xf>
    <xf numFmtId="215" fontId="39" fillId="4" borderId="53" xfId="3" applyNumberFormat="1" applyFont="1" applyFill="1" applyBorder="1" applyAlignment="1" applyProtection="1">
      <alignment horizontal="center" vertical="center" wrapText="1"/>
      <protection hidden="1"/>
    </xf>
    <xf numFmtId="0" fontId="42" fillId="0" borderId="50" xfId="52" applyFont="1" applyBorder="1" applyProtection="1">
      <alignment vertical="center"/>
      <protection hidden="1"/>
    </xf>
    <xf numFmtId="0" fontId="42" fillId="0" borderId="39" xfId="52" applyFont="1" applyBorder="1" applyProtection="1">
      <alignment vertical="center"/>
      <protection hidden="1"/>
    </xf>
    <xf numFmtId="0" fontId="34" fillId="0" borderId="102" xfId="52" applyFont="1" applyBorder="1" applyAlignment="1" applyProtection="1">
      <alignment horizontal="center" vertical="center"/>
      <protection hidden="1"/>
    </xf>
    <xf numFmtId="0" fontId="34" fillId="0" borderId="95" xfId="52" applyFont="1" applyBorder="1" applyAlignment="1" applyProtection="1">
      <alignment horizontal="center" vertical="center"/>
      <protection hidden="1"/>
    </xf>
    <xf numFmtId="0" fontId="34" fillId="0" borderId="82" xfId="52" applyFont="1" applyBorder="1" applyAlignment="1" applyProtection="1">
      <alignment horizontal="center" vertical="center" wrapText="1" shrinkToFit="1"/>
      <protection hidden="1"/>
    </xf>
    <xf numFmtId="0" fontId="34" fillId="0" borderId="53" xfId="52" applyFont="1" applyBorder="1" applyAlignment="1" applyProtection="1">
      <alignment horizontal="center" vertical="center" wrapText="1" shrinkToFit="1"/>
      <protection hidden="1"/>
    </xf>
    <xf numFmtId="214" fontId="39" fillId="4" borderId="55" xfId="3" applyNumberFormat="1" applyFont="1" applyFill="1" applyBorder="1" applyAlignment="1" applyProtection="1">
      <alignment horizontal="center" vertical="center" wrapText="1"/>
      <protection hidden="1"/>
    </xf>
    <xf numFmtId="214" fontId="39" fillId="4" borderId="120" xfId="3" applyNumberFormat="1" applyFont="1" applyFill="1" applyBorder="1" applyAlignment="1" applyProtection="1">
      <alignment horizontal="center" vertical="center" wrapText="1"/>
      <protection hidden="1"/>
    </xf>
    <xf numFmtId="0" fontId="34" fillId="0" borderId="83" xfId="52" applyFont="1" applyBorder="1" applyAlignment="1" applyProtection="1">
      <alignment horizontal="center" vertical="center" wrapText="1"/>
      <protection hidden="1"/>
    </xf>
    <xf numFmtId="0" fontId="34" fillId="0" borderId="101" xfId="52" applyFont="1" applyBorder="1" applyAlignment="1" applyProtection="1">
      <alignment horizontal="center" vertical="center" wrapText="1"/>
      <protection hidden="1"/>
    </xf>
    <xf numFmtId="0" fontId="34" fillId="0" borderId="7" xfId="52" applyFont="1" applyBorder="1" applyAlignment="1" applyProtection="1">
      <alignment horizontal="center" vertical="center" wrapText="1"/>
      <protection hidden="1"/>
    </xf>
    <xf numFmtId="0" fontId="34" fillId="0" borderId="8" xfId="52" applyFont="1" applyBorder="1" applyAlignment="1" applyProtection="1">
      <alignment horizontal="center" vertical="center" wrapText="1"/>
      <protection hidden="1"/>
    </xf>
    <xf numFmtId="0" fontId="34" fillId="0" borderId="122" xfId="52" applyFont="1" applyBorder="1" applyAlignment="1" applyProtection="1">
      <alignment horizontal="center" vertical="center"/>
      <protection hidden="1"/>
    </xf>
    <xf numFmtId="0" fontId="34" fillId="0" borderId="123" xfId="52" applyFont="1" applyBorder="1" applyAlignment="1" applyProtection="1">
      <alignment horizontal="center" vertical="center"/>
      <protection hidden="1"/>
    </xf>
    <xf numFmtId="0" fontId="34" fillId="0" borderId="135" xfId="52" applyFont="1" applyBorder="1" applyAlignment="1" applyProtection="1">
      <alignment vertical="center" shrinkToFit="1"/>
      <protection hidden="1"/>
    </xf>
    <xf numFmtId="0" fontId="34" fillId="0" borderId="121" xfId="52" applyFont="1" applyBorder="1" applyAlignment="1" applyProtection="1">
      <alignment vertical="center" shrinkToFit="1"/>
      <protection hidden="1"/>
    </xf>
    <xf numFmtId="0" fontId="34" fillId="0" borderId="102" xfId="52" applyFont="1" applyBorder="1" applyAlignment="1" applyProtection="1">
      <alignment vertical="center" shrinkToFit="1"/>
      <protection hidden="1"/>
    </xf>
    <xf numFmtId="0" fontId="34" fillId="0" borderId="95" xfId="52" applyFont="1" applyBorder="1" applyAlignment="1" applyProtection="1">
      <alignment vertical="center" shrinkToFit="1"/>
      <protection hidden="1"/>
    </xf>
    <xf numFmtId="0" fontId="0" fillId="0" borderId="123" xfId="0" applyBorder="1" applyProtection="1">
      <alignment vertical="center"/>
      <protection hidden="1"/>
    </xf>
    <xf numFmtId="177" fontId="34" fillId="0" borderId="83" xfId="52" applyNumberFormat="1" applyFont="1" applyBorder="1" applyAlignment="1" applyProtection="1">
      <alignment horizontal="center" vertical="center"/>
      <protection hidden="1"/>
    </xf>
    <xf numFmtId="177" fontId="34" fillId="0" borderId="101" xfId="52" applyNumberFormat="1" applyFont="1" applyBorder="1" applyAlignment="1" applyProtection="1">
      <alignment horizontal="center" vertical="center"/>
      <protection hidden="1"/>
    </xf>
    <xf numFmtId="177" fontId="34" fillId="0" borderId="7" xfId="52" applyNumberFormat="1" applyFont="1" applyBorder="1" applyAlignment="1" applyProtection="1">
      <alignment horizontal="center" vertical="center"/>
      <protection hidden="1"/>
    </xf>
    <xf numFmtId="177" fontId="34" fillId="0" borderId="8" xfId="52" applyNumberFormat="1" applyFont="1" applyBorder="1" applyAlignment="1" applyProtection="1">
      <alignment horizontal="center" vertical="center"/>
      <protection hidden="1"/>
    </xf>
    <xf numFmtId="0" fontId="34" fillId="0" borderId="2" xfId="52" applyFont="1" applyBorder="1" applyAlignment="1" applyProtection="1">
      <alignment vertical="center" shrinkToFit="1"/>
      <protection hidden="1"/>
    </xf>
    <xf numFmtId="0" fontId="34" fillId="0" borderId="4" xfId="52" applyFont="1" applyBorder="1" applyAlignment="1" applyProtection="1">
      <alignment vertical="center" shrinkToFit="1"/>
      <protection hidden="1"/>
    </xf>
    <xf numFmtId="3" fontId="34" fillId="0" borderId="135" xfId="52" applyNumberFormat="1" applyFont="1" applyBorder="1" applyAlignment="1" applyProtection="1">
      <alignment vertical="center" shrinkToFit="1"/>
      <protection hidden="1"/>
    </xf>
    <xf numFmtId="3" fontId="34" fillId="0" borderId="121" xfId="52" applyNumberFormat="1" applyFont="1" applyBorder="1" applyAlignment="1" applyProtection="1">
      <alignment vertical="center" shrinkToFit="1"/>
      <protection hidden="1"/>
    </xf>
    <xf numFmtId="0" fontId="34" fillId="0" borderId="2" xfId="52" applyFont="1" applyBorder="1" applyAlignment="1" applyProtection="1">
      <alignment vertical="center" wrapText="1" shrinkToFit="1"/>
      <protection hidden="1"/>
    </xf>
    <xf numFmtId="0" fontId="34" fillId="0" borderId="4" xfId="52" applyFont="1" applyBorder="1" applyAlignment="1" applyProtection="1">
      <alignment vertical="center" wrapText="1" shrinkToFit="1"/>
      <protection hidden="1"/>
    </xf>
    <xf numFmtId="0" fontId="39" fillId="4" borderId="14" xfId="3" applyFont="1" applyFill="1" applyBorder="1" applyAlignment="1" applyProtection="1">
      <alignment horizontal="center" vertical="center"/>
      <protection hidden="1"/>
    </xf>
    <xf numFmtId="0" fontId="39" fillId="4" borderId="96" xfId="3" applyFont="1" applyFill="1" applyBorder="1" applyAlignment="1" applyProtection="1">
      <alignment horizontal="center" vertical="center"/>
      <protection hidden="1"/>
    </xf>
    <xf numFmtId="0" fontId="0" fillId="0" borderId="96" xfId="0" applyBorder="1" applyAlignment="1">
      <alignment horizontal="center" vertical="center"/>
    </xf>
    <xf numFmtId="0" fontId="39" fillId="4" borderId="118" xfId="3" applyFont="1" applyFill="1" applyBorder="1" applyAlignment="1" applyProtection="1">
      <alignment horizontal="center" vertical="center"/>
      <protection hidden="1"/>
    </xf>
    <xf numFmtId="0" fontId="39" fillId="4" borderId="36" xfId="3" applyFont="1" applyFill="1" applyBorder="1" applyAlignment="1" applyProtection="1">
      <alignment horizontal="center" vertical="center"/>
      <protection hidden="1"/>
    </xf>
    <xf numFmtId="0" fontId="0" fillId="0" borderId="36" xfId="0" applyBorder="1" applyAlignment="1">
      <alignment horizontal="center" vertical="center"/>
    </xf>
    <xf numFmtId="0" fontId="34" fillId="29" borderId="24" xfId="3" applyFont="1" applyFill="1" applyBorder="1" applyProtection="1">
      <alignment vertical="center"/>
      <protection hidden="1"/>
    </xf>
    <xf numFmtId="0" fontId="34" fillId="29" borderId="23" xfId="3" applyFont="1" applyFill="1" applyBorder="1" applyProtection="1">
      <alignment vertical="center"/>
      <protection hidden="1"/>
    </xf>
    <xf numFmtId="0" fontId="34" fillId="29" borderId="134" xfId="3" applyFont="1" applyFill="1" applyBorder="1" applyProtection="1">
      <alignment vertical="center"/>
      <protection hidden="1"/>
    </xf>
    <xf numFmtId="0" fontId="34" fillId="29" borderId="61" xfId="3" applyFont="1" applyFill="1" applyBorder="1" applyProtection="1">
      <alignment vertical="center"/>
      <protection hidden="1"/>
    </xf>
    <xf numFmtId="0" fontId="34" fillId="0" borderId="60" xfId="3" applyFont="1" applyBorder="1" applyProtection="1">
      <alignment vertical="center"/>
      <protection hidden="1"/>
    </xf>
    <xf numFmtId="0" fontId="34" fillId="0" borderId="61" xfId="3" applyFont="1" applyBorder="1" applyProtection="1">
      <alignment vertical="center"/>
      <protection hidden="1"/>
    </xf>
    <xf numFmtId="0" fontId="34" fillId="0" borderId="170" xfId="3" applyFont="1" applyBorder="1" applyProtection="1">
      <alignment vertical="center"/>
      <protection hidden="1"/>
    </xf>
    <xf numFmtId="0" fontId="34" fillId="0" borderId="51" xfId="3" applyFont="1" applyBorder="1" applyProtection="1">
      <alignment vertical="center"/>
      <protection hidden="1"/>
    </xf>
    <xf numFmtId="0" fontId="39" fillId="4" borderId="81" xfId="3" applyFont="1" applyFill="1" applyBorder="1" applyAlignment="1" applyProtection="1">
      <alignment horizontal="center" vertical="center"/>
      <protection hidden="1"/>
    </xf>
    <xf numFmtId="0" fontId="39" fillId="4" borderId="0" xfId="3" applyFont="1" applyFill="1" applyAlignment="1" applyProtection="1">
      <alignment horizontal="center" vertical="center"/>
      <protection hidden="1"/>
    </xf>
    <xf numFmtId="0" fontId="34" fillId="0" borderId="5"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6" xfId="0" applyFont="1" applyBorder="1" applyAlignment="1" applyProtection="1">
      <alignment horizontal="center" vertical="center"/>
      <protection hidden="1"/>
    </xf>
    <xf numFmtId="0" fontId="34" fillId="0" borderId="7" xfId="0" applyFont="1" applyBorder="1" applyAlignment="1" applyProtection="1">
      <alignment horizontal="center" vertical="center"/>
      <protection hidden="1"/>
    </xf>
    <xf numFmtId="0" fontId="34" fillId="0" borderId="36" xfId="0" applyFont="1" applyBorder="1" applyAlignment="1" applyProtection="1">
      <alignment horizontal="center" vertical="center"/>
      <protection hidden="1"/>
    </xf>
    <xf numFmtId="0" fontId="34" fillId="0" borderId="8" xfId="0" applyFont="1" applyBorder="1" applyAlignment="1" applyProtection="1">
      <alignment horizontal="center" vertical="center"/>
      <protection hidden="1"/>
    </xf>
    <xf numFmtId="0" fontId="34" fillId="0" borderId="5" xfId="0" applyFont="1" applyBorder="1" applyAlignment="1" applyProtection="1">
      <alignment horizontal="distributed" vertical="center"/>
      <protection hidden="1"/>
    </xf>
    <xf numFmtId="0" fontId="34" fillId="0" borderId="35" xfId="0" applyFont="1" applyBorder="1" applyAlignment="1" applyProtection="1">
      <alignment horizontal="distributed" vertical="center"/>
      <protection hidden="1"/>
    </xf>
    <xf numFmtId="0" fontId="34" fillId="0" borderId="6" xfId="0" applyFont="1" applyBorder="1" applyAlignment="1" applyProtection="1">
      <alignment horizontal="distributed" vertical="center"/>
      <protection hidden="1"/>
    </xf>
    <xf numFmtId="0" fontId="34" fillId="0" borderId="54" xfId="0" applyFont="1" applyBorder="1" applyAlignment="1" applyProtection="1">
      <alignment horizontal="distributed" vertical="center"/>
      <protection hidden="1"/>
    </xf>
    <xf numFmtId="0" fontId="34" fillId="0" borderId="0" xfId="0" applyFont="1" applyAlignment="1" applyProtection="1">
      <alignment horizontal="distributed" vertical="center"/>
      <protection hidden="1"/>
    </xf>
    <xf numFmtId="0" fontId="34" fillId="0" borderId="63" xfId="0" applyFont="1" applyBorder="1" applyAlignment="1" applyProtection="1">
      <alignment horizontal="distributed" vertical="center"/>
      <protection hidden="1"/>
    </xf>
    <xf numFmtId="0" fontId="34" fillId="0" borderId="7" xfId="0" applyFont="1" applyBorder="1" applyAlignment="1" applyProtection="1">
      <alignment horizontal="distributed" vertical="center"/>
      <protection hidden="1"/>
    </xf>
    <xf numFmtId="0" fontId="34" fillId="0" borderId="36" xfId="0" applyFont="1" applyBorder="1" applyAlignment="1" applyProtection="1">
      <alignment horizontal="distributed" vertical="center"/>
      <protection hidden="1"/>
    </xf>
    <xf numFmtId="0" fontId="34" fillId="0" borderId="8" xfId="0" applyFont="1" applyBorder="1" applyAlignment="1" applyProtection="1">
      <alignment horizontal="distributed" vertical="center"/>
      <protection hidden="1"/>
    </xf>
    <xf numFmtId="0" fontId="34" fillId="0" borderId="2" xfId="0" applyFont="1" applyBorder="1" applyAlignment="1" applyProtection="1">
      <alignment horizontal="center" vertical="center"/>
      <protection hidden="1"/>
    </xf>
    <xf numFmtId="0" fontId="34" fillId="0" borderId="4" xfId="0" applyFont="1" applyBorder="1" applyAlignment="1" applyProtection="1">
      <alignment horizontal="center" vertical="center"/>
      <protection hidden="1"/>
    </xf>
    <xf numFmtId="0" fontId="34" fillId="0" borderId="3" xfId="0" applyFont="1" applyBorder="1" applyAlignment="1" applyProtection="1">
      <alignment horizontal="center" vertical="center"/>
      <protection hidden="1"/>
    </xf>
    <xf numFmtId="0" fontId="38" fillId="0" borderId="1" xfId="0" applyFont="1" applyBorder="1" applyProtection="1">
      <alignment vertical="center"/>
      <protection hidden="1"/>
    </xf>
    <xf numFmtId="0" fontId="34" fillId="0" borderId="1" xfId="0" applyFont="1" applyBorder="1" applyAlignment="1" applyProtection="1">
      <alignment horizontal="center" vertical="center"/>
      <protection hidden="1"/>
    </xf>
    <xf numFmtId="0" fontId="34" fillId="0" borderId="1" xfId="0" applyFont="1" applyBorder="1" applyAlignment="1" applyProtection="1">
      <alignment horizontal="left" vertical="center" wrapText="1"/>
      <protection hidden="1"/>
    </xf>
    <xf numFmtId="0" fontId="32" fillId="0" borderId="0" xfId="0" applyFont="1" applyAlignment="1" applyProtection="1">
      <alignment horizontal="center" vertical="center"/>
      <protection hidden="1"/>
    </xf>
    <xf numFmtId="0" fontId="34" fillId="0" borderId="2" xfId="0" applyFont="1" applyBorder="1" applyAlignment="1" applyProtection="1">
      <alignment horizontal="left" vertical="center"/>
      <protection hidden="1"/>
    </xf>
    <xf numFmtId="0" fontId="34" fillId="0" borderId="4" xfId="0" applyFont="1" applyBorder="1" applyAlignment="1" applyProtection="1">
      <alignment horizontal="left" vertical="center"/>
      <protection hidden="1"/>
    </xf>
    <xf numFmtId="0" fontId="34" fillId="0" borderId="2" xfId="0" applyFont="1" applyBorder="1" applyAlignment="1" applyProtection="1">
      <alignment horizontal="distributed" vertical="center" wrapText="1"/>
      <protection hidden="1"/>
    </xf>
    <xf numFmtId="0" fontId="34" fillId="0" borderId="3" xfId="0" applyFont="1" applyBorder="1" applyAlignment="1" applyProtection="1">
      <alignment horizontal="distributed" vertical="center" wrapText="1"/>
      <protection hidden="1"/>
    </xf>
    <xf numFmtId="0" fontId="34" fillId="0" borderId="4" xfId="0" applyFont="1" applyBorder="1" applyAlignment="1" applyProtection="1">
      <alignment horizontal="distributed" vertical="center" wrapText="1"/>
      <protection hidden="1"/>
    </xf>
    <xf numFmtId="0" fontId="38" fillId="0" borderId="0" xfId="0" applyFont="1" applyAlignment="1" applyProtection="1">
      <alignment horizontal="distributed" vertical="center"/>
      <protection hidden="1"/>
    </xf>
    <xf numFmtId="0" fontId="34" fillId="0" borderId="33" xfId="0" applyFont="1" applyBorder="1" applyAlignment="1" applyProtection="1">
      <alignment horizontal="center" vertical="center" textRotation="255"/>
      <protection hidden="1"/>
    </xf>
    <xf numFmtId="0" fontId="34" fillId="0" borderId="53" xfId="0" applyFont="1" applyBorder="1" applyAlignment="1" applyProtection="1">
      <alignment horizontal="center" vertical="center" textRotation="255"/>
      <protection hidden="1"/>
    </xf>
    <xf numFmtId="0" fontId="34" fillId="0" borderId="0" xfId="0" applyFont="1" applyAlignment="1" applyProtection="1">
      <alignment horizontal="left" vertical="center" wrapText="1"/>
      <protection hidden="1"/>
    </xf>
    <xf numFmtId="0" fontId="38" fillId="0" borderId="0" xfId="0" applyFont="1" applyAlignment="1" applyProtection="1">
      <alignment vertical="center" wrapText="1"/>
      <protection hidden="1"/>
    </xf>
    <xf numFmtId="0" fontId="34" fillId="0" borderId="83" xfId="0" applyFont="1" applyBorder="1" applyAlignment="1" applyProtection="1">
      <alignment horizontal="center" vertical="center" wrapText="1"/>
      <protection hidden="1"/>
    </xf>
    <xf numFmtId="0" fontId="34" fillId="0" borderId="100" xfId="0" applyFont="1" applyBorder="1" applyAlignment="1" applyProtection="1">
      <alignment horizontal="center" vertical="center" wrapText="1"/>
      <protection hidden="1"/>
    </xf>
    <xf numFmtId="0" fontId="34" fillId="0" borderId="101" xfId="0" applyFont="1" applyBorder="1" applyAlignment="1" applyProtection="1">
      <alignment horizontal="center" vertical="center" wrapText="1"/>
      <protection hidden="1"/>
    </xf>
    <xf numFmtId="0" fontId="34" fillId="0" borderId="54" xfId="0" applyFont="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34" fillId="0" borderId="63"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32" borderId="82" xfId="0" applyFont="1" applyFill="1" applyBorder="1" applyAlignment="1" applyProtection="1">
      <alignment horizontal="center" vertical="center" wrapText="1"/>
      <protection hidden="1"/>
    </xf>
    <xf numFmtId="0" fontId="34" fillId="32" borderId="70" xfId="0" applyFont="1" applyFill="1" applyBorder="1" applyAlignment="1" applyProtection="1">
      <alignment horizontal="center" vertical="center" wrapText="1"/>
      <protection hidden="1"/>
    </xf>
    <xf numFmtId="0" fontId="34" fillId="32" borderId="53" xfId="0" applyFont="1" applyFill="1" applyBorder="1" applyAlignment="1" applyProtection="1">
      <alignment horizontal="center" vertical="center" wrapText="1"/>
      <protection hidden="1"/>
    </xf>
    <xf numFmtId="0" fontId="38" fillId="0" borderId="102" xfId="0" applyFont="1" applyBorder="1" applyAlignment="1" applyProtection="1">
      <alignment vertical="center" wrapText="1"/>
      <protection hidden="1"/>
    </xf>
    <xf numFmtId="0" fontId="38" fillId="0" borderId="99" xfId="0" applyFont="1" applyBorder="1" applyAlignment="1" applyProtection="1">
      <alignment vertical="center" wrapText="1"/>
      <protection hidden="1"/>
    </xf>
    <xf numFmtId="0" fontId="38" fillId="0" borderId="95" xfId="0" applyFont="1" applyBorder="1" applyAlignment="1" applyProtection="1">
      <alignment vertical="center" wrapText="1"/>
      <protection hidden="1"/>
    </xf>
    <xf numFmtId="0" fontId="38" fillId="32" borderId="83" xfId="0" applyFont="1" applyFill="1" applyBorder="1" applyAlignment="1" applyProtection="1">
      <alignment horizontal="center" vertical="center" wrapText="1"/>
      <protection hidden="1"/>
    </xf>
    <xf numFmtId="0" fontId="38" fillId="32" borderId="100" xfId="0" applyFont="1" applyFill="1" applyBorder="1" applyAlignment="1" applyProtection="1">
      <alignment horizontal="center" vertical="center" wrapText="1"/>
      <protection hidden="1"/>
    </xf>
    <xf numFmtId="0" fontId="38" fillId="32" borderId="54" xfId="0" applyFont="1" applyFill="1" applyBorder="1" applyAlignment="1" applyProtection="1">
      <alignment horizontal="center" vertical="center" wrapText="1"/>
      <protection hidden="1"/>
    </xf>
    <xf numFmtId="0" fontId="38" fillId="32" borderId="0" xfId="0" applyFont="1" applyFill="1" applyAlignment="1" applyProtection="1">
      <alignment horizontal="center" vertical="center" wrapText="1"/>
      <protection hidden="1"/>
    </xf>
    <xf numFmtId="0" fontId="38" fillId="32" borderId="7" xfId="0" applyFont="1" applyFill="1" applyBorder="1" applyAlignment="1" applyProtection="1">
      <alignment horizontal="center" vertical="center" wrapText="1"/>
      <protection hidden="1"/>
    </xf>
    <xf numFmtId="0" fontId="38" fillId="32" borderId="36" xfId="0" applyFont="1" applyFill="1" applyBorder="1" applyAlignment="1" applyProtection="1">
      <alignment horizontal="center" vertical="center" wrapText="1"/>
      <protection hidden="1"/>
    </xf>
    <xf numFmtId="219" fontId="38" fillId="0" borderId="99" xfId="0" applyNumberFormat="1" applyFont="1" applyBorder="1" applyProtection="1">
      <alignment vertical="center"/>
      <protection hidden="1"/>
    </xf>
    <xf numFmtId="0" fontId="38" fillId="0" borderId="86" xfId="0" applyFont="1" applyBorder="1" applyAlignment="1" applyProtection="1">
      <alignment vertical="center" wrapText="1"/>
      <protection hidden="1"/>
    </xf>
    <xf numFmtId="0" fontId="38" fillId="0" borderId="82" xfId="0" applyFont="1" applyBorder="1" applyAlignment="1" applyProtection="1">
      <alignment vertical="center" wrapText="1"/>
      <protection hidden="1"/>
    </xf>
    <xf numFmtId="0" fontId="34" fillId="0" borderId="86" xfId="0" applyFont="1" applyBorder="1" applyAlignment="1" applyProtection="1">
      <alignment vertical="center" wrapText="1"/>
      <protection hidden="1"/>
    </xf>
    <xf numFmtId="0" fontId="38" fillId="32" borderId="83" xfId="0" applyFont="1" applyFill="1" applyBorder="1" applyAlignment="1" applyProtection="1">
      <alignment horizontal="center" vertical="center"/>
      <protection hidden="1"/>
    </xf>
    <xf numFmtId="0" fontId="38" fillId="32" borderId="100" xfId="0" applyFont="1" applyFill="1" applyBorder="1" applyAlignment="1" applyProtection="1">
      <alignment horizontal="center" vertical="center"/>
      <protection hidden="1"/>
    </xf>
    <xf numFmtId="0" fontId="38" fillId="32" borderId="7" xfId="0" applyFont="1" applyFill="1" applyBorder="1" applyAlignment="1" applyProtection="1">
      <alignment horizontal="center" vertical="center"/>
      <protection hidden="1"/>
    </xf>
    <xf numFmtId="0" fontId="38" fillId="32" borderId="36" xfId="0" applyFont="1" applyFill="1" applyBorder="1" applyAlignment="1" applyProtection="1">
      <alignment horizontal="center" vertical="center"/>
      <protection hidden="1"/>
    </xf>
    <xf numFmtId="0" fontId="38" fillId="0" borderId="100" xfId="0" applyFont="1" applyBorder="1" applyAlignment="1" applyProtection="1">
      <alignment vertical="center" wrapText="1"/>
      <protection hidden="1"/>
    </xf>
    <xf numFmtId="0" fontId="38" fillId="0" borderId="36" xfId="0" applyFont="1" applyBorder="1" applyAlignment="1" applyProtection="1">
      <alignment vertical="center" wrapText="1"/>
      <protection hidden="1"/>
    </xf>
    <xf numFmtId="210" fontId="38" fillId="0" borderId="83" xfId="0" applyNumberFormat="1" applyFont="1" applyBorder="1" applyProtection="1">
      <alignment vertical="center"/>
      <protection hidden="1"/>
    </xf>
    <xf numFmtId="210" fontId="38" fillId="0" borderId="100" xfId="0" applyNumberFormat="1" applyFont="1" applyBorder="1" applyProtection="1">
      <alignment vertical="center"/>
      <protection hidden="1"/>
    </xf>
    <xf numFmtId="178" fontId="38" fillId="0" borderId="83" xfId="0" applyNumberFormat="1" applyFont="1" applyBorder="1" applyProtection="1">
      <alignment vertical="center"/>
      <protection hidden="1"/>
    </xf>
    <xf numFmtId="178" fontId="38" fillId="0" borderId="100" xfId="0" applyNumberFormat="1" applyFont="1" applyBorder="1" applyProtection="1">
      <alignment vertical="center"/>
      <protection hidden="1"/>
    </xf>
    <xf numFmtId="0" fontId="38" fillId="32" borderId="102" xfId="0" applyFont="1" applyFill="1" applyBorder="1" applyAlignment="1" applyProtection="1">
      <alignment horizontal="center" vertical="center" wrapText="1"/>
      <protection hidden="1"/>
    </xf>
    <xf numFmtId="0" fontId="38" fillId="32" borderId="99" xfId="0" applyFont="1" applyFill="1" applyBorder="1" applyAlignment="1" applyProtection="1">
      <alignment horizontal="center" vertical="center" wrapText="1"/>
      <protection hidden="1"/>
    </xf>
    <xf numFmtId="0" fontId="38" fillId="32" borderId="95" xfId="0" applyFont="1" applyFill="1" applyBorder="1" applyAlignment="1" applyProtection="1">
      <alignment horizontal="center" vertical="center" wrapText="1"/>
      <protection hidden="1"/>
    </xf>
    <xf numFmtId="0" fontId="38" fillId="32" borderId="101" xfId="0" applyFont="1" applyFill="1" applyBorder="1" applyAlignment="1" applyProtection="1">
      <alignment horizontal="center" vertical="center"/>
      <protection hidden="1"/>
    </xf>
    <xf numFmtId="0" fontId="38" fillId="32" borderId="101" xfId="0" applyFont="1" applyFill="1" applyBorder="1" applyAlignment="1" applyProtection="1">
      <alignment horizontal="center" vertical="center" wrapText="1"/>
      <protection hidden="1"/>
    </xf>
    <xf numFmtId="0" fontId="38" fillId="32" borderId="102" xfId="0" applyFont="1" applyFill="1" applyBorder="1" applyAlignment="1">
      <alignment horizontal="center" vertical="center" wrapText="1"/>
    </xf>
    <xf numFmtId="0" fontId="38" fillId="32" borderId="99" xfId="0" applyFont="1" applyFill="1" applyBorder="1" applyAlignment="1">
      <alignment horizontal="center" vertical="center" wrapText="1"/>
    </xf>
    <xf numFmtId="0" fontId="38" fillId="0" borderId="99" xfId="0" applyFont="1" applyBorder="1" applyAlignment="1">
      <alignment vertical="center" wrapText="1"/>
    </xf>
    <xf numFmtId="0" fontId="38" fillId="0" borderId="95" xfId="0" applyFont="1" applyBorder="1" applyAlignment="1">
      <alignment vertical="center" wrapText="1"/>
    </xf>
    <xf numFmtId="220" fontId="38" fillId="0" borderId="83" xfId="0" applyNumberFormat="1" applyFont="1" applyBorder="1" applyProtection="1">
      <alignment vertical="center"/>
      <protection hidden="1"/>
    </xf>
    <xf numFmtId="220" fontId="38" fillId="0" borderId="100" xfId="0" applyNumberFormat="1" applyFont="1" applyBorder="1" applyProtection="1">
      <alignment vertical="center"/>
      <protection hidden="1"/>
    </xf>
    <xf numFmtId="210" fontId="38" fillId="0" borderId="102" xfId="0" applyNumberFormat="1" applyFont="1" applyBorder="1" applyProtection="1">
      <alignment vertical="center"/>
      <protection hidden="1"/>
    </xf>
    <xf numFmtId="210" fontId="38" fillId="0" borderId="99" xfId="0" applyNumberFormat="1" applyFont="1" applyBorder="1" applyProtection="1">
      <alignment vertical="center"/>
      <protection hidden="1"/>
    </xf>
    <xf numFmtId="210" fontId="38" fillId="0" borderId="83" xfId="0" applyNumberFormat="1" applyFont="1" applyBorder="1" applyAlignment="1" applyProtection="1">
      <alignment vertical="center" shrinkToFit="1"/>
      <protection hidden="1"/>
    </xf>
    <xf numFmtId="210" fontId="38" fillId="0" borderId="100" xfId="0" applyNumberFormat="1" applyFont="1" applyBorder="1" applyAlignment="1" applyProtection="1">
      <alignment vertical="center" shrinkToFit="1"/>
      <protection hidden="1"/>
    </xf>
    <xf numFmtId="0" fontId="39" fillId="44" borderId="179" xfId="0" applyFont="1" applyFill="1" applyBorder="1" applyAlignment="1" applyProtection="1">
      <alignment horizontal="center" vertical="center" wrapText="1"/>
      <protection hidden="1"/>
    </xf>
    <xf numFmtId="0" fontId="39" fillId="44" borderId="138" xfId="0" applyFont="1" applyFill="1" applyBorder="1" applyAlignment="1" applyProtection="1">
      <alignment horizontal="center" vertical="center" wrapText="1"/>
      <protection hidden="1"/>
    </xf>
    <xf numFmtId="0" fontId="39" fillId="44" borderId="180" xfId="0" applyFont="1" applyFill="1" applyBorder="1" applyAlignment="1" applyProtection="1">
      <alignment horizontal="center" vertical="center" wrapText="1"/>
      <protection hidden="1"/>
    </xf>
    <xf numFmtId="0" fontId="39" fillId="44" borderId="175" xfId="0" applyFont="1" applyFill="1" applyBorder="1" applyAlignment="1" applyProtection="1">
      <alignment horizontal="center" vertical="center" wrapText="1"/>
      <protection hidden="1"/>
    </xf>
    <xf numFmtId="0" fontId="39" fillId="44" borderId="139" xfId="0" applyFont="1" applyFill="1" applyBorder="1" applyAlignment="1" applyProtection="1">
      <alignment horizontal="center" vertical="center" wrapText="1"/>
      <protection hidden="1"/>
    </xf>
    <xf numFmtId="0" fontId="39" fillId="44" borderId="176" xfId="0" applyFont="1" applyFill="1" applyBorder="1" applyAlignment="1" applyProtection="1">
      <alignment horizontal="center" vertical="center" wrapText="1"/>
      <protection hidden="1"/>
    </xf>
    <xf numFmtId="0" fontId="39" fillId="44" borderId="140" xfId="0" applyFont="1" applyFill="1" applyBorder="1" applyAlignment="1" applyProtection="1">
      <alignment horizontal="center" vertical="center" wrapText="1"/>
      <protection hidden="1"/>
    </xf>
    <xf numFmtId="0" fontId="39" fillId="44" borderId="177" xfId="0" applyFont="1" applyFill="1" applyBorder="1" applyAlignment="1" applyProtection="1">
      <alignment horizontal="center" vertical="center" wrapText="1"/>
      <protection hidden="1"/>
    </xf>
    <xf numFmtId="0" fontId="38" fillId="0" borderId="109" xfId="54" applyNumberFormat="1" applyFont="1" applyFill="1" applyBorder="1" applyAlignment="1" applyProtection="1">
      <alignment horizontal="center" vertical="center"/>
      <protection hidden="1"/>
    </xf>
    <xf numFmtId="0" fontId="39" fillId="4" borderId="117" xfId="3" applyFont="1" applyFill="1" applyBorder="1" applyAlignment="1" applyProtection="1">
      <alignment horizontal="center" vertical="center"/>
      <protection hidden="1"/>
    </xf>
    <xf numFmtId="0" fontId="39" fillId="4" borderId="63" xfId="3" applyFont="1" applyFill="1" applyBorder="1" applyAlignment="1" applyProtection="1">
      <alignment horizontal="center" vertical="center"/>
      <protection hidden="1"/>
    </xf>
    <xf numFmtId="0" fontId="39" fillId="4" borderId="17" xfId="3" applyFont="1" applyFill="1" applyBorder="1" applyAlignment="1" applyProtection="1">
      <alignment horizontal="center" vertical="center"/>
      <protection hidden="1"/>
    </xf>
    <xf numFmtId="0" fontId="39" fillId="4" borderId="172" xfId="3" applyFont="1" applyFill="1" applyBorder="1" applyAlignment="1" applyProtection="1">
      <alignment horizontal="center" vertical="center"/>
      <protection hidden="1"/>
    </xf>
    <xf numFmtId="0" fontId="39" fillId="4" borderId="59" xfId="3" applyFont="1" applyFill="1" applyBorder="1" applyAlignment="1" applyProtection="1">
      <alignment horizontal="center" vertical="center"/>
      <protection hidden="1"/>
    </xf>
    <xf numFmtId="0" fontId="34" fillId="0" borderId="1" xfId="0" applyFont="1" applyBorder="1" applyAlignment="1" applyProtection="1">
      <alignment horizontal="center" vertical="center" textRotation="255"/>
      <protection hidden="1"/>
    </xf>
    <xf numFmtId="0" fontId="34" fillId="0" borderId="1" xfId="0" applyFont="1" applyBorder="1" applyAlignment="1" applyProtection="1">
      <alignment horizontal="distributed" vertical="center"/>
      <protection hidden="1"/>
    </xf>
    <xf numFmtId="0" fontId="53" fillId="0" borderId="198" xfId="0" applyFont="1" applyBorder="1" applyAlignment="1" applyProtection="1">
      <alignment horizontal="center" vertical="center"/>
      <protection locked="0"/>
    </xf>
    <xf numFmtId="0" fontId="53" fillId="0" borderId="199" xfId="0" applyFont="1" applyBorder="1" applyAlignment="1" applyProtection="1">
      <alignment horizontal="center" vertical="center"/>
      <protection locked="0"/>
    </xf>
    <xf numFmtId="0" fontId="53" fillId="0" borderId="200" xfId="0" applyFont="1" applyBorder="1" applyAlignment="1" applyProtection="1">
      <alignment horizontal="center" vertical="center"/>
      <protection locked="0"/>
    </xf>
    <xf numFmtId="0" fontId="34" fillId="0" borderId="1" xfId="0" applyFont="1" applyBorder="1" applyAlignment="1" applyProtection="1">
      <alignment horizontal="distributed" vertical="center" wrapText="1"/>
      <protection hidden="1"/>
    </xf>
    <xf numFmtId="0" fontId="38" fillId="0" borderId="8" xfId="0" applyFont="1" applyBorder="1" applyAlignment="1" applyProtection="1">
      <alignment vertical="center" wrapText="1"/>
      <protection hidden="1"/>
    </xf>
    <xf numFmtId="0" fontId="38" fillId="0" borderId="53" xfId="0" applyFont="1" applyBorder="1" applyAlignment="1" applyProtection="1">
      <alignment vertical="center" wrapText="1"/>
      <protection hidden="1"/>
    </xf>
    <xf numFmtId="206" fontId="38" fillId="0" borderId="100" xfId="0" applyNumberFormat="1" applyFont="1" applyBorder="1" applyProtection="1">
      <alignment vertical="center"/>
      <protection hidden="1"/>
    </xf>
    <xf numFmtId="206" fontId="38" fillId="0" borderId="0" xfId="0" applyNumberFormat="1" applyFont="1" applyProtection="1">
      <alignment vertical="center"/>
      <protection hidden="1"/>
    </xf>
    <xf numFmtId="206" fontId="38" fillId="0" borderId="36" xfId="0" applyNumberFormat="1" applyFont="1" applyBorder="1" applyProtection="1">
      <alignment vertical="center"/>
      <protection hidden="1"/>
    </xf>
    <xf numFmtId="0" fontId="38" fillId="0" borderId="100" xfId="0" applyFont="1" applyBorder="1" applyProtection="1">
      <alignment vertical="center"/>
      <protection hidden="1"/>
    </xf>
    <xf numFmtId="0" fontId="38" fillId="0" borderId="0" xfId="0" applyFont="1" applyProtection="1">
      <alignment vertical="center"/>
      <protection hidden="1"/>
    </xf>
    <xf numFmtId="0" fontId="38" fillId="0" borderId="36" xfId="0" applyFont="1" applyBorder="1" applyProtection="1">
      <alignment vertical="center"/>
      <protection hidden="1"/>
    </xf>
    <xf numFmtId="0" fontId="38" fillId="0" borderId="102" xfId="0" applyFont="1" applyBorder="1" applyAlignment="1" applyProtection="1">
      <alignment horizontal="left" vertical="center" wrapText="1"/>
      <protection hidden="1"/>
    </xf>
    <xf numFmtId="0" fontId="38" fillId="0" borderId="99" xfId="0" applyFont="1" applyBorder="1" applyAlignment="1" applyProtection="1">
      <alignment horizontal="left" vertical="center" wrapText="1"/>
      <protection hidden="1"/>
    </xf>
    <xf numFmtId="0" fontId="38" fillId="0" borderId="95" xfId="0" applyFont="1" applyBorder="1" applyAlignment="1" applyProtection="1">
      <alignment horizontal="left" vertical="center" wrapText="1"/>
      <protection hidden="1"/>
    </xf>
    <xf numFmtId="0" fontId="38" fillId="32" borderId="86" xfId="0" applyFont="1" applyFill="1" applyBorder="1" applyAlignment="1" applyProtection="1">
      <alignment horizontal="center" vertical="center"/>
      <protection hidden="1"/>
    </xf>
    <xf numFmtId="0" fontId="38" fillId="32" borderId="102" xfId="0" applyFont="1" applyFill="1" applyBorder="1" applyAlignment="1" applyProtection="1">
      <alignment horizontal="center" vertical="center"/>
      <protection hidden="1"/>
    </xf>
    <xf numFmtId="0" fontId="38" fillId="32" borderId="99" xfId="0" applyFont="1" applyFill="1" applyBorder="1" applyAlignment="1" applyProtection="1">
      <alignment horizontal="center" vertical="center"/>
      <protection hidden="1"/>
    </xf>
    <xf numFmtId="0" fontId="38" fillId="32" borderId="95" xfId="0" applyFont="1" applyFill="1" applyBorder="1" applyAlignment="1" applyProtection="1">
      <alignment horizontal="center" vertical="center"/>
      <protection hidden="1"/>
    </xf>
    <xf numFmtId="0" fontId="38" fillId="0" borderId="86" xfId="0" applyFont="1" applyBorder="1" applyAlignment="1" applyProtection="1">
      <alignment horizontal="center" vertical="center"/>
      <protection hidden="1"/>
    </xf>
    <xf numFmtId="210" fontId="34" fillId="0" borderId="83" xfId="0" applyNumberFormat="1" applyFont="1" applyBorder="1" applyAlignment="1" applyProtection="1">
      <alignment vertical="center" wrapText="1"/>
      <protection hidden="1"/>
    </xf>
    <xf numFmtId="210" fontId="34" fillId="0" borderId="100" xfId="0" applyNumberFormat="1" applyFont="1" applyBorder="1" applyAlignment="1" applyProtection="1">
      <alignment vertical="center" wrapText="1"/>
      <protection hidden="1"/>
    </xf>
    <xf numFmtId="202" fontId="38" fillId="0" borderId="83" xfId="0" applyNumberFormat="1" applyFont="1" applyBorder="1" applyProtection="1">
      <alignment vertical="center"/>
      <protection hidden="1"/>
    </xf>
    <xf numFmtId="202" fontId="38" fillId="0" borderId="100" xfId="0" applyNumberFormat="1" applyFont="1" applyBorder="1" applyProtection="1">
      <alignment vertical="center"/>
      <protection hidden="1"/>
    </xf>
    <xf numFmtId="0" fontId="38" fillId="32" borderId="2" xfId="0" applyFont="1" applyFill="1" applyBorder="1" applyAlignment="1" applyProtection="1">
      <alignment horizontal="center" vertical="center"/>
      <protection hidden="1"/>
    </xf>
    <xf numFmtId="0" fontId="38" fillId="0" borderId="1" xfId="0" applyFont="1" applyBorder="1" applyAlignment="1" applyProtection="1">
      <alignment vertical="center" wrapText="1"/>
      <protection hidden="1"/>
    </xf>
    <xf numFmtId="0" fontId="34" fillId="32" borderId="82" xfId="0" applyFont="1" applyFill="1" applyBorder="1" applyAlignment="1" applyProtection="1">
      <alignment horizontal="distributed" vertical="center" wrapText="1"/>
      <protection hidden="1"/>
    </xf>
    <xf numFmtId="0" fontId="34" fillId="32" borderId="70" xfId="0" applyFont="1" applyFill="1" applyBorder="1" applyAlignment="1" applyProtection="1">
      <alignment horizontal="distributed" vertical="center" wrapText="1"/>
      <protection hidden="1"/>
    </xf>
    <xf numFmtId="0" fontId="34" fillId="32" borderId="53" xfId="0" applyFont="1" applyFill="1" applyBorder="1" applyAlignment="1" applyProtection="1">
      <alignment horizontal="distributed" vertical="center" wrapText="1"/>
      <protection hidden="1"/>
    </xf>
    <xf numFmtId="208" fontId="38" fillId="0" borderId="102" xfId="0" applyNumberFormat="1" applyFont="1" applyBorder="1" applyProtection="1">
      <alignment vertical="center"/>
      <protection hidden="1"/>
    </xf>
    <xf numFmtId="208" fontId="38" fillId="0" borderId="99" xfId="0" applyNumberFormat="1" applyFont="1" applyBorder="1" applyProtection="1">
      <alignment vertical="center"/>
      <protection hidden="1"/>
    </xf>
    <xf numFmtId="208" fontId="38" fillId="0" borderId="102" xfId="0" applyNumberFormat="1" applyFont="1" applyBorder="1" applyAlignment="1" applyProtection="1">
      <alignment vertical="center" shrinkToFit="1"/>
      <protection hidden="1"/>
    </xf>
    <xf numFmtId="208" fontId="38" fillId="0" borderId="99" xfId="0" applyNumberFormat="1" applyFont="1" applyBorder="1" applyAlignment="1" applyProtection="1">
      <alignment vertical="center" shrinkToFit="1"/>
      <protection hidden="1"/>
    </xf>
    <xf numFmtId="0" fontId="34" fillId="32" borderId="86" xfId="0" applyFont="1" applyFill="1" applyBorder="1" applyAlignment="1" applyProtection="1">
      <alignment horizontal="distributed" vertical="center" wrapText="1"/>
      <protection hidden="1"/>
    </xf>
    <xf numFmtId="0" fontId="38" fillId="32" borderId="1" xfId="0" applyFont="1" applyFill="1" applyBorder="1" applyAlignment="1" applyProtection="1">
      <alignment horizontal="center" vertical="center"/>
      <protection hidden="1"/>
    </xf>
    <xf numFmtId="210" fontId="34" fillId="0" borderId="102" xfId="0" applyNumberFormat="1" applyFont="1" applyBorder="1" applyAlignment="1" applyProtection="1">
      <alignment vertical="center" wrapText="1"/>
      <protection hidden="1"/>
    </xf>
    <xf numFmtId="210" fontId="34" fillId="0" borderId="99" xfId="0" applyNumberFormat="1" applyFont="1" applyBorder="1" applyAlignment="1" applyProtection="1">
      <alignment vertical="center" wrapText="1"/>
      <protection hidden="1"/>
    </xf>
    <xf numFmtId="0" fontId="38" fillId="2"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51" borderId="102" xfId="0" applyFont="1" applyFill="1" applyBorder="1" applyAlignment="1" applyProtection="1">
      <alignment horizontal="center" vertical="center"/>
      <protection hidden="1"/>
    </xf>
    <xf numFmtId="0" fontId="38" fillId="51" borderId="99" xfId="0" applyFont="1" applyFill="1" applyBorder="1" applyAlignment="1" applyProtection="1">
      <alignment horizontal="center" vertical="center"/>
      <protection hidden="1"/>
    </xf>
    <xf numFmtId="0" fontId="38" fillId="51" borderId="95" xfId="0" applyFont="1" applyFill="1" applyBorder="1" applyAlignment="1" applyProtection="1">
      <alignment horizontal="center" vertical="center"/>
      <protection hidden="1"/>
    </xf>
    <xf numFmtId="0" fontId="38" fillId="51" borderId="86" xfId="0" applyFont="1" applyFill="1" applyBorder="1" applyAlignment="1" applyProtection="1">
      <alignment horizontal="center" vertical="center"/>
      <protection hidden="1"/>
    </xf>
    <xf numFmtId="0" fontId="38" fillId="51" borderId="102" xfId="0" applyFont="1" applyFill="1" applyBorder="1" applyProtection="1">
      <alignment vertical="center"/>
      <protection hidden="1"/>
    </xf>
    <xf numFmtId="0" fontId="38" fillId="51" borderId="95" xfId="0" applyFont="1" applyFill="1" applyBorder="1" applyProtection="1">
      <alignment vertical="center"/>
      <protection hidden="1"/>
    </xf>
    <xf numFmtId="0" fontId="38" fillId="51" borderId="82" xfId="0" applyFont="1" applyFill="1" applyBorder="1" applyAlignment="1" applyProtection="1">
      <alignment horizontal="center" vertical="center"/>
      <protection hidden="1"/>
    </xf>
    <xf numFmtId="0" fontId="38" fillId="51" borderId="128" xfId="0" applyFont="1" applyFill="1" applyBorder="1" applyAlignment="1" applyProtection="1">
      <alignment horizontal="center" vertical="center"/>
      <protection hidden="1"/>
    </xf>
    <xf numFmtId="0" fontId="38" fillId="51" borderId="135" xfId="0" applyFont="1" applyFill="1" applyBorder="1" applyAlignment="1" applyProtection="1">
      <alignment vertical="center" shrinkToFit="1"/>
      <protection hidden="1"/>
    </xf>
    <xf numFmtId="0" fontId="38" fillId="51" borderId="121" xfId="0" applyFont="1" applyFill="1" applyBorder="1" applyAlignment="1" applyProtection="1">
      <alignment vertical="center" shrinkToFit="1"/>
      <protection hidden="1"/>
    </xf>
    <xf numFmtId="0" fontId="38" fillId="51" borderId="7" xfId="0" applyFont="1" applyFill="1" applyBorder="1" applyAlignment="1" applyProtection="1">
      <alignment horizontal="center" vertical="center"/>
      <protection hidden="1"/>
    </xf>
    <xf numFmtId="0" fontId="38" fillId="51" borderId="36" xfId="0" applyFont="1" applyFill="1" applyBorder="1" applyAlignment="1" applyProtection="1">
      <alignment horizontal="center" vertical="center"/>
      <protection hidden="1"/>
    </xf>
    <xf numFmtId="0" fontId="38" fillId="51" borderId="8" xfId="0" applyFont="1" applyFill="1" applyBorder="1" applyAlignment="1" applyProtection="1">
      <alignment horizontal="center" vertical="center"/>
      <protection hidden="1"/>
    </xf>
    <xf numFmtId="0" fontId="38" fillId="51" borderId="86" xfId="0" applyFont="1" applyFill="1" applyBorder="1" applyProtection="1">
      <alignment vertical="center"/>
      <protection hidden="1"/>
    </xf>
    <xf numFmtId="0" fontId="38" fillId="51" borderId="86" xfId="0" applyFont="1" applyFill="1" applyBorder="1" applyAlignment="1" applyProtection="1">
      <alignment horizontal="center" vertical="top" wrapText="1"/>
      <protection hidden="1"/>
    </xf>
    <xf numFmtId="0" fontId="38" fillId="51" borderId="86" xfId="0" applyFont="1" applyFill="1" applyBorder="1" applyAlignment="1" applyProtection="1">
      <alignment horizontal="center" vertical="top"/>
      <protection hidden="1"/>
    </xf>
    <xf numFmtId="0" fontId="38" fillId="51" borderId="82" xfId="0" applyFont="1" applyFill="1" applyBorder="1" applyAlignment="1" applyProtection="1">
      <alignment horizontal="center" vertical="top"/>
      <protection hidden="1"/>
    </xf>
    <xf numFmtId="0" fontId="30" fillId="0" borderId="102" xfId="0" applyFont="1" applyBorder="1" applyAlignment="1" applyProtection="1">
      <alignment horizontal="left" vertical="center"/>
      <protection hidden="1"/>
    </xf>
    <xf numFmtId="0" fontId="30" fillId="0" borderId="86" xfId="0" applyFont="1" applyBorder="1" applyAlignment="1" applyProtection="1">
      <alignment horizontal="center" vertical="center"/>
      <protection hidden="1"/>
    </xf>
    <xf numFmtId="0" fontId="30" fillId="29" borderId="0" xfId="0" applyFont="1" applyFill="1" applyAlignment="1" applyProtection="1">
      <alignment horizontal="center" vertical="center"/>
      <protection hidden="1"/>
    </xf>
    <xf numFmtId="0" fontId="30" fillId="42" borderId="5" xfId="2" applyFont="1" applyFill="1" applyBorder="1" applyAlignment="1" applyProtection="1">
      <alignment horizontal="center" vertical="center" wrapText="1"/>
      <protection hidden="1"/>
    </xf>
    <xf numFmtId="0" fontId="30" fillId="42" borderId="54" xfId="2" applyFont="1" applyFill="1" applyBorder="1" applyAlignment="1" applyProtection="1">
      <alignment horizontal="center" vertical="center" wrapText="1"/>
      <protection hidden="1"/>
    </xf>
    <xf numFmtId="0" fontId="30" fillId="42" borderId="7" xfId="2" applyFont="1" applyFill="1" applyBorder="1" applyAlignment="1" applyProtection="1">
      <alignment horizontal="center" vertical="center" wrapText="1"/>
      <protection hidden="1"/>
    </xf>
    <xf numFmtId="38" fontId="30" fillId="29" borderId="111" xfId="53" applyFont="1" applyFill="1" applyBorder="1" applyAlignment="1" applyProtection="1">
      <alignment horizontal="center" vertical="center" wrapText="1"/>
      <protection hidden="1"/>
    </xf>
    <xf numFmtId="38" fontId="30" fillId="29" borderId="84" xfId="53" applyFont="1" applyFill="1" applyBorder="1" applyAlignment="1" applyProtection="1">
      <alignment horizontal="center" vertical="center" wrapText="1"/>
      <protection hidden="1"/>
    </xf>
    <xf numFmtId="38" fontId="30" fillId="43" borderId="33" xfId="53" applyFont="1" applyFill="1" applyBorder="1" applyAlignment="1" applyProtection="1">
      <alignment horizontal="center" vertical="center"/>
      <protection hidden="1"/>
    </xf>
    <xf numFmtId="38" fontId="30" fillId="43" borderId="70" xfId="53" applyFont="1" applyFill="1" applyBorder="1" applyAlignment="1" applyProtection="1">
      <alignment horizontal="center" vertical="center"/>
      <protection hidden="1"/>
    </xf>
    <xf numFmtId="38" fontId="30" fillId="43" borderId="53" xfId="53" applyFont="1" applyFill="1" applyBorder="1" applyAlignment="1" applyProtection="1">
      <alignment horizontal="center" vertical="center"/>
      <protection hidden="1"/>
    </xf>
    <xf numFmtId="0" fontId="30" fillId="41" borderId="5" xfId="2" applyFont="1" applyFill="1" applyBorder="1" applyAlignment="1" applyProtection="1">
      <alignment horizontal="center" vertical="center" wrapText="1"/>
      <protection hidden="1"/>
    </xf>
    <xf numFmtId="0" fontId="30" fillId="41" borderId="54" xfId="2" applyFont="1" applyFill="1" applyBorder="1" applyAlignment="1" applyProtection="1">
      <alignment horizontal="center" vertical="center" wrapText="1"/>
      <protection hidden="1"/>
    </xf>
    <xf numFmtId="0" fontId="30" fillId="41" borderId="7" xfId="2" applyFont="1" applyFill="1" applyBorder="1" applyAlignment="1" applyProtection="1">
      <alignment horizontal="center" vertical="center" wrapText="1"/>
      <protection hidden="1"/>
    </xf>
    <xf numFmtId="38" fontId="30" fillId="30" borderId="33" xfId="53" applyFont="1" applyFill="1" applyBorder="1" applyAlignment="1" applyProtection="1">
      <alignment horizontal="center" vertical="center" wrapText="1"/>
      <protection hidden="1"/>
    </xf>
    <xf numFmtId="38" fontId="30" fillId="30" borderId="70" xfId="53" applyFont="1" applyFill="1" applyBorder="1" applyAlignment="1" applyProtection="1">
      <alignment horizontal="center" vertical="center" wrapText="1"/>
      <protection hidden="1"/>
    </xf>
    <xf numFmtId="38" fontId="30" fillId="30" borderId="53" xfId="53" applyFont="1" applyFill="1" applyBorder="1" applyAlignment="1" applyProtection="1">
      <alignment horizontal="center" vertical="center" wrapText="1"/>
      <protection hidden="1"/>
    </xf>
    <xf numFmtId="0" fontId="30" fillId="29" borderId="75" xfId="2" applyFont="1" applyFill="1" applyBorder="1" applyAlignment="1" applyProtection="1">
      <alignment horizontal="center" vertical="center" wrapText="1"/>
      <protection hidden="1"/>
    </xf>
    <xf numFmtId="0" fontId="30" fillId="29" borderId="73" xfId="2" applyFont="1" applyFill="1" applyBorder="1" applyAlignment="1" applyProtection="1">
      <alignment horizontal="center" vertical="center" wrapText="1"/>
      <protection hidden="1"/>
    </xf>
    <xf numFmtId="0" fontId="30" fillId="29" borderId="72" xfId="2" applyFont="1" applyFill="1" applyBorder="1" applyAlignment="1" applyProtection="1">
      <alignment horizontal="center" vertical="center"/>
      <protection hidden="1"/>
    </xf>
    <xf numFmtId="0" fontId="30" fillId="29" borderId="75" xfId="2" applyFont="1" applyFill="1" applyBorder="1" applyAlignment="1" applyProtection="1">
      <alignment horizontal="center" vertical="center"/>
      <protection hidden="1"/>
    </xf>
    <xf numFmtId="0" fontId="30" fillId="29" borderId="116" xfId="2" applyFont="1" applyFill="1" applyBorder="1" applyAlignment="1" applyProtection="1">
      <alignment horizontal="center" vertical="center"/>
      <protection hidden="1"/>
    </xf>
    <xf numFmtId="0" fontId="30" fillId="29" borderId="77" xfId="2" applyFont="1" applyFill="1" applyBorder="1" applyAlignment="1" applyProtection="1">
      <alignment vertical="center"/>
      <protection hidden="1"/>
    </xf>
    <xf numFmtId="0" fontId="30" fillId="29" borderId="114" xfId="2" applyFont="1" applyFill="1" applyBorder="1" applyAlignment="1" applyProtection="1">
      <alignment vertical="center"/>
      <protection hidden="1"/>
    </xf>
    <xf numFmtId="0" fontId="34" fillId="29" borderId="72" xfId="3" applyFont="1" applyFill="1" applyBorder="1" applyAlignment="1" applyProtection="1">
      <alignment horizontal="center" vertical="center" wrapText="1"/>
      <protection hidden="1"/>
    </xf>
    <xf numFmtId="0" fontId="34" fillId="29" borderId="73" xfId="3" applyFont="1" applyFill="1" applyBorder="1" applyAlignment="1" applyProtection="1">
      <alignment horizontal="center" vertical="center" wrapText="1"/>
      <protection hidden="1"/>
    </xf>
    <xf numFmtId="0" fontId="34" fillId="29" borderId="72" xfId="3" applyFont="1" applyFill="1" applyBorder="1" applyAlignment="1" applyProtection="1">
      <alignment horizontal="center" vertical="center"/>
      <protection hidden="1"/>
    </xf>
    <xf numFmtId="0" fontId="34" fillId="29" borderId="75" xfId="3" applyFont="1" applyFill="1" applyBorder="1" applyAlignment="1" applyProtection="1">
      <alignment horizontal="center" vertical="center"/>
      <protection hidden="1"/>
    </xf>
    <xf numFmtId="0" fontId="34" fillId="29" borderId="73" xfId="3" applyFont="1" applyFill="1" applyBorder="1" applyAlignment="1" applyProtection="1">
      <alignment horizontal="center" vertical="center"/>
      <protection hidden="1"/>
    </xf>
    <xf numFmtId="0" fontId="34" fillId="29" borderId="77" xfId="3" applyFont="1" applyFill="1" applyBorder="1" applyAlignment="1" applyProtection="1">
      <alignment horizontal="center" vertical="center"/>
      <protection hidden="1"/>
    </xf>
    <xf numFmtId="0" fontId="34" fillId="29" borderId="74" xfId="3" applyFont="1" applyFill="1" applyBorder="1" applyAlignment="1" applyProtection="1">
      <alignment horizontal="center" vertical="center"/>
      <protection hidden="1"/>
    </xf>
    <xf numFmtId="0" fontId="34" fillId="29" borderId="76" xfId="3" applyFont="1" applyFill="1" applyBorder="1" applyAlignment="1" applyProtection="1">
      <alignment horizontal="center" vertical="center"/>
      <protection hidden="1"/>
    </xf>
    <xf numFmtId="0" fontId="30" fillId="29" borderId="74" xfId="2" applyFont="1" applyFill="1" applyBorder="1" applyAlignment="1" applyProtection="1">
      <alignment horizontal="center" vertical="center" wrapText="1"/>
      <protection hidden="1"/>
    </xf>
    <xf numFmtId="0" fontId="30" fillId="29" borderId="76" xfId="2" applyFont="1" applyFill="1" applyBorder="1" applyAlignment="1" applyProtection="1">
      <alignment horizontal="center" vertical="center" wrapText="1"/>
      <protection hidden="1"/>
    </xf>
    <xf numFmtId="0" fontId="30" fillId="29" borderId="77" xfId="2" applyFont="1" applyFill="1" applyBorder="1" applyAlignment="1" applyProtection="1">
      <alignment horizontal="center" vertical="center" wrapText="1"/>
      <protection hidden="1"/>
    </xf>
    <xf numFmtId="0" fontId="30" fillId="29" borderId="73" xfId="2" applyFont="1" applyFill="1" applyBorder="1" applyAlignment="1" applyProtection="1">
      <alignment horizontal="center" vertical="center"/>
      <protection hidden="1"/>
    </xf>
  </cellXfs>
  <cellStyles count="56">
    <cellStyle name="20% - アクセント 1 2" xfId="6" xr:uid="{00000000-0005-0000-0000-000000000000}"/>
    <cellStyle name="20% - アクセント 2 2" xfId="7" xr:uid="{00000000-0005-0000-0000-000001000000}"/>
    <cellStyle name="20% - アクセント 3 2" xfId="8" xr:uid="{00000000-0005-0000-0000-000002000000}"/>
    <cellStyle name="20% - アクセント 4 2" xfId="9" xr:uid="{00000000-0005-0000-0000-000003000000}"/>
    <cellStyle name="20% - アクセント 5 2" xfId="10" xr:uid="{00000000-0005-0000-0000-000004000000}"/>
    <cellStyle name="20% - アクセント 6 2" xfId="11" xr:uid="{00000000-0005-0000-0000-000005000000}"/>
    <cellStyle name="40% - アクセント 1 2" xfId="12" xr:uid="{00000000-0005-0000-0000-000006000000}"/>
    <cellStyle name="40% - アクセント 2 2" xfId="13" xr:uid="{00000000-0005-0000-0000-000007000000}"/>
    <cellStyle name="40% - アクセント 3 2" xfId="14" xr:uid="{00000000-0005-0000-0000-000008000000}"/>
    <cellStyle name="40% - アクセント 4 2" xfId="15" xr:uid="{00000000-0005-0000-0000-000009000000}"/>
    <cellStyle name="40% - アクセント 5 2" xfId="16" xr:uid="{00000000-0005-0000-0000-00000A000000}"/>
    <cellStyle name="40% - アクセント 6 2" xfId="17" xr:uid="{00000000-0005-0000-0000-00000B000000}"/>
    <cellStyle name="60% - アクセント 1 2" xfId="18" xr:uid="{00000000-0005-0000-0000-00000C000000}"/>
    <cellStyle name="60% - アクセント 2 2" xfId="19" xr:uid="{00000000-0005-0000-0000-00000D000000}"/>
    <cellStyle name="60% - アクセント 3 2" xfId="20" xr:uid="{00000000-0005-0000-0000-00000E000000}"/>
    <cellStyle name="60% - アクセント 4 2" xfId="21" xr:uid="{00000000-0005-0000-0000-00000F000000}"/>
    <cellStyle name="60% - アクセント 5 2" xfId="22" xr:uid="{00000000-0005-0000-0000-000010000000}"/>
    <cellStyle name="60% - アクセント 6 2" xfId="23" xr:uid="{00000000-0005-0000-0000-000011000000}"/>
    <cellStyle name="アクセント 1 2" xfId="24" xr:uid="{00000000-0005-0000-0000-000012000000}"/>
    <cellStyle name="アクセント 2 2" xfId="25" xr:uid="{00000000-0005-0000-0000-000013000000}"/>
    <cellStyle name="アクセント 3 2" xfId="26" xr:uid="{00000000-0005-0000-0000-000014000000}"/>
    <cellStyle name="アクセント 4 2" xfId="27" xr:uid="{00000000-0005-0000-0000-000015000000}"/>
    <cellStyle name="アクセント 5 2" xfId="28" xr:uid="{00000000-0005-0000-0000-000016000000}"/>
    <cellStyle name="アクセント 6 2" xfId="29" xr:uid="{00000000-0005-0000-0000-000017000000}"/>
    <cellStyle name="スタイル 1" xfId="30" xr:uid="{00000000-0005-0000-0000-000018000000}"/>
    <cellStyle name="タイトル 2" xfId="31" xr:uid="{00000000-0005-0000-0000-000019000000}"/>
    <cellStyle name="チェック セル 2" xfId="32" xr:uid="{00000000-0005-0000-0000-00001A000000}"/>
    <cellStyle name="どちらでもない 2" xfId="33" xr:uid="{00000000-0005-0000-0000-00001B000000}"/>
    <cellStyle name="ハイパーリンク" xfId="50" builtinId="8"/>
    <cellStyle name="ハイパーリンク 2" xfId="5" xr:uid="{00000000-0005-0000-0000-00001E000000}"/>
    <cellStyle name="メモ 2" xfId="34" xr:uid="{00000000-0005-0000-0000-00001F000000}"/>
    <cellStyle name="リンク セル 2" xfId="35" xr:uid="{00000000-0005-0000-0000-000020000000}"/>
    <cellStyle name="悪い 2" xfId="36" xr:uid="{00000000-0005-0000-0000-000021000000}"/>
    <cellStyle name="計算 2" xfId="37" xr:uid="{00000000-0005-0000-0000-000022000000}"/>
    <cellStyle name="警告文 2" xfId="38" xr:uid="{00000000-0005-0000-0000-000023000000}"/>
    <cellStyle name="桁区切り" xfId="51" builtinId="6"/>
    <cellStyle name="桁区切り 2" xfId="4" xr:uid="{00000000-0005-0000-0000-000024000000}"/>
    <cellStyle name="桁区切り 2 2" xfId="53" xr:uid="{3B07B953-CE5C-451B-9426-03218801E662}"/>
    <cellStyle name="桁区切り 2 2 2" xfId="54" xr:uid="{83D5A43D-4D2B-48C4-9BB4-F2F2F7C3ED28}"/>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入力 2" xfId="46" xr:uid="{00000000-0005-0000-0000-00002C000000}"/>
    <cellStyle name="標準" xfId="0" builtinId="0"/>
    <cellStyle name="標準 2" xfId="1" xr:uid="{00000000-0005-0000-0000-00002E000000}"/>
    <cellStyle name="標準 2 2" xfId="3" xr:uid="{00000000-0005-0000-0000-00002F000000}"/>
    <cellStyle name="標準 2 3" xfId="52" xr:uid="{BBC512C6-4DDF-4D6D-91B9-0EA80789B966}"/>
    <cellStyle name="標準 3" xfId="2" xr:uid="{00000000-0005-0000-0000-000030000000}"/>
    <cellStyle name="標準 3 2" xfId="55" xr:uid="{21BB1099-DA2B-493A-8EAA-02C7A42BFD6F}"/>
    <cellStyle name="標準 4" xfId="47" xr:uid="{00000000-0005-0000-0000-000031000000}"/>
    <cellStyle name="標準_01 地球温暖化対策計画書20090728" xfId="49" xr:uid="{00000000-0005-0000-0000-000032000000}"/>
    <cellStyle name="良い 2" xfId="48" xr:uid="{00000000-0005-0000-0000-000033000000}"/>
  </cellStyles>
  <dxfs count="314">
    <dxf>
      <font>
        <color rgb="FFCC99FF"/>
      </font>
    </dxf>
    <dxf>
      <fill>
        <patternFill>
          <bgColor theme="0"/>
        </patternFill>
      </fill>
    </dxf>
    <dxf>
      <font>
        <color theme="0" tint="-0.34998626667073579"/>
      </font>
    </dxf>
    <dxf>
      <font>
        <color theme="0"/>
      </font>
    </dxf>
    <dxf>
      <fill>
        <patternFill>
          <bgColor theme="0"/>
        </patternFill>
      </fill>
      <border>
        <left/>
        <right/>
        <top/>
        <bottom/>
        <vertical/>
        <horizontal/>
      </border>
    </dxf>
    <dxf>
      <fill>
        <patternFill>
          <bgColor theme="0"/>
        </patternFill>
      </fill>
    </dxf>
    <dxf>
      <fill>
        <patternFill>
          <bgColor theme="0"/>
        </patternFill>
      </fill>
    </dxf>
    <dxf>
      <fill>
        <patternFill>
          <bgColor theme="0"/>
        </patternFill>
      </fill>
    </dxf>
    <dxf>
      <font>
        <b/>
        <i val="0"/>
        <color rgb="FFFF0000"/>
      </font>
    </dxf>
    <dxf>
      <fill>
        <patternFill>
          <bgColor theme="0"/>
        </patternFill>
      </fill>
    </dxf>
    <dxf>
      <fill>
        <patternFill>
          <bgColor theme="0"/>
        </patternFill>
      </fill>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border>
        <left style="thin">
          <color theme="0" tint="-0.34998626667073579"/>
        </left>
        <vertical/>
        <horizontal/>
      </border>
    </dxf>
    <dxf>
      <fill>
        <patternFill>
          <bgColor theme="0"/>
        </patternFill>
      </fill>
      <border>
        <right/>
        <top/>
        <bottom/>
        <vertical/>
        <horizontal/>
      </border>
    </dxf>
    <dxf>
      <border>
        <left style="thin">
          <color theme="0" tint="-0.34998626667073579"/>
        </left>
        <vertical/>
        <horizontal/>
      </border>
    </dxf>
    <dxf>
      <border>
        <left style="thin">
          <color theme="0" tint="-0.34998626667073579"/>
        </left>
        <vertical/>
        <horizontal/>
      </border>
    </dxf>
    <dxf>
      <border>
        <left style="thin">
          <color auto="1"/>
        </left>
        <vertical/>
        <horizontal/>
      </border>
    </dxf>
    <dxf>
      <fill>
        <patternFill>
          <bgColor theme="0"/>
        </patternFill>
      </fill>
    </dxf>
    <dxf>
      <border>
        <right style="thin">
          <color theme="0" tint="-0.34998626667073579"/>
        </right>
        <vertical/>
        <horizontal/>
      </border>
    </dxf>
    <dxf>
      <fill>
        <patternFill>
          <bgColor theme="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theme="0"/>
        </patternFill>
      </fill>
    </dxf>
    <dxf>
      <font>
        <color theme="0" tint="-0.34998626667073579"/>
      </font>
      <fill>
        <patternFill patternType="solid">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b/>
        <i val="0"/>
        <color rgb="FFFF0000"/>
      </font>
      <fill>
        <patternFill>
          <bgColor theme="5" tint="0.79998168889431442"/>
        </patternFill>
      </fill>
    </dxf>
    <dxf>
      <border>
        <right style="thin">
          <color auto="1"/>
        </right>
        <vertical/>
        <horizontal/>
      </border>
    </dxf>
    <dxf>
      <numFmt numFmtId="222" formatCode="#,##0.############"/>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border>
        <right style="thin">
          <color auto="1"/>
        </right>
        <vertical/>
        <horizontal/>
      </border>
    </dxf>
    <dxf>
      <font>
        <b/>
        <i val="0"/>
        <color rgb="FFFF0000"/>
      </font>
    </dxf>
    <dxf>
      <fill>
        <patternFill>
          <bgColor theme="0"/>
        </patternFill>
      </fill>
    </dxf>
    <dxf>
      <font>
        <color theme="0" tint="-0.34998626667073579"/>
      </font>
    </dxf>
    <dxf>
      <font>
        <color theme="0" tint="-0.34998626667073579"/>
      </font>
      <fill>
        <patternFill patternType="none">
          <bgColor auto="1"/>
        </patternFill>
      </fill>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top style="thin">
          <color theme="0" tint="-0.34998626667073579"/>
        </top>
        <vertical/>
        <horizontal/>
      </border>
    </dxf>
    <dxf>
      <border>
        <bottom style="thin">
          <color theme="0" tint="-0.34998626667073579"/>
        </bottom>
        <vertical/>
        <horizontal/>
      </border>
    </dxf>
    <dxf>
      <font>
        <b/>
        <i val="0"/>
      </font>
    </dxf>
    <dxf>
      <font>
        <b/>
        <i val="0"/>
        <color rgb="FFFF0000"/>
      </font>
    </dxf>
    <dxf>
      <font>
        <color theme="0"/>
      </font>
    </dxf>
    <dxf>
      <fill>
        <patternFill>
          <bgColor theme="0"/>
        </patternFill>
      </fill>
    </dxf>
    <dxf>
      <fill>
        <patternFill>
          <bgColor theme="0"/>
        </patternFill>
      </fill>
    </dxf>
    <dxf>
      <fill>
        <patternFill>
          <fgColor indexed="64"/>
          <bgColor theme="0"/>
        </patternFill>
      </fill>
    </dxf>
    <dxf>
      <fill>
        <patternFill>
          <fgColor indexed="64"/>
          <bgColor theme="0"/>
        </patternFill>
      </fill>
    </dxf>
    <dxf>
      <fill>
        <patternFill>
          <fgColor indexed="64"/>
          <bgColor theme="0"/>
        </patternFill>
      </fill>
    </dxf>
    <dxf>
      <numFmt numFmtId="222" formatCode="#,##0.############"/>
    </dxf>
    <dxf>
      <fill>
        <patternFill>
          <bgColor theme="0"/>
        </patternFill>
      </fill>
    </dxf>
    <dxf>
      <numFmt numFmtId="222" formatCode="#,##0.############"/>
    </dxf>
    <dxf>
      <fill>
        <patternFill>
          <bgColor theme="0"/>
        </patternFill>
      </fill>
    </dxf>
    <dxf>
      <numFmt numFmtId="222" formatCode="#,##0.############"/>
    </dxf>
    <dxf>
      <fill>
        <patternFill>
          <bgColor theme="0"/>
        </patternFill>
      </fill>
    </dxf>
    <dxf>
      <numFmt numFmtId="222" formatCode="#,##0.############"/>
    </dxf>
    <dxf>
      <fill>
        <patternFill>
          <bgColor theme="0"/>
        </patternFill>
      </fill>
    </dxf>
    <dxf>
      <font>
        <color rgb="FFED7D31"/>
      </font>
    </dxf>
    <dxf>
      <fill>
        <patternFill>
          <bgColor theme="0"/>
        </patternFill>
      </fill>
    </dxf>
    <dxf>
      <fill>
        <patternFill>
          <bgColor theme="0"/>
        </patternFill>
      </fill>
    </dxf>
    <dxf>
      <font>
        <color theme="0" tint="-0.34998626667073579"/>
      </font>
    </dxf>
    <dxf>
      <font>
        <color theme="0"/>
      </font>
    </dxf>
    <dxf>
      <fill>
        <patternFill>
          <bgColor theme="0"/>
        </patternFill>
      </fill>
      <border>
        <left/>
        <right/>
        <top/>
        <bottom/>
        <vertical/>
        <horizontal/>
      </border>
    </dxf>
    <dxf>
      <fill>
        <patternFill>
          <bgColor theme="0"/>
        </patternFill>
      </fill>
    </dxf>
    <dxf>
      <fill>
        <patternFill>
          <bgColor theme="0"/>
        </patternFill>
      </fill>
    </dxf>
    <dxf>
      <fill>
        <patternFill>
          <bgColor theme="0"/>
        </patternFill>
      </fill>
    </dxf>
    <dxf>
      <font>
        <b/>
        <i val="0"/>
        <color rgb="FFFF0000"/>
      </font>
    </dxf>
    <dxf>
      <fill>
        <patternFill>
          <bgColor theme="0"/>
        </patternFill>
      </fill>
    </dxf>
    <dxf>
      <font>
        <color theme="0" tint="-0.34998626667073579"/>
      </font>
    </dxf>
    <dxf>
      <fill>
        <patternFill>
          <bgColor theme="0"/>
        </patternFill>
      </fill>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fill>
        <patternFill>
          <bgColor theme="0"/>
        </patternFill>
      </fill>
      <border>
        <right/>
        <top/>
        <bottom/>
        <vertical/>
        <horizontal/>
      </border>
    </dxf>
    <dxf>
      <border>
        <left style="thin">
          <color theme="0" tint="-0.34998626667073579"/>
        </left>
        <vertical/>
        <horizontal/>
      </border>
    </dxf>
    <dxf>
      <border>
        <left style="thin">
          <color auto="1"/>
        </left>
        <vertical/>
        <horizontal/>
      </border>
    </dxf>
    <dxf>
      <border>
        <left style="thin">
          <color theme="0" tint="-0.34998626667073579"/>
        </left>
        <vertical/>
        <horizontal/>
      </border>
    </dxf>
    <dxf>
      <fill>
        <patternFill>
          <bgColor theme="0"/>
        </patternFill>
      </fill>
    </dxf>
    <dxf>
      <border>
        <right style="thin">
          <color theme="0" tint="-0.34998626667073579"/>
        </right>
        <vertical/>
        <horizontal/>
      </border>
    </dxf>
    <dxf>
      <fill>
        <patternFill>
          <bgColor theme="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theme="0"/>
        </patternFill>
      </fill>
    </dxf>
    <dxf>
      <font>
        <color theme="0" tint="-0.34998626667073579"/>
      </font>
      <fill>
        <patternFill patternType="solid">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b/>
        <i val="0"/>
        <color rgb="FFFF0000"/>
      </font>
      <fill>
        <patternFill>
          <bgColor theme="5" tint="0.79998168889431442"/>
        </patternFill>
      </fill>
    </dxf>
    <dxf>
      <border>
        <right style="thin">
          <color auto="1"/>
        </right>
        <vertical/>
        <horizontal/>
      </border>
    </dxf>
    <dxf>
      <numFmt numFmtId="222" formatCode="#,##0.############"/>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b/>
        <i val="0"/>
      </font>
    </dxf>
    <dxf>
      <fill>
        <patternFill>
          <bgColor theme="0"/>
        </patternFill>
      </fill>
    </dxf>
    <dxf>
      <border>
        <right style="thin">
          <color auto="1"/>
        </right>
        <vertical/>
        <horizontal/>
      </border>
    </dxf>
    <dxf>
      <font>
        <b/>
        <i val="0"/>
      </font>
    </dxf>
    <dxf>
      <font>
        <b/>
        <i val="0"/>
      </font>
    </dxf>
    <dxf>
      <font>
        <b/>
        <i val="0"/>
      </font>
    </dxf>
    <dxf>
      <font>
        <b/>
        <i val="0"/>
        <color rgb="FFFF0000"/>
      </font>
    </dxf>
    <dxf>
      <fill>
        <patternFill>
          <bgColor theme="0"/>
        </patternFill>
      </fill>
    </dxf>
    <dxf>
      <font>
        <color theme="0" tint="-0.34998626667073579"/>
      </font>
    </dxf>
    <dxf>
      <font>
        <color theme="0" tint="-0.34998626667073579"/>
      </font>
      <fill>
        <patternFill patternType="none">
          <bgColor auto="1"/>
        </patternFill>
      </fill>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dxf>
    <dxf>
      <font>
        <color theme="0" tint="-0.34998626667073579"/>
      </font>
      <fill>
        <patternFill patternType="none">
          <bgColor auto="1"/>
        </patternFill>
      </fill>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top style="thin">
          <color theme="0" tint="-0.34998626667073579"/>
        </top>
        <vertical/>
        <horizontal/>
      </border>
    </dxf>
    <dxf>
      <border>
        <bottom style="thin">
          <color theme="0" tint="-0.34998626667073579"/>
        </bottom>
        <vertical/>
        <horizontal/>
      </border>
    </dxf>
    <dxf>
      <font>
        <b/>
        <i val="0"/>
      </font>
    </dxf>
    <dxf>
      <font>
        <color theme="0" tint="-0.34998626667073579"/>
      </font>
    </dxf>
    <dxf>
      <fill>
        <patternFill>
          <bgColor theme="0"/>
        </patternFill>
      </fill>
    </dxf>
    <dxf>
      <font>
        <color rgb="FF00B050"/>
      </font>
    </dxf>
    <dxf>
      <fill>
        <patternFill>
          <bgColor theme="0"/>
        </patternFill>
      </fill>
    </dxf>
    <dxf>
      <fill>
        <patternFill>
          <bgColor theme="0"/>
        </patternFill>
      </fill>
    </dxf>
    <dxf>
      <fill>
        <patternFill>
          <bgColor theme="0"/>
        </patternFill>
      </fill>
    </dxf>
    <dxf>
      <font>
        <color theme="0"/>
      </font>
    </dxf>
    <dxf>
      <font>
        <color theme="0" tint="-0.34998626667073579"/>
      </font>
    </dxf>
    <dxf>
      <fill>
        <patternFill>
          <bgColor theme="0"/>
        </patternFill>
      </fill>
      <border>
        <left/>
        <right/>
        <top/>
        <bottom/>
        <vertical/>
        <horizontal/>
      </border>
    </dxf>
    <dxf>
      <fill>
        <patternFill>
          <bgColor theme="0"/>
        </patternFill>
      </fill>
    </dxf>
    <dxf>
      <fill>
        <patternFill>
          <bgColor theme="0"/>
        </patternFill>
      </fill>
    </dxf>
    <dxf>
      <font>
        <b/>
        <i val="0"/>
        <color rgb="FFFF0000"/>
      </font>
    </dxf>
    <dxf>
      <fill>
        <patternFill>
          <bgColor theme="0"/>
        </patternFill>
      </fill>
    </dxf>
    <dxf>
      <font>
        <color theme="0" tint="-0.34998626667073579"/>
      </font>
    </dxf>
    <dxf>
      <fill>
        <patternFill>
          <bgColor theme="0"/>
        </patternFill>
      </fill>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border>
        <left style="thin">
          <color auto="1"/>
        </left>
        <vertical/>
        <horizontal/>
      </border>
    </dxf>
    <dxf>
      <fill>
        <patternFill>
          <bgColor theme="0"/>
        </patternFill>
      </fill>
      <border>
        <right/>
        <top/>
        <bottom/>
        <vertical/>
        <horizontal/>
      </border>
    </dxf>
    <dxf>
      <border>
        <left style="thin">
          <color theme="0" tint="-0.34998626667073579"/>
        </left>
        <vertical/>
        <horizontal/>
      </border>
    </dxf>
    <dxf>
      <fill>
        <patternFill>
          <bgColor theme="0"/>
        </patternFill>
      </fill>
    </dxf>
    <dxf>
      <border>
        <right style="thin">
          <color theme="0" tint="-0.34998626667073579"/>
        </right>
        <vertical/>
        <horizontal/>
      </border>
    </dxf>
    <dxf>
      <fill>
        <patternFill>
          <bgColor theme="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theme="0"/>
        </patternFill>
      </fill>
    </dxf>
    <dxf>
      <font>
        <color theme="0" tint="-0.34998626667073579"/>
      </font>
      <fill>
        <patternFill patternType="solid">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b/>
        <i val="0"/>
        <color rgb="FFFF0000"/>
      </font>
      <fill>
        <patternFill>
          <bgColor theme="5" tint="0.79998168889431442"/>
        </patternFill>
      </fill>
    </dxf>
    <dxf>
      <border>
        <right style="thin">
          <color auto="1"/>
        </right>
        <vertical/>
        <horizontal/>
      </border>
    </dxf>
    <dxf>
      <numFmt numFmtId="222" formatCode="#,##0.############"/>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font>
    </dxf>
    <dxf>
      <border>
        <right style="thin">
          <color auto="1"/>
        </right>
        <vertical/>
        <horizontal/>
      </border>
    </dxf>
    <dxf>
      <fill>
        <patternFill>
          <bgColor theme="0"/>
        </patternFill>
      </fill>
    </dxf>
    <dxf>
      <font>
        <b/>
        <i val="0"/>
      </font>
    </dxf>
    <dxf>
      <font>
        <b/>
        <i val="0"/>
      </font>
    </dxf>
    <dxf>
      <font>
        <b/>
        <i val="0"/>
      </font>
    </dxf>
    <dxf>
      <font>
        <b/>
        <i val="0"/>
      </font>
    </dxf>
    <dxf>
      <font>
        <b/>
        <i val="0"/>
      </font>
    </dxf>
    <dxf>
      <font>
        <b/>
        <i val="0"/>
        <color rgb="FFFF0000"/>
      </font>
    </dxf>
    <dxf>
      <fill>
        <patternFill>
          <bgColor theme="0"/>
        </patternFill>
      </fill>
    </dxf>
    <dxf>
      <font>
        <color theme="0" tint="-0.34998626667073579"/>
      </font>
    </dxf>
    <dxf>
      <font>
        <color theme="0" tint="-0.34998626667073579"/>
      </font>
      <fill>
        <patternFill patternType="none">
          <bgColor auto="1"/>
        </patternFill>
      </fill>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dxf>
    <dxf>
      <font>
        <b/>
        <i val="0"/>
      </font>
    </dxf>
    <dxf>
      <font>
        <b/>
        <i val="0"/>
      </font>
    </dxf>
    <dxf>
      <font>
        <b/>
        <i val="0"/>
      </font>
    </dxf>
    <dxf>
      <font>
        <b/>
        <i val="0"/>
      </font>
    </dxf>
    <dxf>
      <font>
        <color theme="0" tint="-0.34998626667073579"/>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top style="thin">
          <color theme="0" tint="-0.34998626667073579"/>
        </top>
        <vertical/>
        <horizontal/>
      </border>
    </dxf>
    <dxf>
      <font>
        <color theme="0" tint="-0.34998626667073579"/>
      </font>
    </dxf>
    <dxf>
      <border>
        <bottom style="thin">
          <color theme="0" tint="-0.34998626667073579"/>
        </bottom>
        <vertical/>
        <horizontal/>
      </border>
    </dxf>
    <dxf>
      <font>
        <b/>
        <i val="0"/>
      </font>
    </dxf>
    <dxf>
      <font>
        <b/>
        <i val="0"/>
      </font>
    </dxf>
    <dxf>
      <font>
        <color theme="0" tint="-0.34998626667073579"/>
      </font>
    </dxf>
    <dxf>
      <font>
        <color theme="0" tint="-0.34998626667073579"/>
      </font>
    </dxf>
    <dxf>
      <font>
        <color theme="0" tint="-0.34998626667073579"/>
      </font>
    </dxf>
    <dxf>
      <font>
        <color rgb="FF00B0F0"/>
      </font>
    </dxf>
    <dxf>
      <fill>
        <patternFill>
          <bgColor theme="1" tint="0.499984740745262"/>
        </patternFill>
      </fill>
    </dxf>
    <dxf>
      <fill>
        <patternFill>
          <bgColor theme="1" tint="0.499984740745262"/>
        </patternFill>
      </fill>
    </dxf>
    <dxf>
      <fill>
        <patternFill>
          <bgColor theme="1" tint="0.499984740745262"/>
        </patternFill>
      </fill>
    </dxf>
    <dxf>
      <font>
        <color theme="0" tint="-0.34998626667073579"/>
      </font>
    </dxf>
    <dxf>
      <font>
        <color theme="0"/>
      </font>
    </dxf>
    <dxf>
      <fill>
        <patternFill>
          <bgColor theme="0"/>
        </patternFill>
      </fill>
    </dxf>
    <dxf>
      <fill>
        <patternFill>
          <bgColor theme="0"/>
        </patternFill>
      </fill>
      <border>
        <left/>
        <right/>
        <top/>
        <bottom/>
        <vertical/>
        <horizontal/>
      </border>
    </dxf>
    <dxf>
      <fill>
        <patternFill>
          <bgColor theme="0"/>
        </patternFill>
      </fill>
    </dxf>
    <dxf>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ont>
        <color theme="0"/>
      </font>
    </dxf>
    <dxf>
      <fill>
        <patternFill>
          <bgColor theme="0"/>
        </patternFill>
      </fill>
    </dxf>
    <dxf>
      <font>
        <color theme="0" tint="-0.34998626667073579"/>
      </font>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border>
        <left style="thin">
          <color theme="0" tint="-0.34998626667073579"/>
        </left>
        <vertical/>
        <horizontal/>
      </border>
    </dxf>
    <dxf>
      <fill>
        <patternFill>
          <bgColor theme="0"/>
        </patternFill>
      </fill>
      <border>
        <right/>
        <top/>
        <bottom/>
        <vertical/>
        <horizontal/>
      </border>
    </dxf>
    <dxf>
      <fill>
        <patternFill>
          <bgColor theme="0"/>
        </patternFill>
      </fill>
    </dxf>
    <dxf>
      <border>
        <left style="thin">
          <color theme="0" tint="-0.34998626667073579"/>
        </left>
        <vertical/>
        <horizontal/>
      </border>
    </dxf>
    <dxf>
      <border>
        <left style="thin">
          <color theme="0" tint="-0.34998626667073579"/>
        </left>
        <vertical/>
        <horizontal/>
      </border>
    </dxf>
    <dxf>
      <border>
        <left style="thin">
          <color auto="1"/>
        </left>
        <vertical/>
        <horizontal/>
      </border>
    </dxf>
    <dxf>
      <fill>
        <patternFill>
          <bgColor theme="0"/>
        </patternFill>
      </fill>
    </dxf>
    <dxf>
      <fill>
        <patternFill>
          <bgColor theme="0"/>
        </patternFill>
      </fill>
    </dxf>
    <dxf>
      <border>
        <left/>
        <right style="thin">
          <color theme="0" tint="-0.34998626667073579"/>
        </right>
        <vertical/>
        <horizontal/>
      </border>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theme="0"/>
        </patternFill>
      </fill>
    </dxf>
    <dxf>
      <font>
        <color theme="0" tint="-0.34998626667073579"/>
      </font>
      <fill>
        <patternFill patternType="solid">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ill>
        <patternFill>
          <bgColor theme="0"/>
        </patternFill>
      </fill>
    </dxf>
    <dxf>
      <fill>
        <patternFill>
          <bgColor theme="0"/>
        </patternFill>
      </fill>
    </dxf>
    <dxf>
      <border>
        <right style="thin">
          <color auto="1"/>
        </right>
        <vertical/>
        <horizontal/>
      </border>
    </dxf>
    <dxf>
      <numFmt numFmtId="222" formatCode="#,##0.############"/>
    </dxf>
    <dxf>
      <fill>
        <patternFill>
          <bgColor theme="0"/>
        </patternFill>
      </fill>
    </dxf>
    <dxf>
      <fill>
        <patternFill>
          <bgColor theme="0"/>
        </patternFill>
      </fill>
    </dxf>
    <dxf>
      <fill>
        <patternFill>
          <bgColor theme="0"/>
        </patternFill>
      </fill>
    </dxf>
    <dxf>
      <font>
        <b/>
        <i val="0"/>
        <strike val="0"/>
        <u val="none"/>
      </font>
    </dxf>
    <dxf>
      <font>
        <b/>
        <i val="0"/>
      </font>
    </dxf>
    <dxf>
      <font>
        <b/>
        <i val="0"/>
        <color rgb="FFFF0000"/>
      </font>
    </dxf>
    <dxf>
      <fill>
        <patternFill>
          <bgColor theme="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ill>
        <patternFill>
          <bgColor theme="0"/>
        </patternFill>
      </fill>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dxf>
    <dxf>
      <font>
        <b/>
        <i val="0"/>
      </font>
    </dxf>
    <dxf>
      <font>
        <b/>
        <i val="0"/>
      </font>
    </dxf>
    <dxf>
      <font>
        <b/>
        <i val="0"/>
      </font>
    </dxf>
    <dxf>
      <font>
        <color theme="0" tint="-0.34998626667073579"/>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strike val="0"/>
        <color rgb="FFFF0000"/>
      </font>
      <fill>
        <patternFill>
          <bgColor theme="5" tint="0.79998168889431442"/>
        </patternFill>
      </fill>
    </dxf>
    <dxf>
      <font>
        <b/>
        <i val="0"/>
      </font>
    </dxf>
    <dxf>
      <font>
        <b/>
        <i val="0"/>
      </font>
    </dxf>
    <dxf>
      <font>
        <color theme="0" tint="-0.34998626667073579"/>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bgColor theme="0"/>
        </patternFill>
      </fill>
    </dxf>
    <dxf>
      <fill>
        <patternFill>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font>
    </dxf>
    <dxf>
      <font>
        <color rgb="FFFF0000"/>
      </font>
    </dxf>
    <dxf>
      <font>
        <b/>
        <i val="0"/>
      </font>
    </dxf>
    <dxf>
      <font>
        <b/>
        <i val="0"/>
      </font>
    </dxf>
    <dxf>
      <font>
        <b/>
        <i val="0"/>
      </font>
    </dxf>
  </dxfs>
  <tableStyles count="0" defaultTableStyle="TableStyleMedium2" defaultPivotStyle="PivotStyleLight16"/>
  <colors>
    <mruColors>
      <color rgb="FFCCECFF"/>
      <color rgb="FFFFFFCC"/>
      <color rgb="FF333399"/>
      <color rgb="FFE21D00"/>
      <color rgb="FFCC99FF"/>
      <color rgb="FFCC66FF"/>
      <color rgb="FFED7D31"/>
      <color rgb="FF00B050"/>
      <color rgb="FF47D45A"/>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S$11"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firstButton="1" fmlaLink="$C$12"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C$32"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C$36" lockText="1" noThreeD="1"/>
</file>

<file path=xl/ctrlProps/ctrlProp20.xml><?xml version="1.0" encoding="utf-8"?>
<formControlPr xmlns="http://schemas.microsoft.com/office/spreadsheetml/2009/9/main" objectType="Radio" firstButton="1" fmlaLink="$C$32"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fmlaLink="$C$36"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C$51"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fmlaLink="$C$79"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firstButton="1" fmlaLink="$C$64"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C$12"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C$12" lockText="1" noThreeD="1"/>
</file>

<file path=xl/ctrlProps/ctrlProp4.xml><?xml version="1.0" encoding="utf-8"?>
<formControlPr xmlns="http://schemas.microsoft.com/office/spreadsheetml/2009/9/main" objectType="Radio" firstButton="1" fmlaLink="$C$79"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C$36"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C$5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C$32"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C$51" lockText="1" noThreeD="1"/>
</file>

<file path=xl/ctrlProps/ctrlProp50.xml><?xml version="1.0" encoding="utf-8"?>
<formControlPr xmlns="http://schemas.microsoft.com/office/spreadsheetml/2009/9/main" objectType="Radio" firstButton="1" fmlaLink="$C$64"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C$79"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C$79"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firstButton="1" fmlaLink="$C$36"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C$51"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C$3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checked="Checked" firstButton="1" fmlaLink="$C$64"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C$12" lockText="1"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C$64"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22996;&#20219;&#29366;!I5"/><Relationship Id="rId3" Type="http://schemas.openxmlformats.org/officeDocument/2006/relationships/hyperlink" Target="#'&#20837;&#21147;&#12471;&#12540;&#12488;&#65288;&#31532;&#65297;&#24180;&#24230;&#22577;&#21578;&#26360;&#65289;'!E3"/><Relationship Id="rId7" Type="http://schemas.openxmlformats.org/officeDocument/2006/relationships/hyperlink" Target="#'R3'!A1"/><Relationship Id="rId2" Type="http://schemas.openxmlformats.org/officeDocument/2006/relationships/hyperlink" Target="#'&#20837;&#21147;&#12471;&#12540;&#12488;&#65288;&#35336;&#30011;&#26360;&#65289;'!E3"/><Relationship Id="rId1" Type="http://schemas.openxmlformats.org/officeDocument/2006/relationships/hyperlink" Target="#'&#20837;&#21147;&#12471;&#12540;&#12488;&#65288;&#20107;&#26989;&#32773;&#24773;&#22577;&#65289;'!A1"/><Relationship Id="rId6" Type="http://schemas.openxmlformats.org/officeDocument/2006/relationships/hyperlink" Target="#'P3'!A1"/><Relationship Id="rId5" Type="http://schemas.openxmlformats.org/officeDocument/2006/relationships/hyperlink" Target="#'&#20837;&#21147;&#12471;&#12540;&#12488;&#65288;&#31532;&#65299;&#24180;&#24230;&#22577;&#21578;&#26360;&#65289;'!E3"/><Relationship Id="rId4" Type="http://schemas.openxmlformats.org/officeDocument/2006/relationships/hyperlink" Target="#'&#20837;&#21147;&#12471;&#12540;&#12488;&#65288;&#31532;&#65298;&#24180;&#24230;&#22577;&#21578;&#26360;&#65289;'!E3"/></Relationships>
</file>

<file path=xl/drawings/_rels/drawing10.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1.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2.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3.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4.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5.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6.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7.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hyperlink" Target="#&#12513;&#12491;&#12517;&#12540;!A1"/><Relationship Id="rId2" Type="http://schemas.openxmlformats.org/officeDocument/2006/relationships/image" Target="../media/image15.png"/><Relationship Id="rId1" Type="http://schemas.openxmlformats.org/officeDocument/2006/relationships/image" Target="../media/image14.png"/><Relationship Id="rId6" Type="http://schemas.microsoft.com/office/2007/relationships/hdphoto" Target="../media/hdphoto2.wdp"/><Relationship Id="rId5" Type="http://schemas.openxmlformats.org/officeDocument/2006/relationships/image" Target="../media/image17.png"/><Relationship Id="rId4"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19.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2.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20.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21.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3.xml.rels><?xml version="1.0" encoding="UTF-8" standalone="yes"?>
<Relationships xmlns="http://schemas.openxmlformats.org/package/2006/relationships"><Relationship Id="rId8" Type="http://schemas.openxmlformats.org/officeDocument/2006/relationships/hyperlink" Target="#'&#20837;&#21147;&#12471;&#12540;&#12488;&#65288;&#35336;&#30011;&#26360;&#65289;'!A109:A140"/><Relationship Id="rId13" Type="http://schemas.openxmlformats.org/officeDocument/2006/relationships/hyperlink" Target="#'&#20837;&#21147;&#12471;&#12540;&#12488;&#65288;&#35336;&#30011;&#26360;&#65289;'!A50:A75"/><Relationship Id="rId18" Type="http://schemas.openxmlformats.org/officeDocument/2006/relationships/image" Target="../media/image1.emf"/><Relationship Id="rId3" Type="http://schemas.openxmlformats.org/officeDocument/2006/relationships/hyperlink" Target="#'&#20837;&#21147;&#12471;&#12540;&#12488;&#65288;&#35336;&#30011;&#26360;&#65289;'!A235:A240"/><Relationship Id="rId21" Type="http://schemas.openxmlformats.org/officeDocument/2006/relationships/hyperlink" Target="#'&#20837;&#21147;&#12471;&#12540;&#12488;&#65288;&#35336;&#30011;&#26360;&#65289;'!AW202"/><Relationship Id="rId7" Type="http://schemas.openxmlformats.org/officeDocument/2006/relationships/hyperlink" Target="#'&#20837;&#21147;&#12471;&#12540;&#12488;&#65288;&#35336;&#30011;&#26360;&#65289;'!A126:A170"/><Relationship Id="rId12" Type="http://schemas.openxmlformats.org/officeDocument/2006/relationships/hyperlink" Target="#A101:A170"/><Relationship Id="rId17" Type="http://schemas.openxmlformats.org/officeDocument/2006/relationships/hyperlink" Target="#'&#20837;&#21147;&#12471;&#12540;&#12488;&#65288;&#35336;&#30011;&#26360;&#65289;'!A9:A35"/><Relationship Id="rId2" Type="http://schemas.openxmlformats.org/officeDocument/2006/relationships/hyperlink" Target="#A5"/><Relationship Id="rId16" Type="http://schemas.openxmlformats.org/officeDocument/2006/relationships/hyperlink" Target="#'&#20837;&#21147;&#12471;&#12540;&#12488;&#65288;&#35336;&#30011;&#26360;&#65289;'!A29:A50"/><Relationship Id="rId20" Type="http://schemas.openxmlformats.org/officeDocument/2006/relationships/hyperlink" Target="#'&#20837;&#21147;&#12471;&#12540;&#12488;&#65288;&#35336;&#30011;&#26360;&#65289;'!AW95"/><Relationship Id="rId1" Type="http://schemas.openxmlformats.org/officeDocument/2006/relationships/hyperlink" Target="#&#12513;&#12491;&#12517;&#12540;!A1"/><Relationship Id="rId6" Type="http://schemas.openxmlformats.org/officeDocument/2006/relationships/hyperlink" Target="#'&#20837;&#21147;&#12471;&#12540;&#12488;&#65288;&#35336;&#30011;&#26360;&#65289;'!A155:A175"/><Relationship Id="rId11" Type="http://schemas.openxmlformats.org/officeDocument/2006/relationships/hyperlink" Target="#'&#20837;&#21147;&#12471;&#12540;&#12488;&#65288;&#35336;&#30011;&#26360;&#65289;'!A62:A85"/><Relationship Id="rId24" Type="http://schemas.openxmlformats.org/officeDocument/2006/relationships/image" Target="../media/image4.png"/><Relationship Id="rId5" Type="http://schemas.openxmlformats.org/officeDocument/2006/relationships/hyperlink" Target="#'&#20837;&#21147;&#12471;&#12540;&#12488;&#65288;&#35336;&#30011;&#26360;&#65289;'!A195:A210"/><Relationship Id="rId15" Type="http://schemas.openxmlformats.org/officeDocument/2006/relationships/hyperlink" Target="#A38:A120"/><Relationship Id="rId23" Type="http://schemas.openxmlformats.org/officeDocument/2006/relationships/image" Target="../media/image3.emf"/><Relationship Id="rId10" Type="http://schemas.openxmlformats.org/officeDocument/2006/relationships/hyperlink" Target="#'&#20837;&#21147;&#12471;&#12540;&#12488;&#65288;&#35336;&#30011;&#26360;&#65289;'!A77:A100"/><Relationship Id="rId19" Type="http://schemas.openxmlformats.org/officeDocument/2006/relationships/image" Target="../media/image2.emf"/><Relationship Id="rId4" Type="http://schemas.openxmlformats.org/officeDocument/2006/relationships/hyperlink" Target="#'&#20837;&#21147;&#12471;&#12540;&#12488;&#65288;&#35336;&#30011;&#26360;&#65289;'!A213:A280"/><Relationship Id="rId9" Type="http://schemas.openxmlformats.org/officeDocument/2006/relationships/hyperlink" Target="#'&#20837;&#21147;&#12471;&#12540;&#12488;&#65288;&#35336;&#30011;&#26360;&#65289;'!A93:A130"/><Relationship Id="rId14" Type="http://schemas.openxmlformats.org/officeDocument/2006/relationships/hyperlink" Target="#A49:A150"/><Relationship Id="rId22" Type="http://schemas.openxmlformats.org/officeDocument/2006/relationships/hyperlink" Target="#'&#20837;&#21147;&#12471;&#12540;&#12488;&#65288;&#35336;&#30011;&#26360;&#65289;'!AW222"/></Relationships>
</file>

<file path=xl/drawings/_rels/drawing4.xml.rels><?xml version="1.0" encoding="UTF-8" standalone="yes"?>
<Relationships xmlns="http://schemas.openxmlformats.org/package/2006/relationships"><Relationship Id="rId8" Type="http://schemas.openxmlformats.org/officeDocument/2006/relationships/hyperlink" Target="#'&#20837;&#21147;&#12471;&#12540;&#12488;&#65288;&#31532;&#65297;&#24180;&#24230;&#22577;&#21578;&#26360;&#65289;'!A155:A175"/><Relationship Id="rId13" Type="http://schemas.openxmlformats.org/officeDocument/2006/relationships/hyperlink" Target="#'&#20837;&#21147;&#12471;&#12540;&#12488;&#65288;&#31532;&#65297;&#24180;&#24230;&#22577;&#21578;&#26360;&#65289;'!A62:A85"/><Relationship Id="rId18" Type="http://schemas.openxmlformats.org/officeDocument/2006/relationships/hyperlink" Target="#'&#20837;&#21147;&#12471;&#12540;&#12488;&#65288;&#31532;&#65297;&#24180;&#24230;&#22577;&#21578;&#26360;&#65289;'!A29:A50"/><Relationship Id="rId26" Type="http://schemas.openxmlformats.org/officeDocument/2006/relationships/image" Target="../media/image9.emf"/><Relationship Id="rId3" Type="http://schemas.openxmlformats.org/officeDocument/2006/relationships/hyperlink" Target="#'&#20837;&#21147;&#12471;&#12540;&#12488;&#65288;&#31532;&#65297;&#24180;&#24230;&#22577;&#21578;&#26360;&#65289;'!A243:A253"/><Relationship Id="rId21" Type="http://schemas.openxmlformats.org/officeDocument/2006/relationships/image" Target="../media/image2.emf"/><Relationship Id="rId7" Type="http://schemas.openxmlformats.org/officeDocument/2006/relationships/hyperlink" Target="#'&#20837;&#21147;&#12471;&#12540;&#12488;&#65288;&#31532;&#65297;&#24180;&#24230;&#22577;&#21578;&#26360;&#65289;'!A195:A210"/><Relationship Id="rId12" Type="http://schemas.openxmlformats.org/officeDocument/2006/relationships/hyperlink" Target="#'&#20837;&#21147;&#12471;&#12540;&#12488;&#65288;&#31532;&#65297;&#24180;&#24230;&#22577;&#21578;&#26360;&#65289;'!A77:A100"/><Relationship Id="rId17" Type="http://schemas.openxmlformats.org/officeDocument/2006/relationships/hyperlink" Target="#A38:A120"/><Relationship Id="rId25" Type="http://schemas.openxmlformats.org/officeDocument/2006/relationships/hyperlink" Target="#'&#20837;&#21147;&#12471;&#12540;&#12488;&#65288;&#31532;&#65297;&#24180;&#24230;&#22577;&#21578;&#26360;&#65289;'!A255:A265"/><Relationship Id="rId2" Type="http://schemas.openxmlformats.org/officeDocument/2006/relationships/hyperlink" Target="#'&#20837;&#21147;&#12471;&#12540;&#12488;&#65288;&#31532;&#65297;&#24180;&#24230;&#22577;&#21578;&#26360;&#65289;'!A195"/><Relationship Id="rId16" Type="http://schemas.openxmlformats.org/officeDocument/2006/relationships/hyperlink" Target="#A49:A150"/><Relationship Id="rId20" Type="http://schemas.openxmlformats.org/officeDocument/2006/relationships/image" Target="../media/image8.emf"/><Relationship Id="rId1" Type="http://schemas.openxmlformats.org/officeDocument/2006/relationships/hyperlink" Target="#'&#20837;&#21147;&#12471;&#12540;&#12488;&#65288;&#31532;&#65297;&#24180;&#24230;&#22577;&#21578;&#26360;&#65289;'!A213"/><Relationship Id="rId6" Type="http://schemas.openxmlformats.org/officeDocument/2006/relationships/hyperlink" Target="#'&#20837;&#21147;&#12471;&#12540;&#12488;&#65288;&#31532;&#65297;&#24180;&#24230;&#22577;&#21578;&#26360;&#65289;'!A213:A280"/><Relationship Id="rId11" Type="http://schemas.openxmlformats.org/officeDocument/2006/relationships/hyperlink" Target="#'&#20837;&#21147;&#12471;&#12540;&#12488;&#65288;&#31532;&#65297;&#24180;&#24230;&#22577;&#21578;&#26360;&#65289;'!A93:A130"/><Relationship Id="rId24" Type="http://schemas.openxmlformats.org/officeDocument/2006/relationships/hyperlink" Target="#'&#20837;&#21147;&#12471;&#12540;&#12488;&#65288;&#31532;&#65297;&#24180;&#24230;&#22577;&#21578;&#26360;&#65289;'!AW257"/><Relationship Id="rId5" Type="http://schemas.openxmlformats.org/officeDocument/2006/relationships/hyperlink" Target="#'&#20837;&#21147;&#12471;&#12540;&#12488;&#65288;&#31532;&#65297;&#24180;&#24230;&#22577;&#21578;&#26360;&#65289;'!A235:A240"/><Relationship Id="rId15" Type="http://schemas.openxmlformats.org/officeDocument/2006/relationships/hyperlink" Target="#'&#20837;&#21147;&#12471;&#12540;&#12488;&#65288;&#31532;&#65297;&#24180;&#24230;&#22577;&#21578;&#26360;&#65289;'!A50:A75"/><Relationship Id="rId23" Type="http://schemas.openxmlformats.org/officeDocument/2006/relationships/hyperlink" Target="#'&#20837;&#21147;&#12471;&#12540;&#12488;&#65288;&#31532;&#65297;&#24180;&#24230;&#22577;&#21578;&#26360;&#65289;'!AW244"/><Relationship Id="rId10" Type="http://schemas.openxmlformats.org/officeDocument/2006/relationships/hyperlink" Target="#'&#20837;&#21147;&#12471;&#12540;&#12488;&#65288;&#31532;&#65297;&#24180;&#24230;&#22577;&#21578;&#26360;&#65289;'!A109:A140"/><Relationship Id="rId19" Type="http://schemas.openxmlformats.org/officeDocument/2006/relationships/hyperlink" Target="#'&#20837;&#21147;&#12471;&#12540;&#12488;&#65288;&#31532;&#65297;&#24180;&#24230;&#22577;&#21578;&#26360;&#65289;'!A8:A35"/><Relationship Id="rId4" Type="http://schemas.openxmlformats.org/officeDocument/2006/relationships/hyperlink" Target="#&#12513;&#12491;&#12517;&#12540;!A1"/><Relationship Id="rId9" Type="http://schemas.openxmlformats.org/officeDocument/2006/relationships/hyperlink" Target="#'&#20837;&#21147;&#12471;&#12540;&#12488;&#65288;&#31532;&#65297;&#24180;&#24230;&#22577;&#21578;&#26360;&#65289;'!A126:A170"/><Relationship Id="rId14" Type="http://schemas.openxmlformats.org/officeDocument/2006/relationships/hyperlink" Target="#A101:A170"/><Relationship Id="rId22" Type="http://schemas.openxmlformats.org/officeDocument/2006/relationships/hyperlink" Target="#'&#20837;&#21147;&#12471;&#12540;&#12488;&#65288;&#31532;&#65297;&#24180;&#24230;&#22577;&#21578;&#26360;&#65289;'!AW95"/><Relationship Id="rId27"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hyperlink" Target="#'&#20837;&#21147;&#12471;&#12540;&#12488;&#65288;&#31532;&#65298;&#24180;&#24230;&#22577;&#21578;&#26360;&#65289;'!A155:A175"/><Relationship Id="rId13" Type="http://schemas.openxmlformats.org/officeDocument/2006/relationships/hyperlink" Target="#'&#20837;&#21147;&#12471;&#12540;&#12488;&#65288;&#31532;&#65298;&#24180;&#24230;&#22577;&#21578;&#26360;&#65289;'!A62:A85"/><Relationship Id="rId18" Type="http://schemas.openxmlformats.org/officeDocument/2006/relationships/hyperlink" Target="#'&#20837;&#21147;&#12471;&#12540;&#12488;&#65288;&#31532;&#65298;&#24180;&#24230;&#22577;&#21578;&#26360;&#65289;'!A29:A50"/><Relationship Id="rId26" Type="http://schemas.openxmlformats.org/officeDocument/2006/relationships/image" Target="../media/image12.emf"/><Relationship Id="rId3" Type="http://schemas.openxmlformats.org/officeDocument/2006/relationships/hyperlink" Target="#'&#20837;&#21147;&#12471;&#12540;&#12488;&#65288;&#31532;&#65298;&#24180;&#24230;&#22577;&#21578;&#26360;&#65289;'!A243:A253"/><Relationship Id="rId21" Type="http://schemas.openxmlformats.org/officeDocument/2006/relationships/hyperlink" Target="#'&#20837;&#21147;&#12471;&#12540;&#12488;&#65288;&#31532;&#65298;&#24180;&#24230;&#22577;&#21578;&#26360;&#65289;'!A213"/><Relationship Id="rId7" Type="http://schemas.openxmlformats.org/officeDocument/2006/relationships/hyperlink" Target="#'&#20837;&#21147;&#12471;&#12540;&#12488;&#65288;&#31532;&#65298;&#24180;&#24230;&#22577;&#21578;&#26360;&#65289;'!A195:A210"/><Relationship Id="rId12" Type="http://schemas.openxmlformats.org/officeDocument/2006/relationships/hyperlink" Target="#'&#20837;&#21147;&#12471;&#12540;&#12488;&#65288;&#31532;&#65298;&#24180;&#24230;&#22577;&#21578;&#26360;&#65289;'!A77:A100"/><Relationship Id="rId17" Type="http://schemas.openxmlformats.org/officeDocument/2006/relationships/hyperlink" Target="#A38:A120"/><Relationship Id="rId25" Type="http://schemas.openxmlformats.org/officeDocument/2006/relationships/hyperlink" Target="#'&#20837;&#21147;&#12471;&#12540;&#12488;&#65288;&#31532;&#65298;&#24180;&#24230;&#22577;&#21578;&#26360;&#65289;'!AW257"/><Relationship Id="rId2" Type="http://schemas.openxmlformats.org/officeDocument/2006/relationships/hyperlink" Target="#'&#20837;&#21147;&#12471;&#12540;&#12488;&#65288;&#31532;&#65298;&#24180;&#24230;&#22577;&#21578;&#26360;&#65289;'!A255:A265"/><Relationship Id="rId16" Type="http://schemas.openxmlformats.org/officeDocument/2006/relationships/hyperlink" Target="#A49:A150"/><Relationship Id="rId20" Type="http://schemas.openxmlformats.org/officeDocument/2006/relationships/image" Target="../media/image8.emf"/><Relationship Id="rId1" Type="http://schemas.openxmlformats.org/officeDocument/2006/relationships/hyperlink" Target="#'&#20837;&#21147;&#12471;&#12540;&#12488;&#65288;&#31532;&#65298;&#24180;&#24230;&#22577;&#21578;&#26360;&#65289;'!A195"/><Relationship Id="rId6" Type="http://schemas.openxmlformats.org/officeDocument/2006/relationships/hyperlink" Target="#'&#20837;&#21147;&#12471;&#12540;&#12488;&#65288;&#31532;&#65298;&#24180;&#24230;&#22577;&#21578;&#26360;&#65289;'!A213:A280"/><Relationship Id="rId11" Type="http://schemas.openxmlformats.org/officeDocument/2006/relationships/hyperlink" Target="#'&#20837;&#21147;&#12471;&#12540;&#12488;&#65288;&#31532;&#65298;&#24180;&#24230;&#22577;&#21578;&#26360;&#65289;'!A93:A130"/><Relationship Id="rId24" Type="http://schemas.openxmlformats.org/officeDocument/2006/relationships/hyperlink" Target="#'&#20837;&#21147;&#12471;&#12540;&#12488;&#65288;&#31532;&#65298;&#24180;&#24230;&#22577;&#21578;&#26360;&#65289;'!AW244"/><Relationship Id="rId5" Type="http://schemas.openxmlformats.org/officeDocument/2006/relationships/hyperlink" Target="#'&#20837;&#21147;&#12471;&#12540;&#12488;&#65288;&#31532;&#65298;&#24180;&#24230;&#22577;&#21578;&#26360;&#65289;'!A235:A240"/><Relationship Id="rId15" Type="http://schemas.openxmlformats.org/officeDocument/2006/relationships/hyperlink" Target="#'&#20837;&#21147;&#12471;&#12540;&#12488;&#65288;&#31532;&#65298;&#24180;&#24230;&#22577;&#21578;&#26360;&#65289;'!A50:A75"/><Relationship Id="rId23" Type="http://schemas.openxmlformats.org/officeDocument/2006/relationships/hyperlink" Target="#'&#20837;&#21147;&#12471;&#12540;&#12488;&#65288;&#31532;&#65298;&#24180;&#24230;&#22577;&#21578;&#26360;&#65289;'!AW95"/><Relationship Id="rId10" Type="http://schemas.openxmlformats.org/officeDocument/2006/relationships/hyperlink" Target="#'&#20837;&#21147;&#12471;&#12540;&#12488;&#65288;&#31532;&#65298;&#24180;&#24230;&#22577;&#21578;&#26360;&#65289;'!A109:A140"/><Relationship Id="rId19" Type="http://schemas.openxmlformats.org/officeDocument/2006/relationships/hyperlink" Target="#'&#20837;&#21147;&#12471;&#12540;&#12488;&#65288;&#31532;&#65298;&#24180;&#24230;&#22577;&#21578;&#26360;&#65289;'!A8:A35"/><Relationship Id="rId4" Type="http://schemas.openxmlformats.org/officeDocument/2006/relationships/hyperlink" Target="#&#12513;&#12491;&#12517;&#12540;!A1"/><Relationship Id="rId9" Type="http://schemas.openxmlformats.org/officeDocument/2006/relationships/hyperlink" Target="#'&#20837;&#21147;&#12471;&#12540;&#12488;&#65288;&#31532;&#65298;&#24180;&#24230;&#22577;&#21578;&#26360;&#65289;'!A126:A170"/><Relationship Id="rId14" Type="http://schemas.openxmlformats.org/officeDocument/2006/relationships/hyperlink" Target="#A101:A170"/><Relationship Id="rId22" Type="http://schemas.openxmlformats.org/officeDocument/2006/relationships/image" Target="../media/image2.emf"/><Relationship Id="rId27"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20837;&#21147;&#12471;&#12540;&#12488;&#65288;&#31532;&#65299;&#24180;&#24230;&#22577;&#21578;&#26360;&#65289;'!A155:A175"/><Relationship Id="rId13" Type="http://schemas.openxmlformats.org/officeDocument/2006/relationships/hyperlink" Target="#'&#20837;&#21147;&#12471;&#12540;&#12488;&#65288;&#31532;&#65299;&#24180;&#24230;&#22577;&#21578;&#26360;&#65289;'!A62:A85"/><Relationship Id="rId18" Type="http://schemas.openxmlformats.org/officeDocument/2006/relationships/hyperlink" Target="#'&#20837;&#21147;&#12471;&#12540;&#12488;&#65288;&#31532;&#65299;&#24180;&#24230;&#22577;&#21578;&#26360;&#65289;'!A29:A50"/><Relationship Id="rId26" Type="http://schemas.openxmlformats.org/officeDocument/2006/relationships/image" Target="../media/image9.emf"/><Relationship Id="rId3" Type="http://schemas.openxmlformats.org/officeDocument/2006/relationships/hyperlink" Target="#'&#20837;&#21147;&#12471;&#12540;&#12488;&#65288;&#31532;&#65299;&#24180;&#24230;&#22577;&#21578;&#26360;&#65289;'!A243:A253"/><Relationship Id="rId21" Type="http://schemas.openxmlformats.org/officeDocument/2006/relationships/hyperlink" Target="#'&#20837;&#21147;&#12471;&#12540;&#12488;&#65288;&#31532;&#65299;&#24180;&#24230;&#22577;&#21578;&#26360;&#65289;'!A213"/><Relationship Id="rId7" Type="http://schemas.openxmlformats.org/officeDocument/2006/relationships/hyperlink" Target="#'&#20837;&#21147;&#12471;&#12540;&#12488;&#65288;&#31532;&#65299;&#24180;&#24230;&#22577;&#21578;&#26360;&#65289;'!A195:A210"/><Relationship Id="rId12" Type="http://schemas.openxmlformats.org/officeDocument/2006/relationships/hyperlink" Target="#'&#20837;&#21147;&#12471;&#12540;&#12488;&#65288;&#31532;&#65299;&#24180;&#24230;&#22577;&#21578;&#26360;&#65289;'!A77:A100"/><Relationship Id="rId17" Type="http://schemas.openxmlformats.org/officeDocument/2006/relationships/hyperlink" Target="#A38:A120"/><Relationship Id="rId25" Type="http://schemas.openxmlformats.org/officeDocument/2006/relationships/hyperlink" Target="#'&#20837;&#21147;&#12471;&#12540;&#12488;&#65288;&#31532;&#65299;&#24180;&#24230;&#22577;&#21578;&#26360;&#65289;'!AW95"/><Relationship Id="rId2" Type="http://schemas.openxmlformats.org/officeDocument/2006/relationships/hyperlink" Target="#'&#20837;&#21147;&#12471;&#12540;&#12488;&#65288;&#31532;&#65299;&#24180;&#24230;&#22577;&#21578;&#26360;&#65289;'!A255:A265"/><Relationship Id="rId16" Type="http://schemas.openxmlformats.org/officeDocument/2006/relationships/hyperlink" Target="#A49:A150"/><Relationship Id="rId20" Type="http://schemas.openxmlformats.org/officeDocument/2006/relationships/image" Target="../media/image8.emf"/><Relationship Id="rId1" Type="http://schemas.openxmlformats.org/officeDocument/2006/relationships/hyperlink" Target="#'&#20837;&#21147;&#12471;&#12540;&#12488;&#65288;&#31532;&#65299;&#24180;&#24230;&#22577;&#21578;&#26360;&#65289;'!A195"/><Relationship Id="rId6" Type="http://schemas.openxmlformats.org/officeDocument/2006/relationships/hyperlink" Target="#'&#20837;&#21147;&#12471;&#12540;&#12488;&#65288;&#31532;&#65299;&#24180;&#24230;&#22577;&#21578;&#26360;&#65289;'!A213:A280"/><Relationship Id="rId11" Type="http://schemas.openxmlformats.org/officeDocument/2006/relationships/hyperlink" Target="#'&#20837;&#21147;&#12471;&#12540;&#12488;&#65288;&#31532;&#65299;&#24180;&#24230;&#22577;&#21578;&#26360;&#65289;'!A93:A130"/><Relationship Id="rId24" Type="http://schemas.openxmlformats.org/officeDocument/2006/relationships/hyperlink" Target="#'&#20837;&#21147;&#12471;&#12540;&#12488;&#65288;&#31532;&#65299;&#24180;&#24230;&#22577;&#21578;&#26360;&#65289;'!AW257"/><Relationship Id="rId5" Type="http://schemas.openxmlformats.org/officeDocument/2006/relationships/hyperlink" Target="#'&#20837;&#21147;&#12471;&#12540;&#12488;&#65288;&#31532;&#65299;&#24180;&#24230;&#22577;&#21578;&#26360;&#65289;'!A235:A240"/><Relationship Id="rId15" Type="http://schemas.openxmlformats.org/officeDocument/2006/relationships/hyperlink" Target="#'&#20837;&#21147;&#12471;&#12540;&#12488;&#65288;&#31532;&#65299;&#24180;&#24230;&#22577;&#21578;&#26360;&#65289;'!A50:A75"/><Relationship Id="rId23" Type="http://schemas.openxmlformats.org/officeDocument/2006/relationships/hyperlink" Target="#'&#20837;&#21147;&#12471;&#12540;&#12488;&#65288;&#31532;&#65299;&#24180;&#24230;&#22577;&#21578;&#26360;&#65289;'!AW244"/><Relationship Id="rId10" Type="http://schemas.openxmlformats.org/officeDocument/2006/relationships/hyperlink" Target="#'&#20837;&#21147;&#12471;&#12540;&#12488;&#65288;&#31532;&#65299;&#24180;&#24230;&#22577;&#21578;&#26360;&#65289;'!A109:A140"/><Relationship Id="rId19" Type="http://schemas.openxmlformats.org/officeDocument/2006/relationships/hyperlink" Target="#'&#20837;&#21147;&#12471;&#12540;&#12488;&#65288;&#31532;&#65299;&#24180;&#24230;&#22577;&#21578;&#26360;&#65289;'!A8:A35"/><Relationship Id="rId4" Type="http://schemas.openxmlformats.org/officeDocument/2006/relationships/hyperlink" Target="#&#12513;&#12491;&#12517;&#12540;!A1"/><Relationship Id="rId9" Type="http://schemas.openxmlformats.org/officeDocument/2006/relationships/hyperlink" Target="#'&#20837;&#21147;&#12471;&#12540;&#12488;&#65288;&#31532;&#65299;&#24180;&#24230;&#22577;&#21578;&#26360;&#65289;'!A126:A170"/><Relationship Id="rId14" Type="http://schemas.openxmlformats.org/officeDocument/2006/relationships/hyperlink" Target="#A101:A170"/><Relationship Id="rId22" Type="http://schemas.openxmlformats.org/officeDocument/2006/relationships/image" Target="../media/image2.emf"/><Relationship Id="rId27"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8.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drawing9.xml.rels><?xml version="1.0" encoding="UTF-8" standalone="yes"?>
<Relationships xmlns="http://schemas.openxmlformats.org/package/2006/relationships"><Relationship Id="rId1" Type="http://schemas.openxmlformats.org/officeDocument/2006/relationships/hyperlink" Target="#&#12513;&#12491;&#12517;&#12540;!A1"/></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6.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2</xdr:row>
      <xdr:rowOff>93490</xdr:rowOff>
    </xdr:from>
    <xdr:to>
      <xdr:col>6</xdr:col>
      <xdr:colOff>1466049</xdr:colOff>
      <xdr:row>7</xdr:row>
      <xdr:rowOff>126999</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685800" y="518193"/>
          <a:ext cx="4802040" cy="1233659"/>
        </a:xfrm>
        <a:prstGeom prst="round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1</xdr:col>
      <xdr:colOff>3905</xdr:colOff>
      <xdr:row>9</xdr:row>
      <xdr:rowOff>8778</xdr:rowOff>
    </xdr:from>
    <xdr:to>
      <xdr:col>6</xdr:col>
      <xdr:colOff>1514823</xdr:colOff>
      <xdr:row>18</xdr:row>
      <xdr:rowOff>158866</xdr:rowOff>
    </xdr:to>
    <xdr:sp macro="" textlink="">
      <xdr:nvSpPr>
        <xdr:cNvPr id="3" name="四角形: 角を丸くする 2">
          <a:extLst>
            <a:ext uri="{FF2B5EF4-FFF2-40B4-BE49-F238E27FC236}">
              <a16:creationId xmlns:a16="http://schemas.microsoft.com/office/drawing/2014/main" id="{00000000-0008-0000-0400-000003000000}"/>
            </a:ext>
          </a:extLst>
        </xdr:cNvPr>
        <xdr:cNvSpPr/>
      </xdr:nvSpPr>
      <xdr:spPr>
        <a:xfrm>
          <a:off x="784411" y="2552513"/>
          <a:ext cx="11376000" cy="2268000"/>
        </a:xfrm>
        <a:prstGeom prst="roundRect">
          <a:avLst>
            <a:gd name="adj" fmla="val 9975"/>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1</xdr:col>
      <xdr:colOff>0</xdr:colOff>
      <xdr:row>20</xdr:row>
      <xdr:rowOff>6050</xdr:rowOff>
    </xdr:from>
    <xdr:to>
      <xdr:col>6</xdr:col>
      <xdr:colOff>1466049</xdr:colOff>
      <xdr:row>23</xdr:row>
      <xdr:rowOff>90215</xdr:rowOff>
    </xdr:to>
    <xdr:sp macro="" textlink="">
      <xdr:nvSpPr>
        <xdr:cNvPr id="4" name="四角形: 角を丸くする 3">
          <a:extLst>
            <a:ext uri="{FF2B5EF4-FFF2-40B4-BE49-F238E27FC236}">
              <a16:creationId xmlns:a16="http://schemas.microsoft.com/office/drawing/2014/main" id="{00000000-0008-0000-0400-000004000000}"/>
            </a:ext>
          </a:extLst>
        </xdr:cNvPr>
        <xdr:cNvSpPr/>
      </xdr:nvSpPr>
      <xdr:spPr>
        <a:xfrm>
          <a:off x="784412" y="5128356"/>
          <a:ext cx="11327225" cy="800124"/>
        </a:xfrm>
        <a:prstGeom prst="round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1</xdr:col>
      <xdr:colOff>202211</xdr:colOff>
      <xdr:row>1</xdr:row>
      <xdr:rowOff>168088</xdr:rowOff>
    </xdr:from>
    <xdr:to>
      <xdr:col>2</xdr:col>
      <xdr:colOff>336611</xdr:colOff>
      <xdr:row>3</xdr:row>
      <xdr:rowOff>127681</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901458" y="813547"/>
          <a:ext cx="2268000"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000" b="1">
              <a:latin typeface="BIZ UDPゴシック" panose="020B0400000000000000" pitchFamily="50" charset="-128"/>
              <a:ea typeface="BIZ UDPゴシック" panose="020B0400000000000000" pitchFamily="50" charset="-128"/>
            </a:rPr>
            <a:t>計画書を作成する</a:t>
          </a:r>
        </a:p>
      </xdr:txBody>
    </xdr:sp>
    <xdr:clientData/>
  </xdr:twoCellAnchor>
  <xdr:twoCellAnchor editAs="absolute">
    <xdr:from>
      <xdr:col>1</xdr:col>
      <xdr:colOff>202211</xdr:colOff>
      <xdr:row>8</xdr:row>
      <xdr:rowOff>72172</xdr:rowOff>
    </xdr:from>
    <xdr:to>
      <xdr:col>2</xdr:col>
      <xdr:colOff>336611</xdr:colOff>
      <xdr:row>10</xdr:row>
      <xdr:rowOff>49695</xdr:rowOff>
    </xdr:to>
    <xdr:sp macro="" textlink="">
      <xdr:nvSpPr>
        <xdr:cNvPr id="6" name="テキスト ボックス 8">
          <a:extLst>
            <a:ext uri="{FF2B5EF4-FFF2-40B4-BE49-F238E27FC236}">
              <a16:creationId xmlns:a16="http://schemas.microsoft.com/office/drawing/2014/main" id="{00000000-0008-0000-0400-000006000000}"/>
            </a:ext>
          </a:extLst>
        </xdr:cNvPr>
        <xdr:cNvSpPr txBox="1"/>
      </xdr:nvSpPr>
      <xdr:spPr>
        <a:xfrm>
          <a:off x="901458" y="2304384"/>
          <a:ext cx="2268000"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000" b="1">
              <a:latin typeface="BIZ UDPゴシック" panose="020B0400000000000000" pitchFamily="50" charset="-128"/>
              <a:ea typeface="BIZ UDPゴシック" panose="020B0400000000000000" pitchFamily="50" charset="-128"/>
            </a:rPr>
            <a:t>報告書</a:t>
          </a:r>
          <a:r>
            <a:rPr kumimoji="1" lang="ja-JP" altLang="en-US" sz="2000" b="1">
              <a:latin typeface="BIZ UDPゴシック" panose="020B0400000000000000" pitchFamily="50" charset="-128"/>
              <a:ea typeface="BIZ UDPゴシック" panose="020B0400000000000000" pitchFamily="50" charset="-128"/>
            </a:rPr>
            <a:t>を作成する</a:t>
          </a:r>
        </a:p>
      </xdr:txBody>
    </xdr:sp>
    <xdr:clientData/>
  </xdr:twoCellAnchor>
  <xdr:twoCellAnchor editAs="absolute">
    <xdr:from>
      <xdr:col>1</xdr:col>
      <xdr:colOff>202210</xdr:colOff>
      <xdr:row>19</xdr:row>
      <xdr:rowOff>59454</xdr:rowOff>
    </xdr:from>
    <xdr:to>
      <xdr:col>2</xdr:col>
      <xdr:colOff>84610</xdr:colOff>
      <xdr:row>21</xdr:row>
      <xdr:rowOff>36977</xdr:rowOff>
    </xdr:to>
    <xdr:sp macro="" textlink="">
      <xdr:nvSpPr>
        <xdr:cNvPr id="7" name="テキスト ボックス 16">
          <a:extLst>
            <a:ext uri="{FF2B5EF4-FFF2-40B4-BE49-F238E27FC236}">
              <a16:creationId xmlns:a16="http://schemas.microsoft.com/office/drawing/2014/main" id="{00000000-0008-0000-0400-000007000000}"/>
            </a:ext>
          </a:extLst>
        </xdr:cNvPr>
        <xdr:cNvSpPr txBox="1"/>
      </xdr:nvSpPr>
      <xdr:spPr>
        <a:xfrm>
          <a:off x="901457" y="4756960"/>
          <a:ext cx="2016000"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000" b="1">
              <a:latin typeface="BIZ UDPゴシック" panose="020B0400000000000000" pitchFamily="50" charset="-128"/>
              <a:ea typeface="BIZ UDPゴシック" panose="020B0400000000000000" pitchFamily="50" charset="-128"/>
            </a:rPr>
            <a:t>結果を確認</a:t>
          </a:r>
          <a:r>
            <a:rPr kumimoji="1" lang="ja-JP" altLang="en-US" sz="2000" b="1">
              <a:latin typeface="BIZ UDPゴシック" panose="020B0400000000000000" pitchFamily="50" charset="-128"/>
              <a:ea typeface="BIZ UDPゴシック" panose="020B0400000000000000" pitchFamily="50" charset="-128"/>
            </a:rPr>
            <a:t>する</a:t>
          </a:r>
        </a:p>
      </xdr:txBody>
    </xdr:sp>
    <xdr:clientData/>
  </xdr:twoCellAnchor>
  <xdr:twoCellAnchor editAs="absolute">
    <xdr:from>
      <xdr:col>1</xdr:col>
      <xdr:colOff>0</xdr:colOff>
      <xdr:row>24</xdr:row>
      <xdr:rowOff>198489</xdr:rowOff>
    </xdr:from>
    <xdr:to>
      <xdr:col>6</xdr:col>
      <xdr:colOff>1466049</xdr:colOff>
      <xdr:row>28</xdr:row>
      <xdr:rowOff>57319</xdr:rowOff>
    </xdr:to>
    <xdr:sp macro="" textlink="">
      <xdr:nvSpPr>
        <xdr:cNvPr id="8" name="四角形: 角を丸くする 7">
          <a:extLst>
            <a:ext uri="{FF2B5EF4-FFF2-40B4-BE49-F238E27FC236}">
              <a16:creationId xmlns:a16="http://schemas.microsoft.com/office/drawing/2014/main" id="{00000000-0008-0000-0400-000008000000}"/>
            </a:ext>
          </a:extLst>
        </xdr:cNvPr>
        <xdr:cNvSpPr/>
      </xdr:nvSpPr>
      <xdr:spPr>
        <a:xfrm>
          <a:off x="685800" y="5904524"/>
          <a:ext cx="4802040" cy="816933"/>
        </a:xfrm>
        <a:prstGeom prst="round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1</xdr:col>
      <xdr:colOff>202211</xdr:colOff>
      <xdr:row>24</xdr:row>
      <xdr:rowOff>4147</xdr:rowOff>
    </xdr:from>
    <xdr:to>
      <xdr:col>1</xdr:col>
      <xdr:colOff>1146700</xdr:colOff>
      <xdr:row>25</xdr:row>
      <xdr:rowOff>205787</xdr:rowOff>
    </xdr:to>
    <xdr:sp macro="" textlink="">
      <xdr:nvSpPr>
        <xdr:cNvPr id="9" name="テキスト ボックス 26">
          <a:extLst>
            <a:ext uri="{FF2B5EF4-FFF2-40B4-BE49-F238E27FC236}">
              <a16:creationId xmlns:a16="http://schemas.microsoft.com/office/drawing/2014/main" id="{00000000-0008-0000-0400-000009000000}"/>
            </a:ext>
          </a:extLst>
        </xdr:cNvPr>
        <xdr:cNvSpPr txBox="1"/>
      </xdr:nvSpPr>
      <xdr:spPr>
        <a:xfrm>
          <a:off x="901458" y="5822241"/>
          <a:ext cx="944489"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000" b="1">
              <a:latin typeface="BIZ UDPゴシック" panose="020B0400000000000000" pitchFamily="50" charset="-128"/>
              <a:ea typeface="BIZ UDPゴシック" panose="020B0400000000000000" pitchFamily="50" charset="-128"/>
            </a:rPr>
            <a:t>その他</a:t>
          </a:r>
        </a:p>
      </xdr:txBody>
    </xdr:sp>
    <xdr:clientData/>
  </xdr:twoCellAnchor>
  <xdr:twoCellAnchor editAs="absolute">
    <xdr:from>
      <xdr:col>1</xdr:col>
      <xdr:colOff>484094</xdr:colOff>
      <xdr:row>3</xdr:row>
      <xdr:rowOff>127746</xdr:rowOff>
    </xdr:from>
    <xdr:to>
      <xdr:col>3</xdr:col>
      <xdr:colOff>21772</xdr:colOff>
      <xdr:row>5</xdr:row>
      <xdr:rowOff>118076</xdr:rowOff>
    </xdr:to>
    <xdr:sp macro="" textlink="$M$6">
      <xdr:nvSpPr>
        <xdr:cNvPr id="10" name="テキスト ボックス 10">
          <a:hlinkClick xmlns:r="http://schemas.openxmlformats.org/officeDocument/2006/relationships" r:id="rId1"/>
          <a:extLst>
            <a:ext uri="{FF2B5EF4-FFF2-40B4-BE49-F238E27FC236}">
              <a16:creationId xmlns:a16="http://schemas.microsoft.com/office/drawing/2014/main" id="{00000000-0008-0000-0400-00000A000000}"/>
            </a:ext>
          </a:extLst>
        </xdr:cNvPr>
        <xdr:cNvSpPr txBox="1"/>
      </xdr:nvSpPr>
      <xdr:spPr>
        <a:xfrm>
          <a:off x="1180780" y="1238089"/>
          <a:ext cx="3347678"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BE0B1AB7-408F-4F25-9D21-D988E628F903}" type="TxLink">
            <a:rPr kumimoji="1" lang="en-US" altLang="en-US" sz="2000" b="0" i="0" u="none" strike="noStrike">
              <a:solidFill>
                <a:srgbClr val="000000"/>
              </a:solidFill>
              <a:latin typeface="BIZ UDPゴシック"/>
              <a:ea typeface="BIZ UDPゴシック"/>
            </a:rPr>
            <a:pPr/>
            <a:t>■事業所等の概要を入力</a:t>
          </a:fld>
          <a:endParaRPr kumimoji="1" lang="ja-JP" altLang="en-US" sz="4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1</xdr:col>
      <xdr:colOff>484095</xdr:colOff>
      <xdr:row>5</xdr:row>
      <xdr:rowOff>96926</xdr:rowOff>
    </xdr:from>
    <xdr:to>
      <xdr:col>4</xdr:col>
      <xdr:colOff>1665515</xdr:colOff>
      <xdr:row>7</xdr:row>
      <xdr:rowOff>87255</xdr:rowOff>
    </xdr:to>
    <xdr:sp macro="" textlink="$M$7">
      <xdr:nvSpPr>
        <xdr:cNvPr id="11" name="テキスト ボックス 11">
          <a:hlinkClick xmlns:r="http://schemas.openxmlformats.org/officeDocument/2006/relationships" r:id="rId2"/>
          <a:extLst>
            <a:ext uri="{FF2B5EF4-FFF2-40B4-BE49-F238E27FC236}">
              <a16:creationId xmlns:a16="http://schemas.microsoft.com/office/drawing/2014/main" id="{00000000-0008-0000-0400-00000B000000}"/>
            </a:ext>
          </a:extLst>
        </xdr:cNvPr>
        <xdr:cNvSpPr txBox="1"/>
      </xdr:nvSpPr>
      <xdr:spPr>
        <a:xfrm>
          <a:off x="1180781" y="1642697"/>
          <a:ext cx="6667820"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63C4519C-8784-4CF7-BE62-85FE1B4130F7}" type="TxLink">
            <a:rPr kumimoji="1" lang="en-US" altLang="en-US" sz="2000" b="0" i="0" u="none" strike="noStrike">
              <a:solidFill>
                <a:srgbClr val="000000"/>
              </a:solidFill>
              <a:latin typeface="BIZ UDPゴシック"/>
              <a:ea typeface="BIZ UDPゴシック"/>
            </a:rPr>
            <a:pPr/>
            <a:t>■基準年度におけるエネルギー使用量等の実績値を入力</a:t>
          </a:fld>
          <a:endParaRPr kumimoji="1" lang="ja-JP" altLang="en-US" sz="4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1</xdr:col>
      <xdr:colOff>484094</xdr:colOff>
      <xdr:row>10</xdr:row>
      <xdr:rowOff>87945</xdr:rowOff>
    </xdr:from>
    <xdr:to>
      <xdr:col>5</xdr:col>
      <xdr:colOff>1208314</xdr:colOff>
      <xdr:row>12</xdr:row>
      <xdr:rowOff>78275</xdr:rowOff>
    </xdr:to>
    <xdr:sp macro="" textlink="$M$15">
      <xdr:nvSpPr>
        <xdr:cNvPr id="12" name="テキスト ボックス 12">
          <a:hlinkClick xmlns:r="http://schemas.openxmlformats.org/officeDocument/2006/relationships" r:id="rId1"/>
          <a:extLst>
            <a:ext uri="{FF2B5EF4-FFF2-40B4-BE49-F238E27FC236}">
              <a16:creationId xmlns:a16="http://schemas.microsoft.com/office/drawing/2014/main" id="{00000000-0008-0000-0400-00000C000000}"/>
            </a:ext>
          </a:extLst>
        </xdr:cNvPr>
        <xdr:cNvSpPr txBox="1"/>
      </xdr:nvSpPr>
      <xdr:spPr>
        <a:xfrm>
          <a:off x="1180780" y="2722288"/>
          <a:ext cx="7887020"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5B99D629-56CF-450A-92F2-E20D2D9817C0}" type="TxLink">
            <a:rPr kumimoji="1" lang="en-US" altLang="en-US" sz="2000" b="0" i="0" u="none" strike="noStrike">
              <a:solidFill>
                <a:srgbClr val="000000"/>
              </a:solidFill>
              <a:latin typeface="BIZ UDPゴシック" panose="020B0400000000000000" pitchFamily="50" charset="-128"/>
              <a:ea typeface="BIZ UDPゴシック" panose="020B0400000000000000" pitchFamily="50" charset="-128"/>
            </a:rPr>
            <a:pPr/>
            <a:t>■事業所概要の入力　※入力内容に変更があれば修正してください</a:t>
          </a:fld>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1</xdr:col>
      <xdr:colOff>484094</xdr:colOff>
      <xdr:row>12</xdr:row>
      <xdr:rowOff>101320</xdr:rowOff>
    </xdr:from>
    <xdr:to>
      <xdr:col>5</xdr:col>
      <xdr:colOff>1295400</xdr:colOff>
      <xdr:row>14</xdr:row>
      <xdr:rowOff>91649</xdr:rowOff>
    </xdr:to>
    <xdr:sp macro="" textlink="$M$17">
      <xdr:nvSpPr>
        <xdr:cNvPr id="13" name="テキスト ボックス 13">
          <a:hlinkClick xmlns:r="http://schemas.openxmlformats.org/officeDocument/2006/relationships" r:id="rId3"/>
          <a:extLst>
            <a:ext uri="{FF2B5EF4-FFF2-40B4-BE49-F238E27FC236}">
              <a16:creationId xmlns:a16="http://schemas.microsoft.com/office/drawing/2014/main" id="{00000000-0008-0000-0400-00000D000000}"/>
            </a:ext>
          </a:extLst>
        </xdr:cNvPr>
        <xdr:cNvSpPr txBox="1"/>
      </xdr:nvSpPr>
      <xdr:spPr>
        <a:xfrm>
          <a:off x="1180780" y="3171091"/>
          <a:ext cx="7974106"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F4B20562-A945-45F7-8CD6-08F690920960}" type="TxLink">
            <a:rPr kumimoji="1" lang="en-US" altLang="en-US" sz="2000" b="0" i="0" u="none" strike="noStrike">
              <a:solidFill>
                <a:srgbClr val="000000"/>
              </a:solidFill>
              <a:latin typeface="BIZ UDPゴシック"/>
              <a:ea typeface="BIZ UDPゴシック"/>
            </a:rPr>
            <a:pPr/>
            <a:t>■第１年度（1年度）におけるエネルギー使用量等の実績値を入力</a:t>
          </a:fld>
          <a:endParaRPr kumimoji="1" lang="ja-JP" altLang="en-US" sz="4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1</xdr:col>
      <xdr:colOff>484094</xdr:colOff>
      <xdr:row>14</xdr:row>
      <xdr:rowOff>37250</xdr:rowOff>
    </xdr:from>
    <xdr:to>
      <xdr:col>5</xdr:col>
      <xdr:colOff>1393371</xdr:colOff>
      <xdr:row>16</xdr:row>
      <xdr:rowOff>27579</xdr:rowOff>
    </xdr:to>
    <xdr:sp macro="" textlink="$M$18">
      <xdr:nvSpPr>
        <xdr:cNvPr id="14" name="テキスト ボックス 14">
          <a:hlinkClick xmlns:r="http://schemas.openxmlformats.org/officeDocument/2006/relationships" r:id="rId4"/>
          <a:extLst>
            <a:ext uri="{FF2B5EF4-FFF2-40B4-BE49-F238E27FC236}">
              <a16:creationId xmlns:a16="http://schemas.microsoft.com/office/drawing/2014/main" id="{00000000-0008-0000-0400-00000E000000}"/>
            </a:ext>
          </a:extLst>
        </xdr:cNvPr>
        <xdr:cNvSpPr txBox="1"/>
      </xdr:nvSpPr>
      <xdr:spPr>
        <a:xfrm>
          <a:off x="1180780" y="3542450"/>
          <a:ext cx="8072077"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90844C59-9F22-41BE-A985-8D4F519651A6}" type="TxLink">
            <a:rPr kumimoji="1" lang="en-US" altLang="en-US" sz="2000" b="0" i="0" u="none" strike="noStrike">
              <a:solidFill>
                <a:srgbClr val="000000"/>
              </a:solidFill>
              <a:latin typeface="BIZ UDPゴシック"/>
              <a:ea typeface="BIZ UDPゴシック"/>
            </a:rPr>
            <a:pPr/>
            <a:t>■第２年度（2年度）におけるエネルギー使用量等の実績値を入力</a:t>
          </a:fld>
          <a:endParaRPr kumimoji="1" lang="ja-JP" altLang="en-US" sz="66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1</xdr:col>
      <xdr:colOff>484094</xdr:colOff>
      <xdr:row>16</xdr:row>
      <xdr:rowOff>2672</xdr:rowOff>
    </xdr:from>
    <xdr:to>
      <xdr:col>5</xdr:col>
      <xdr:colOff>1611085</xdr:colOff>
      <xdr:row>17</xdr:row>
      <xdr:rowOff>210716</xdr:rowOff>
    </xdr:to>
    <xdr:sp macro="" textlink="$M$19">
      <xdr:nvSpPr>
        <xdr:cNvPr id="15" name="テキスト ボックス 15">
          <a:hlinkClick xmlns:r="http://schemas.openxmlformats.org/officeDocument/2006/relationships" r:id="rId5"/>
          <a:extLst>
            <a:ext uri="{FF2B5EF4-FFF2-40B4-BE49-F238E27FC236}">
              <a16:creationId xmlns:a16="http://schemas.microsoft.com/office/drawing/2014/main" id="{00000000-0008-0000-0400-00000F000000}"/>
            </a:ext>
          </a:extLst>
        </xdr:cNvPr>
        <xdr:cNvSpPr txBox="1"/>
      </xdr:nvSpPr>
      <xdr:spPr>
        <a:xfrm>
          <a:off x="1180780" y="3943301"/>
          <a:ext cx="8289791" cy="425758"/>
        </a:xfrm>
        <a:prstGeom prst="rect">
          <a:avLst/>
        </a:prstGeom>
        <a:noFill/>
      </xdr:spPr>
      <xdr:txBody>
        <a:bodyPr wrap="square" rtlCol="0">
          <a:spAutoFit/>
        </a:bodyPr>
        <a:lstStyle/>
        <a:p>
          <a:fld id="{68427B7F-FB28-4815-87E9-3CB7836773B9}" type="TxLink">
            <a:rPr kumimoji="1" lang="en-US" altLang="en-US" sz="2000" b="0" i="0" u="none" strike="noStrike">
              <a:solidFill>
                <a:srgbClr val="000000"/>
              </a:solidFill>
              <a:latin typeface="BIZ UDPゴシック"/>
              <a:ea typeface="BIZ UDPゴシック"/>
            </a:rPr>
            <a:pPr/>
            <a:t>■第３年度（3年度）におけるエネルギー使用量等の実績値を入力</a:t>
          </a:fld>
          <a:endParaRPr kumimoji="1" lang="en-US" altLang="en-US" sz="2000"/>
        </a:p>
      </xdr:txBody>
    </xdr:sp>
    <xdr:clientData/>
  </xdr:twoCellAnchor>
  <xdr:twoCellAnchor editAs="absolute">
    <xdr:from>
      <xdr:col>1</xdr:col>
      <xdr:colOff>484093</xdr:colOff>
      <xdr:row>21</xdr:row>
      <xdr:rowOff>42078</xdr:rowOff>
    </xdr:from>
    <xdr:to>
      <xdr:col>2</xdr:col>
      <xdr:colOff>1469570</xdr:colOff>
      <xdr:row>23</xdr:row>
      <xdr:rowOff>32407</xdr:rowOff>
    </xdr:to>
    <xdr:sp macro="" textlink="">
      <xdr:nvSpPr>
        <xdr:cNvPr id="16" name="テキスト ボックス 18">
          <a:hlinkClick xmlns:r="http://schemas.openxmlformats.org/officeDocument/2006/relationships" r:id="rId6"/>
          <a:extLst>
            <a:ext uri="{FF2B5EF4-FFF2-40B4-BE49-F238E27FC236}">
              <a16:creationId xmlns:a16="http://schemas.microsoft.com/office/drawing/2014/main" id="{00000000-0008-0000-0400-000010000000}"/>
            </a:ext>
          </a:extLst>
        </xdr:cNvPr>
        <xdr:cNvSpPr txBox="1"/>
      </xdr:nvSpPr>
      <xdr:spPr>
        <a:xfrm>
          <a:off x="1180779" y="5071278"/>
          <a:ext cx="3119077"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000">
              <a:latin typeface="BIZ UDPゴシック" panose="020B0400000000000000" pitchFamily="50" charset="-128"/>
              <a:ea typeface="BIZ UDPゴシック" panose="020B0400000000000000" pitchFamily="50" charset="-128"/>
            </a:rPr>
            <a:t>■計画書の公表用シート　　</a:t>
          </a:r>
        </a:p>
      </xdr:txBody>
    </xdr:sp>
    <xdr:clientData/>
  </xdr:twoCellAnchor>
  <xdr:twoCellAnchor editAs="absolute">
    <xdr:from>
      <xdr:col>2</xdr:col>
      <xdr:colOff>1673518</xdr:colOff>
      <xdr:row>21</xdr:row>
      <xdr:rowOff>42078</xdr:rowOff>
    </xdr:from>
    <xdr:to>
      <xdr:col>4</xdr:col>
      <xdr:colOff>1219199</xdr:colOff>
      <xdr:row>23</xdr:row>
      <xdr:rowOff>2695</xdr:rowOff>
    </xdr:to>
    <xdr:sp macro="" textlink="">
      <xdr:nvSpPr>
        <xdr:cNvPr id="17" name="テキスト ボックス 19">
          <a:hlinkClick xmlns:r="http://schemas.openxmlformats.org/officeDocument/2006/relationships" r:id="rId7"/>
          <a:extLst>
            <a:ext uri="{FF2B5EF4-FFF2-40B4-BE49-F238E27FC236}">
              <a16:creationId xmlns:a16="http://schemas.microsoft.com/office/drawing/2014/main" id="{00000000-0008-0000-0400-000011000000}"/>
            </a:ext>
          </a:extLst>
        </xdr:cNvPr>
        <xdr:cNvSpPr txBox="1"/>
      </xdr:nvSpPr>
      <xdr:spPr>
        <a:xfrm>
          <a:off x="5024077" y="5409696"/>
          <a:ext cx="3097946" cy="4212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000">
              <a:latin typeface="BIZ UDPゴシック" panose="020B0400000000000000" pitchFamily="50" charset="-128"/>
              <a:ea typeface="BIZ UDPゴシック" panose="020B0400000000000000" pitchFamily="50" charset="-128"/>
            </a:rPr>
            <a:t>■報告書の公表用シート　　</a:t>
          </a:r>
        </a:p>
      </xdr:txBody>
    </xdr:sp>
    <xdr:clientData/>
  </xdr:twoCellAnchor>
  <xdr:twoCellAnchor editAs="absolute">
    <xdr:from>
      <xdr:col>1</xdr:col>
      <xdr:colOff>484094</xdr:colOff>
      <xdr:row>26</xdr:row>
      <xdr:rowOff>13095</xdr:rowOff>
    </xdr:from>
    <xdr:to>
      <xdr:col>6</xdr:col>
      <xdr:colOff>1203960</xdr:colOff>
      <xdr:row>28</xdr:row>
      <xdr:rowOff>2215</xdr:rowOff>
    </xdr:to>
    <xdr:sp macro="" textlink="">
      <xdr:nvSpPr>
        <xdr:cNvPr id="18" name="テキスト ボックス 25">
          <a:hlinkClick xmlns:r="http://schemas.openxmlformats.org/officeDocument/2006/relationships" r:id="rId8"/>
          <a:extLst>
            <a:ext uri="{FF2B5EF4-FFF2-40B4-BE49-F238E27FC236}">
              <a16:creationId xmlns:a16="http://schemas.microsoft.com/office/drawing/2014/main" id="{00000000-0008-0000-0400-000012000000}"/>
            </a:ext>
          </a:extLst>
        </xdr:cNvPr>
        <xdr:cNvSpPr txBox="1"/>
      </xdr:nvSpPr>
      <xdr:spPr>
        <a:xfrm>
          <a:off x="1185134" y="6208155"/>
          <a:ext cx="9559066" cy="43108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2000">
              <a:latin typeface="BIZ UDPゴシック" panose="020B0400000000000000" pitchFamily="50" charset="-128"/>
              <a:ea typeface="BIZ UDPゴシック" panose="020B0400000000000000" pitchFamily="50" charset="-128"/>
            </a:rPr>
            <a:t>■委任</a:t>
          </a:r>
          <a:r>
            <a:rPr kumimoji="1" lang="ja-JP" altLang="ja-JP" sz="2000" kern="1200">
              <a:solidFill>
                <a:schemeClr val="tx1"/>
              </a:solidFill>
              <a:effectLst/>
              <a:latin typeface="+mn-lt"/>
              <a:ea typeface="+mn-ea"/>
              <a:cs typeface="+mn-cs"/>
            </a:rPr>
            <a:t>状 </a:t>
          </a:r>
          <a:r>
            <a:rPr kumimoji="1" lang="en-US" altLang="ja-JP" sz="2000" kern="1200">
              <a:solidFill>
                <a:schemeClr val="tx1"/>
              </a:solidFill>
              <a:effectLst/>
              <a:latin typeface="+mn-lt"/>
              <a:ea typeface="+mn-ea"/>
              <a:cs typeface="+mn-cs"/>
            </a:rPr>
            <a:t>※</a:t>
          </a:r>
          <a:r>
            <a:rPr kumimoji="1" lang="ja-JP" altLang="ja-JP" sz="2000" kern="1200">
              <a:solidFill>
                <a:schemeClr val="tx1"/>
              </a:solidFill>
              <a:effectLst/>
              <a:latin typeface="+mn-lt"/>
              <a:ea typeface="+mn-ea"/>
              <a:cs typeface="+mn-cs"/>
            </a:rPr>
            <a:t>代表者の代理として、事業所長等により提出する場合は作成ください</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20</xdr:col>
      <xdr:colOff>590278</xdr:colOff>
      <xdr:row>0</xdr:row>
      <xdr:rowOff>34290</xdr:rowOff>
    </xdr:from>
    <xdr:ext cx="877163" cy="49530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9094198" y="34290"/>
          <a:ext cx="877163" cy="4953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editAs="oneCell">
    <xdr:from>
      <xdr:col>14</xdr:col>
      <xdr:colOff>43543</xdr:colOff>
      <xdr:row>13</xdr:row>
      <xdr:rowOff>119743</xdr:rowOff>
    </xdr:from>
    <xdr:to>
      <xdr:col>15</xdr:col>
      <xdr:colOff>0</xdr:colOff>
      <xdr:row>23</xdr:row>
      <xdr:rowOff>152400</xdr:rowOff>
    </xdr:to>
    <xdr:cxnSp macro="">
      <xdr:nvCxnSpPr>
        <xdr:cNvPr id="37" name="直線矢印コネクタ 36">
          <a:extLst>
            <a:ext uri="{FF2B5EF4-FFF2-40B4-BE49-F238E27FC236}">
              <a16:creationId xmlns:a16="http://schemas.microsoft.com/office/drawing/2014/main" id="{00000000-0008-0000-0D00-000025000000}"/>
            </a:ext>
          </a:extLst>
        </xdr:cNvPr>
        <xdr:cNvCxnSpPr>
          <a:cxnSpLocks/>
        </xdr:cNvCxnSpPr>
      </xdr:nvCxnSpPr>
      <xdr:spPr>
        <a:xfrm>
          <a:off x="7500257" y="3352800"/>
          <a:ext cx="990600" cy="2405743"/>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editAs="oneCell">
    <xdr:from>
      <xdr:col>14</xdr:col>
      <xdr:colOff>17482</xdr:colOff>
      <xdr:row>29</xdr:row>
      <xdr:rowOff>0</xdr:rowOff>
    </xdr:from>
    <xdr:to>
      <xdr:col>15</xdr:col>
      <xdr:colOff>0</xdr:colOff>
      <xdr:row>30</xdr:row>
      <xdr:rowOff>232634</xdr:rowOff>
    </xdr:to>
    <xdr:grpSp>
      <xdr:nvGrpSpPr>
        <xdr:cNvPr id="3" name="グループ化 2" hidden="1">
          <a:extLst>
            <a:ext uri="{FF2B5EF4-FFF2-40B4-BE49-F238E27FC236}">
              <a16:creationId xmlns:a16="http://schemas.microsoft.com/office/drawing/2014/main" id="{00000000-0008-0000-0D00-000003000000}"/>
            </a:ext>
          </a:extLst>
        </xdr:cNvPr>
        <xdr:cNvGrpSpPr/>
      </xdr:nvGrpSpPr>
      <xdr:grpSpPr>
        <a:xfrm>
          <a:off x="7637482" y="7019925"/>
          <a:ext cx="1030268" cy="473934"/>
          <a:chOff x="8283388" y="13502640"/>
          <a:chExt cx="954742" cy="454372"/>
        </a:xfrm>
      </xdr:grpSpPr>
      <xdr:sp macro="" textlink="">
        <xdr:nvSpPr>
          <xdr:cNvPr id="38" name="右中かっこ 37">
            <a:extLst>
              <a:ext uri="{FF2B5EF4-FFF2-40B4-BE49-F238E27FC236}">
                <a16:creationId xmlns:a16="http://schemas.microsoft.com/office/drawing/2014/main" id="{00000000-0008-0000-0D00-000026000000}"/>
              </a:ext>
            </a:extLst>
          </xdr:cNvPr>
          <xdr:cNvSpPr/>
        </xdr:nvSpPr>
        <xdr:spPr>
          <a:xfrm>
            <a:off x="8283388" y="13503243"/>
            <a:ext cx="250260" cy="453769"/>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39" name="右中かっこ 38">
            <a:extLst>
              <a:ext uri="{FF2B5EF4-FFF2-40B4-BE49-F238E27FC236}">
                <a16:creationId xmlns:a16="http://schemas.microsoft.com/office/drawing/2014/main" id="{00000000-0008-0000-0D00-000027000000}"/>
              </a:ext>
            </a:extLst>
          </xdr:cNvPr>
          <xdr:cNvSpPr/>
        </xdr:nvSpPr>
        <xdr:spPr>
          <a:xfrm rot="10800000">
            <a:off x="8987466" y="13502640"/>
            <a:ext cx="250664" cy="432482"/>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40" name="直線矢印コネクタ 39">
            <a:extLst>
              <a:ext uri="{FF2B5EF4-FFF2-40B4-BE49-F238E27FC236}">
                <a16:creationId xmlns:a16="http://schemas.microsoft.com/office/drawing/2014/main" id="{00000000-0008-0000-0D00-000028000000}"/>
              </a:ext>
            </a:extLst>
          </xdr:cNvPr>
          <xdr:cNvCxnSpPr>
            <a:stCxn id="38" idx="1"/>
            <a:endCxn id="39" idx="1"/>
          </xdr:cNvCxnSpPr>
        </xdr:nvCxnSpPr>
        <xdr:spPr>
          <a:xfrm flipV="1">
            <a:off x="8533648" y="13728945"/>
            <a:ext cx="453818" cy="4581"/>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editAs="oneCell">
    <xdr:from>
      <xdr:col>14</xdr:col>
      <xdr:colOff>38100</xdr:colOff>
      <xdr:row>0</xdr:row>
      <xdr:rowOff>50619</xdr:rowOff>
    </xdr:from>
    <xdr:to>
      <xdr:col>20</xdr:col>
      <xdr:colOff>472440</xdr:colOff>
      <xdr:row>1</xdr:row>
      <xdr:rowOff>162742</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7292340" y="50619"/>
          <a:ext cx="1463040" cy="44740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14</xdr:col>
      <xdr:colOff>17930</xdr:colOff>
      <xdr:row>19</xdr:row>
      <xdr:rowOff>169054</xdr:rowOff>
    </xdr:from>
    <xdr:to>
      <xdr:col>14</xdr:col>
      <xdr:colOff>1030301</xdr:colOff>
      <xdr:row>43</xdr:row>
      <xdr:rowOff>1316</xdr:rowOff>
    </xdr:to>
    <xdr:grpSp>
      <xdr:nvGrpSpPr>
        <xdr:cNvPr id="10" name="グループ化 9">
          <a:extLst>
            <a:ext uri="{FF2B5EF4-FFF2-40B4-BE49-F238E27FC236}">
              <a16:creationId xmlns:a16="http://schemas.microsoft.com/office/drawing/2014/main" id="{F38FE071-5257-4DBE-B0B2-7D0BA47B2776}"/>
            </a:ext>
          </a:extLst>
        </xdr:cNvPr>
        <xdr:cNvGrpSpPr/>
      </xdr:nvGrpSpPr>
      <xdr:grpSpPr>
        <a:xfrm>
          <a:off x="7637930" y="4826779"/>
          <a:ext cx="1012371" cy="5528212"/>
          <a:chOff x="7249886" y="4811486"/>
          <a:chExt cx="1012371" cy="5321225"/>
        </a:xfrm>
      </xdr:grpSpPr>
      <xdr:sp macro="" textlink="">
        <xdr:nvSpPr>
          <xdr:cNvPr id="11" name="右中かっこ 10">
            <a:extLst>
              <a:ext uri="{FF2B5EF4-FFF2-40B4-BE49-F238E27FC236}">
                <a16:creationId xmlns:a16="http://schemas.microsoft.com/office/drawing/2014/main" id="{B1417944-637E-19FF-72D9-8BDA97EE1BA2}"/>
              </a:ext>
            </a:extLst>
          </xdr:cNvPr>
          <xdr:cNvSpPr/>
        </xdr:nvSpPr>
        <xdr:spPr>
          <a:xfrm rot="10800000">
            <a:off x="7915003" y="8777539"/>
            <a:ext cx="347254" cy="1355172"/>
          </a:xfrm>
          <a:prstGeom prst="rightBrace">
            <a:avLst>
              <a:gd name="adj1" fmla="val 79299"/>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12" name="直線矢印コネクタ 11">
            <a:extLst>
              <a:ext uri="{FF2B5EF4-FFF2-40B4-BE49-F238E27FC236}">
                <a16:creationId xmlns:a16="http://schemas.microsoft.com/office/drawing/2014/main" id="{C1CDF36B-9F07-7618-A6EF-7D08F3B5B9CA}"/>
              </a:ext>
            </a:extLst>
          </xdr:cNvPr>
          <xdr:cNvCxnSpPr>
            <a:cxnSpLocks/>
            <a:endCxn id="11" idx="1"/>
          </xdr:cNvCxnSpPr>
        </xdr:nvCxnSpPr>
        <xdr:spPr>
          <a:xfrm>
            <a:off x="7266214" y="5008517"/>
            <a:ext cx="648789" cy="4449698"/>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13" name="右中かっこ 12">
            <a:extLst>
              <a:ext uri="{FF2B5EF4-FFF2-40B4-BE49-F238E27FC236}">
                <a16:creationId xmlns:a16="http://schemas.microsoft.com/office/drawing/2014/main" id="{CEFE5A2D-697C-20B5-FBB7-6764889E9B41}"/>
              </a:ext>
            </a:extLst>
          </xdr:cNvPr>
          <xdr:cNvSpPr/>
        </xdr:nvSpPr>
        <xdr:spPr>
          <a:xfrm rot="10800000">
            <a:off x="7978372" y="6313012"/>
            <a:ext cx="270822" cy="1431374"/>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4" name="直線矢印コネクタ 13">
            <a:extLst>
              <a:ext uri="{FF2B5EF4-FFF2-40B4-BE49-F238E27FC236}">
                <a16:creationId xmlns:a16="http://schemas.microsoft.com/office/drawing/2014/main" id="{A130069B-63E6-BBF9-45AB-FE30E329E098}"/>
              </a:ext>
            </a:extLst>
          </xdr:cNvPr>
          <xdr:cNvCxnSpPr>
            <a:cxnSpLocks/>
          </xdr:cNvCxnSpPr>
        </xdr:nvCxnSpPr>
        <xdr:spPr>
          <a:xfrm>
            <a:off x="7249886" y="4811486"/>
            <a:ext cx="761143" cy="2220536"/>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wsDr>
</file>

<file path=xl/drawings/drawing11.xml><?xml version="1.0" encoding="utf-8"?>
<xdr:wsDr xmlns:xdr="http://schemas.openxmlformats.org/drawingml/2006/spreadsheetDrawing" xmlns:a="http://schemas.openxmlformats.org/drawingml/2006/main">
  <xdr:oneCellAnchor>
    <xdr:from>
      <xdr:col>20</xdr:col>
      <xdr:colOff>554158</xdr:colOff>
      <xdr:row>0</xdr:row>
      <xdr:rowOff>45720</xdr:rowOff>
    </xdr:from>
    <xdr:ext cx="877163" cy="466165"/>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9058078" y="45720"/>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editAs="oneCell">
    <xdr:from>
      <xdr:col>14</xdr:col>
      <xdr:colOff>20089</xdr:colOff>
      <xdr:row>13</xdr:row>
      <xdr:rowOff>138545</xdr:rowOff>
    </xdr:from>
    <xdr:to>
      <xdr:col>14</xdr:col>
      <xdr:colOff>1005840</xdr:colOff>
      <xdr:row>23</xdr:row>
      <xdr:rowOff>129540</xdr:rowOff>
    </xdr:to>
    <xdr:cxnSp macro="">
      <xdr:nvCxnSpPr>
        <xdr:cNvPr id="6" name="直線矢印コネクタ 5">
          <a:extLst>
            <a:ext uri="{FF2B5EF4-FFF2-40B4-BE49-F238E27FC236}">
              <a16:creationId xmlns:a16="http://schemas.microsoft.com/office/drawing/2014/main" id="{00000000-0008-0000-0E00-000006000000}"/>
            </a:ext>
          </a:extLst>
        </xdr:cNvPr>
        <xdr:cNvCxnSpPr>
          <a:cxnSpLocks/>
        </xdr:cNvCxnSpPr>
      </xdr:nvCxnSpPr>
      <xdr:spPr>
        <a:xfrm>
          <a:off x="7495309" y="3415145"/>
          <a:ext cx="985751" cy="2406535"/>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editAs="oneCell">
    <xdr:from>
      <xdr:col>14</xdr:col>
      <xdr:colOff>32658</xdr:colOff>
      <xdr:row>28</xdr:row>
      <xdr:rowOff>0</xdr:rowOff>
    </xdr:from>
    <xdr:to>
      <xdr:col>14</xdr:col>
      <xdr:colOff>981892</xdr:colOff>
      <xdr:row>28</xdr:row>
      <xdr:rowOff>0</xdr:rowOff>
    </xdr:to>
    <xdr:cxnSp macro="">
      <xdr:nvCxnSpPr>
        <xdr:cNvPr id="35" name="直線矢印コネクタ 34" hidden="1">
          <a:extLst>
            <a:ext uri="{FF2B5EF4-FFF2-40B4-BE49-F238E27FC236}">
              <a16:creationId xmlns:a16="http://schemas.microsoft.com/office/drawing/2014/main" id="{00000000-0008-0000-0E00-000023000000}"/>
            </a:ext>
          </a:extLst>
        </xdr:cNvPr>
        <xdr:cNvCxnSpPr/>
      </xdr:nvCxnSpPr>
      <xdr:spPr>
        <a:xfrm>
          <a:off x="9217479" y="17369825"/>
          <a:ext cx="1055914"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editAs="oneCell">
    <xdr:from>
      <xdr:col>14</xdr:col>
      <xdr:colOff>45720</xdr:colOff>
      <xdr:row>0</xdr:row>
      <xdr:rowOff>53340</xdr:rowOff>
    </xdr:from>
    <xdr:to>
      <xdr:col>20</xdr:col>
      <xdr:colOff>480060</xdr:colOff>
      <xdr:row>1</xdr:row>
      <xdr:rowOff>165463</xdr:rowOff>
    </xdr:to>
    <xdr:sp macro="" textlink="">
      <xdr:nvSpPr>
        <xdr:cNvPr id="10" name="四角形: 角を丸くする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a:xfrm>
          <a:off x="7299960" y="53340"/>
          <a:ext cx="1463040" cy="44740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14</xdr:col>
      <xdr:colOff>40342</xdr:colOff>
      <xdr:row>29</xdr:row>
      <xdr:rowOff>0</xdr:rowOff>
    </xdr:from>
    <xdr:to>
      <xdr:col>14</xdr:col>
      <xdr:colOff>991498</xdr:colOff>
      <xdr:row>30</xdr:row>
      <xdr:rowOff>204257</xdr:rowOff>
    </xdr:to>
    <xdr:grpSp>
      <xdr:nvGrpSpPr>
        <xdr:cNvPr id="12" name="グループ化 11" hidden="1">
          <a:extLst>
            <a:ext uri="{FF2B5EF4-FFF2-40B4-BE49-F238E27FC236}">
              <a16:creationId xmlns:a16="http://schemas.microsoft.com/office/drawing/2014/main" id="{C14C7E93-9609-4807-8D8A-2A1741FF14B3}"/>
            </a:ext>
          </a:extLst>
        </xdr:cNvPr>
        <xdr:cNvGrpSpPr/>
      </xdr:nvGrpSpPr>
      <xdr:grpSpPr>
        <a:xfrm>
          <a:off x="7660342" y="7019925"/>
          <a:ext cx="951156" cy="439207"/>
          <a:chOff x="8283388" y="13502640"/>
          <a:chExt cx="954742" cy="454372"/>
        </a:xfrm>
      </xdr:grpSpPr>
      <xdr:sp macro="" textlink="">
        <xdr:nvSpPr>
          <xdr:cNvPr id="13" name="右中かっこ 12">
            <a:extLst>
              <a:ext uri="{FF2B5EF4-FFF2-40B4-BE49-F238E27FC236}">
                <a16:creationId xmlns:a16="http://schemas.microsoft.com/office/drawing/2014/main" id="{C87F61B8-D5E9-1557-B64B-144279F3C894}"/>
              </a:ext>
            </a:extLst>
          </xdr:cNvPr>
          <xdr:cNvSpPr/>
        </xdr:nvSpPr>
        <xdr:spPr>
          <a:xfrm>
            <a:off x="8283388" y="13503243"/>
            <a:ext cx="250260" cy="453769"/>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14" name="右中かっこ 13">
            <a:extLst>
              <a:ext uri="{FF2B5EF4-FFF2-40B4-BE49-F238E27FC236}">
                <a16:creationId xmlns:a16="http://schemas.microsoft.com/office/drawing/2014/main" id="{7098FA7F-4BBB-FF7B-9F9A-09B567282D4E}"/>
              </a:ext>
            </a:extLst>
          </xdr:cNvPr>
          <xdr:cNvSpPr/>
        </xdr:nvSpPr>
        <xdr:spPr>
          <a:xfrm rot="10800000">
            <a:off x="8987466" y="13502640"/>
            <a:ext cx="250664" cy="432482"/>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7" name="直線矢印コネクタ 26">
            <a:extLst>
              <a:ext uri="{FF2B5EF4-FFF2-40B4-BE49-F238E27FC236}">
                <a16:creationId xmlns:a16="http://schemas.microsoft.com/office/drawing/2014/main" id="{36099E26-BDD8-F01A-D017-C86170E87816}"/>
              </a:ext>
            </a:extLst>
          </xdr:cNvPr>
          <xdr:cNvCxnSpPr>
            <a:stCxn id="13" idx="1"/>
            <a:endCxn id="14" idx="1"/>
          </xdr:cNvCxnSpPr>
        </xdr:nvCxnSpPr>
        <xdr:spPr>
          <a:xfrm flipV="1">
            <a:off x="8533648" y="13728945"/>
            <a:ext cx="453818" cy="4581"/>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17930</xdr:colOff>
      <xdr:row>19</xdr:row>
      <xdr:rowOff>169054</xdr:rowOff>
    </xdr:from>
    <xdr:to>
      <xdr:col>14</xdr:col>
      <xdr:colOff>1030301</xdr:colOff>
      <xdr:row>43</xdr:row>
      <xdr:rowOff>1316</xdr:rowOff>
    </xdr:to>
    <xdr:grpSp>
      <xdr:nvGrpSpPr>
        <xdr:cNvPr id="9" name="グループ化 8">
          <a:extLst>
            <a:ext uri="{FF2B5EF4-FFF2-40B4-BE49-F238E27FC236}">
              <a16:creationId xmlns:a16="http://schemas.microsoft.com/office/drawing/2014/main" id="{13CE2914-116B-4F36-8E5E-D5AB59A9546C}"/>
            </a:ext>
          </a:extLst>
        </xdr:cNvPr>
        <xdr:cNvGrpSpPr/>
      </xdr:nvGrpSpPr>
      <xdr:grpSpPr>
        <a:xfrm>
          <a:off x="7637930" y="4826779"/>
          <a:ext cx="1012371" cy="5528212"/>
          <a:chOff x="7249886" y="4811486"/>
          <a:chExt cx="1012371" cy="5321225"/>
        </a:xfrm>
      </xdr:grpSpPr>
      <xdr:sp macro="" textlink="">
        <xdr:nvSpPr>
          <xdr:cNvPr id="11" name="右中かっこ 10">
            <a:extLst>
              <a:ext uri="{FF2B5EF4-FFF2-40B4-BE49-F238E27FC236}">
                <a16:creationId xmlns:a16="http://schemas.microsoft.com/office/drawing/2014/main" id="{70605196-DEF2-3681-6935-0C8A5BB6DEF7}"/>
              </a:ext>
            </a:extLst>
          </xdr:cNvPr>
          <xdr:cNvSpPr/>
        </xdr:nvSpPr>
        <xdr:spPr>
          <a:xfrm rot="10800000">
            <a:off x="7915003" y="8777539"/>
            <a:ext cx="347254" cy="1355172"/>
          </a:xfrm>
          <a:prstGeom prst="rightBrace">
            <a:avLst>
              <a:gd name="adj1" fmla="val 79299"/>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75DB14C8-2D55-C5BF-08F8-C50DDC3B832D}"/>
              </a:ext>
            </a:extLst>
          </xdr:cNvPr>
          <xdr:cNvCxnSpPr>
            <a:cxnSpLocks/>
            <a:endCxn id="11" idx="1"/>
          </xdr:cNvCxnSpPr>
        </xdr:nvCxnSpPr>
        <xdr:spPr>
          <a:xfrm>
            <a:off x="7266214" y="5008517"/>
            <a:ext cx="648789" cy="4449698"/>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18" name="右中かっこ 17">
            <a:extLst>
              <a:ext uri="{FF2B5EF4-FFF2-40B4-BE49-F238E27FC236}">
                <a16:creationId xmlns:a16="http://schemas.microsoft.com/office/drawing/2014/main" id="{676F1135-1E64-AB6F-4DD8-E43E738D4CFC}"/>
              </a:ext>
            </a:extLst>
          </xdr:cNvPr>
          <xdr:cNvSpPr/>
        </xdr:nvSpPr>
        <xdr:spPr>
          <a:xfrm rot="10800000">
            <a:off x="7978372" y="6313012"/>
            <a:ext cx="270822" cy="1431374"/>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1" name="直線矢印コネクタ 20">
            <a:extLst>
              <a:ext uri="{FF2B5EF4-FFF2-40B4-BE49-F238E27FC236}">
                <a16:creationId xmlns:a16="http://schemas.microsoft.com/office/drawing/2014/main" id="{2D13E24A-E162-3524-BC9C-F74FA1759A9A}"/>
              </a:ext>
            </a:extLst>
          </xdr:cNvPr>
          <xdr:cNvCxnSpPr>
            <a:cxnSpLocks/>
          </xdr:cNvCxnSpPr>
        </xdr:nvCxnSpPr>
        <xdr:spPr>
          <a:xfrm>
            <a:off x="7249886" y="4811486"/>
            <a:ext cx="761143" cy="2220536"/>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wsDr>
</file>

<file path=xl/drawings/drawing12.xml><?xml version="1.0" encoding="utf-8"?>
<xdr:wsDr xmlns:xdr="http://schemas.openxmlformats.org/drawingml/2006/spreadsheetDrawing" xmlns:a="http://schemas.openxmlformats.org/drawingml/2006/main">
  <xdr:oneCellAnchor>
    <xdr:from>
      <xdr:col>20</xdr:col>
      <xdr:colOff>540007</xdr:colOff>
      <xdr:row>0</xdr:row>
      <xdr:rowOff>37284</xdr:rowOff>
    </xdr:from>
    <xdr:ext cx="877163" cy="466165"/>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9043927" y="37284"/>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editAs="oneCell">
    <xdr:from>
      <xdr:col>14</xdr:col>
      <xdr:colOff>45720</xdr:colOff>
      <xdr:row>13</xdr:row>
      <xdr:rowOff>152400</xdr:rowOff>
    </xdr:from>
    <xdr:to>
      <xdr:col>15</xdr:col>
      <xdr:colOff>0</xdr:colOff>
      <xdr:row>23</xdr:row>
      <xdr:rowOff>129540</xdr:rowOff>
    </xdr:to>
    <xdr:cxnSp macro="">
      <xdr:nvCxnSpPr>
        <xdr:cNvPr id="6" name="直線矢印コネクタ 5">
          <a:extLst>
            <a:ext uri="{FF2B5EF4-FFF2-40B4-BE49-F238E27FC236}">
              <a16:creationId xmlns:a16="http://schemas.microsoft.com/office/drawing/2014/main" id="{00000000-0008-0000-0F00-000006000000}"/>
            </a:ext>
          </a:extLst>
        </xdr:cNvPr>
        <xdr:cNvCxnSpPr>
          <a:cxnSpLocks/>
        </xdr:cNvCxnSpPr>
      </xdr:nvCxnSpPr>
      <xdr:spPr>
        <a:xfrm>
          <a:off x="7520940" y="3429000"/>
          <a:ext cx="982980" cy="239268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editAs="oneCell">
    <xdr:from>
      <xdr:col>14</xdr:col>
      <xdr:colOff>28303</xdr:colOff>
      <xdr:row>29</xdr:row>
      <xdr:rowOff>0</xdr:rowOff>
    </xdr:from>
    <xdr:to>
      <xdr:col>14</xdr:col>
      <xdr:colOff>278563</xdr:colOff>
      <xdr:row>30</xdr:row>
      <xdr:rowOff>204872</xdr:rowOff>
    </xdr:to>
    <xdr:sp macro="" textlink="">
      <xdr:nvSpPr>
        <xdr:cNvPr id="7" name="右中かっこ 6" hidden="1">
          <a:extLst>
            <a:ext uri="{FF2B5EF4-FFF2-40B4-BE49-F238E27FC236}">
              <a16:creationId xmlns:a16="http://schemas.microsoft.com/office/drawing/2014/main" id="{00000000-0008-0000-0F00-000007000000}"/>
            </a:ext>
          </a:extLst>
        </xdr:cNvPr>
        <xdr:cNvSpPr/>
      </xdr:nvSpPr>
      <xdr:spPr>
        <a:xfrm>
          <a:off x="8279674" y="13699954"/>
          <a:ext cx="250260" cy="445445"/>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14</xdr:col>
      <xdr:colOff>809628</xdr:colOff>
      <xdr:row>29</xdr:row>
      <xdr:rowOff>0</xdr:rowOff>
    </xdr:from>
    <xdr:to>
      <xdr:col>14</xdr:col>
      <xdr:colOff>984092</xdr:colOff>
      <xdr:row>30</xdr:row>
      <xdr:rowOff>203116</xdr:rowOff>
    </xdr:to>
    <xdr:sp macro="" textlink="">
      <xdr:nvSpPr>
        <xdr:cNvPr id="8" name="右中かっこ 7" hidden="1">
          <a:extLst>
            <a:ext uri="{FF2B5EF4-FFF2-40B4-BE49-F238E27FC236}">
              <a16:creationId xmlns:a16="http://schemas.microsoft.com/office/drawing/2014/main" id="{00000000-0008-0000-0F00-000008000000}"/>
            </a:ext>
          </a:extLst>
        </xdr:cNvPr>
        <xdr:cNvSpPr/>
      </xdr:nvSpPr>
      <xdr:spPr>
        <a:xfrm rot="10800000">
          <a:off x="9998452" y="13561997"/>
          <a:ext cx="250664" cy="461298"/>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14</xdr:col>
      <xdr:colOff>278563</xdr:colOff>
      <xdr:row>28</xdr:row>
      <xdr:rowOff>0</xdr:rowOff>
    </xdr:from>
    <xdr:to>
      <xdr:col>14</xdr:col>
      <xdr:colOff>809628</xdr:colOff>
      <xdr:row>28</xdr:row>
      <xdr:rowOff>0</xdr:rowOff>
    </xdr:to>
    <xdr:cxnSp macro="">
      <xdr:nvCxnSpPr>
        <xdr:cNvPr id="9" name="直線矢印コネクタ 8" hidden="1">
          <a:extLst>
            <a:ext uri="{FF2B5EF4-FFF2-40B4-BE49-F238E27FC236}">
              <a16:creationId xmlns:a16="http://schemas.microsoft.com/office/drawing/2014/main" id="{00000000-0008-0000-0F00-000009000000}"/>
            </a:ext>
          </a:extLst>
        </xdr:cNvPr>
        <xdr:cNvCxnSpPr>
          <a:stCxn id="7" idx="1"/>
          <a:endCxn id="8" idx="1"/>
        </xdr:cNvCxnSpPr>
      </xdr:nvCxnSpPr>
      <xdr:spPr>
        <a:xfrm flipV="1">
          <a:off x="9467387" y="13803380"/>
          <a:ext cx="531065" cy="5558"/>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editAs="oneCell">
    <xdr:from>
      <xdr:col>14</xdr:col>
      <xdr:colOff>38100</xdr:colOff>
      <xdr:row>0</xdr:row>
      <xdr:rowOff>38100</xdr:rowOff>
    </xdr:from>
    <xdr:to>
      <xdr:col>20</xdr:col>
      <xdr:colOff>472440</xdr:colOff>
      <xdr:row>1</xdr:row>
      <xdr:rowOff>150223</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00000000-0008-0000-0F00-00000C000000}"/>
            </a:ext>
          </a:extLst>
        </xdr:cNvPr>
        <xdr:cNvSpPr/>
      </xdr:nvSpPr>
      <xdr:spPr>
        <a:xfrm>
          <a:off x="7292340" y="38100"/>
          <a:ext cx="1463040" cy="44740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14</xdr:col>
      <xdr:colOff>8965</xdr:colOff>
      <xdr:row>19</xdr:row>
      <xdr:rowOff>155606</xdr:rowOff>
    </xdr:from>
    <xdr:to>
      <xdr:col>14</xdr:col>
      <xdr:colOff>1021336</xdr:colOff>
      <xdr:row>42</xdr:row>
      <xdr:rowOff>229916</xdr:rowOff>
    </xdr:to>
    <xdr:grpSp>
      <xdr:nvGrpSpPr>
        <xdr:cNvPr id="10" name="グループ化 9">
          <a:extLst>
            <a:ext uri="{FF2B5EF4-FFF2-40B4-BE49-F238E27FC236}">
              <a16:creationId xmlns:a16="http://schemas.microsoft.com/office/drawing/2014/main" id="{D7E5A8CC-7C16-42D6-81AA-4E901F61CD19}"/>
            </a:ext>
          </a:extLst>
        </xdr:cNvPr>
        <xdr:cNvGrpSpPr/>
      </xdr:nvGrpSpPr>
      <xdr:grpSpPr>
        <a:xfrm>
          <a:off x="7632140" y="4816506"/>
          <a:ext cx="1006021" cy="5528960"/>
          <a:chOff x="7249886" y="4811486"/>
          <a:chExt cx="1012371" cy="5321225"/>
        </a:xfrm>
      </xdr:grpSpPr>
      <xdr:sp macro="" textlink="">
        <xdr:nvSpPr>
          <xdr:cNvPr id="11" name="右中かっこ 10">
            <a:extLst>
              <a:ext uri="{FF2B5EF4-FFF2-40B4-BE49-F238E27FC236}">
                <a16:creationId xmlns:a16="http://schemas.microsoft.com/office/drawing/2014/main" id="{8CC43380-FD1A-7CAC-965C-2CFB93764A8F}"/>
              </a:ext>
            </a:extLst>
          </xdr:cNvPr>
          <xdr:cNvSpPr/>
        </xdr:nvSpPr>
        <xdr:spPr>
          <a:xfrm rot="10800000">
            <a:off x="7915003" y="8777539"/>
            <a:ext cx="347254" cy="1355172"/>
          </a:xfrm>
          <a:prstGeom prst="rightBrace">
            <a:avLst>
              <a:gd name="adj1" fmla="val 79299"/>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13" name="直線矢印コネクタ 12">
            <a:extLst>
              <a:ext uri="{FF2B5EF4-FFF2-40B4-BE49-F238E27FC236}">
                <a16:creationId xmlns:a16="http://schemas.microsoft.com/office/drawing/2014/main" id="{11C45612-71EC-4828-01FA-3B9342F71D56}"/>
              </a:ext>
            </a:extLst>
          </xdr:cNvPr>
          <xdr:cNvCxnSpPr>
            <a:cxnSpLocks/>
            <a:endCxn id="11" idx="1"/>
          </xdr:cNvCxnSpPr>
        </xdr:nvCxnSpPr>
        <xdr:spPr>
          <a:xfrm>
            <a:off x="7266214" y="5008517"/>
            <a:ext cx="648789" cy="4449698"/>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14" name="右中かっこ 13">
            <a:extLst>
              <a:ext uri="{FF2B5EF4-FFF2-40B4-BE49-F238E27FC236}">
                <a16:creationId xmlns:a16="http://schemas.microsoft.com/office/drawing/2014/main" id="{5FB0E116-4E7C-0F4F-A406-8E85D4A1AAFB}"/>
              </a:ext>
            </a:extLst>
          </xdr:cNvPr>
          <xdr:cNvSpPr/>
        </xdr:nvSpPr>
        <xdr:spPr>
          <a:xfrm rot="10800000">
            <a:off x="7978372" y="6313012"/>
            <a:ext cx="270822" cy="1431374"/>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5" name="直線矢印コネクタ 14">
            <a:extLst>
              <a:ext uri="{FF2B5EF4-FFF2-40B4-BE49-F238E27FC236}">
                <a16:creationId xmlns:a16="http://schemas.microsoft.com/office/drawing/2014/main" id="{C2758711-063C-5F04-ABCC-A096288E1FE7}"/>
              </a:ext>
            </a:extLst>
          </xdr:cNvPr>
          <xdr:cNvCxnSpPr>
            <a:cxnSpLocks/>
          </xdr:cNvCxnSpPr>
        </xdr:nvCxnSpPr>
        <xdr:spPr>
          <a:xfrm>
            <a:off x="7249886" y="4811486"/>
            <a:ext cx="761143" cy="2220536"/>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wsDr>
</file>

<file path=xl/drawings/drawing13.xml><?xml version="1.0" encoding="utf-8"?>
<xdr:wsDr xmlns:xdr="http://schemas.openxmlformats.org/drawingml/2006/spreadsheetDrawing" xmlns:a="http://schemas.openxmlformats.org/drawingml/2006/main">
  <xdr:oneCellAnchor>
    <xdr:from>
      <xdr:col>16</xdr:col>
      <xdr:colOff>159203</xdr:colOff>
      <xdr:row>3</xdr:row>
      <xdr:rowOff>62592</xdr:rowOff>
    </xdr:from>
    <xdr:ext cx="877163" cy="52197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5319032" y="62592"/>
          <a:ext cx="877163" cy="52197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fPrintsWithSheet="0"/>
  </xdr:oneCellAnchor>
  <xdr:twoCellAnchor editAs="oneCell">
    <xdr:from>
      <xdr:col>20</xdr:col>
      <xdr:colOff>0</xdr:colOff>
      <xdr:row>3</xdr:row>
      <xdr:rowOff>0</xdr:rowOff>
    </xdr:from>
    <xdr:to>
      <xdr:col>23</xdr:col>
      <xdr:colOff>297180</xdr:colOff>
      <xdr:row>4</xdr:row>
      <xdr:rowOff>220178</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6667500" y="0"/>
          <a:ext cx="1463040" cy="44958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oneCellAnchor>
    <xdr:from>
      <xdr:col>16</xdr:col>
      <xdr:colOff>79830</xdr:colOff>
      <xdr:row>3</xdr:row>
      <xdr:rowOff>115625</xdr:rowOff>
    </xdr:from>
    <xdr:ext cx="877163" cy="466165"/>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6778804" y="486686"/>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公表用</a:t>
          </a:r>
        </a:p>
      </xdr:txBody>
    </xdr:sp>
    <xdr:clientData fPrintsWithSheet="0"/>
  </xdr:oneCellAnchor>
  <xdr:twoCellAnchor editAs="oneCell">
    <xdr:from>
      <xdr:col>18</xdr:col>
      <xdr:colOff>245166</xdr:colOff>
      <xdr:row>1</xdr:row>
      <xdr:rowOff>112643</xdr:rowOff>
    </xdr:from>
    <xdr:to>
      <xdr:col>22</xdr:col>
      <xdr:colOff>10933</xdr:colOff>
      <xdr:row>4</xdr:row>
      <xdr:rowOff>2319</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8030818" y="152400"/>
          <a:ext cx="1409037" cy="439641"/>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266700</xdr:colOff>
      <xdr:row>0</xdr:row>
      <xdr:rowOff>198120</xdr:rowOff>
    </xdr:from>
    <xdr:to>
      <xdr:col>21</xdr:col>
      <xdr:colOff>175260</xdr:colOff>
      <xdr:row>2</xdr:row>
      <xdr:rowOff>205740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873240" y="198120"/>
          <a:ext cx="1463040" cy="44958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5</xdr:col>
      <xdr:colOff>566506</xdr:colOff>
      <xdr:row>1</xdr:row>
      <xdr:rowOff>46456</xdr:rowOff>
    </xdr:from>
    <xdr:to>
      <xdr:col>8</xdr:col>
      <xdr:colOff>74095</xdr:colOff>
      <xdr:row>2</xdr:row>
      <xdr:rowOff>31948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12F78ED-DAF0-4403-8D08-755EE3E5D919}"/>
            </a:ext>
          </a:extLst>
        </xdr:cNvPr>
        <xdr:cNvSpPr/>
      </xdr:nvSpPr>
      <xdr:spPr>
        <a:xfrm>
          <a:off x="3805006" y="252196"/>
          <a:ext cx="1450689" cy="450312"/>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42</xdr:col>
      <xdr:colOff>1</xdr:colOff>
      <xdr:row>40</xdr:row>
      <xdr:rowOff>26275</xdr:rowOff>
    </xdr:from>
    <xdr:to>
      <xdr:col>44</xdr:col>
      <xdr:colOff>5255</xdr:colOff>
      <xdr:row>40</xdr:row>
      <xdr:rowOff>227875</xdr:rowOff>
    </xdr:to>
    <xdr:cxnSp macro="">
      <xdr:nvCxnSpPr>
        <xdr:cNvPr id="12" name="直線コネクタ 11">
          <a:extLst>
            <a:ext uri="{FF2B5EF4-FFF2-40B4-BE49-F238E27FC236}">
              <a16:creationId xmlns:a16="http://schemas.microsoft.com/office/drawing/2014/main" id="{75450CAB-81D4-584F-C2AA-58ECB770A57E}"/>
            </a:ext>
          </a:extLst>
        </xdr:cNvPr>
        <xdr:cNvCxnSpPr/>
      </xdr:nvCxnSpPr>
      <xdr:spPr>
        <a:xfrm flipV="1">
          <a:off x="28756304" y="8854965"/>
          <a:ext cx="1844565" cy="20160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10510</xdr:colOff>
      <xdr:row>40</xdr:row>
      <xdr:rowOff>26275</xdr:rowOff>
    </xdr:from>
    <xdr:to>
      <xdr:col>44</xdr:col>
      <xdr:colOff>914400</xdr:colOff>
      <xdr:row>40</xdr:row>
      <xdr:rowOff>227875</xdr:rowOff>
    </xdr:to>
    <xdr:cxnSp macro="">
      <xdr:nvCxnSpPr>
        <xdr:cNvPr id="13" name="直線コネクタ 12">
          <a:extLst>
            <a:ext uri="{FF2B5EF4-FFF2-40B4-BE49-F238E27FC236}">
              <a16:creationId xmlns:a16="http://schemas.microsoft.com/office/drawing/2014/main" id="{6AE365A7-A1F5-A181-7346-1F4820A0802C}"/>
            </a:ext>
          </a:extLst>
        </xdr:cNvPr>
        <xdr:cNvCxnSpPr/>
      </xdr:nvCxnSpPr>
      <xdr:spPr>
        <a:xfrm flipV="1">
          <a:off x="30606124" y="8854965"/>
          <a:ext cx="903890" cy="20160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47</xdr:col>
      <xdr:colOff>0</xdr:colOff>
      <xdr:row>45</xdr:row>
      <xdr:rowOff>411438</xdr:rowOff>
    </xdr:from>
    <xdr:to>
      <xdr:col>47</xdr:col>
      <xdr:colOff>224581</xdr:colOff>
      <xdr:row>45</xdr:row>
      <xdr:rowOff>1468601</xdr:rowOff>
    </xdr:to>
    <xdr:sp macro="" textlink="">
      <xdr:nvSpPr>
        <xdr:cNvPr id="16" name="右中かっこ 1">
          <a:extLst>
            <a:ext uri="{FF2B5EF4-FFF2-40B4-BE49-F238E27FC236}">
              <a16:creationId xmlns:a16="http://schemas.microsoft.com/office/drawing/2014/main" id="{2CBDE02A-8FBC-435F-A1D8-33B460D1E555}"/>
            </a:ext>
          </a:extLst>
        </xdr:cNvPr>
        <xdr:cNvSpPr/>
      </xdr:nvSpPr>
      <xdr:spPr>
        <a:xfrm>
          <a:off x="32766000" y="10378398"/>
          <a:ext cx="224581" cy="1057163"/>
        </a:xfrm>
        <a:prstGeom prst="rightBrace">
          <a:avLst/>
        </a:prstGeom>
        <a:noFill/>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47</xdr:col>
      <xdr:colOff>365876</xdr:colOff>
      <xdr:row>45</xdr:row>
      <xdr:rowOff>802271</xdr:rowOff>
    </xdr:from>
    <xdr:to>
      <xdr:col>47</xdr:col>
      <xdr:colOff>1008367</xdr:colOff>
      <xdr:row>45</xdr:row>
      <xdr:rowOff>1089390</xdr:rowOff>
    </xdr:to>
    <xdr:sp macro="" textlink="">
      <xdr:nvSpPr>
        <xdr:cNvPr id="17" name="右矢印 1">
          <a:extLst>
            <a:ext uri="{FF2B5EF4-FFF2-40B4-BE49-F238E27FC236}">
              <a16:creationId xmlns:a16="http://schemas.microsoft.com/office/drawing/2014/main" id="{8E803E3C-8465-4126-B1EA-242C4E4D5B90}"/>
            </a:ext>
          </a:extLst>
        </xdr:cNvPr>
        <xdr:cNvSpPr/>
      </xdr:nvSpPr>
      <xdr:spPr>
        <a:xfrm>
          <a:off x="33131876" y="10769231"/>
          <a:ext cx="642491" cy="287119"/>
        </a:xfrm>
        <a:prstGeom prst="rightArrow">
          <a:avLst/>
        </a:prstGeom>
        <a:solidFill>
          <a:schemeClr val="accent1"/>
        </a:solidFill>
        <a:ln>
          <a:solidFill>
            <a:srgbClr val="385D8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49</xdr:col>
      <xdr:colOff>359244</xdr:colOff>
      <xdr:row>44</xdr:row>
      <xdr:rowOff>160020</xdr:rowOff>
    </xdr:from>
    <xdr:to>
      <xdr:col>57</xdr:col>
      <xdr:colOff>96097</xdr:colOff>
      <xdr:row>45</xdr:row>
      <xdr:rowOff>3323699</xdr:rowOff>
    </xdr:to>
    <xdr:pic>
      <xdr:nvPicPr>
        <xdr:cNvPr id="18" name="図 1">
          <a:extLst>
            <a:ext uri="{FF2B5EF4-FFF2-40B4-BE49-F238E27FC236}">
              <a16:creationId xmlns:a16="http://schemas.microsoft.com/office/drawing/2014/main" id="{E5C99643-82C4-4295-A45F-304FB32DA9C4}"/>
            </a:ext>
          </a:extLst>
        </xdr:cNvPr>
        <xdr:cNvPicPr>
          <a:picLocks noChangeAspect="1"/>
        </xdr:cNvPicPr>
      </xdr:nvPicPr>
      <xdr:blipFill>
        <a:blip xmlns:r="http://schemas.openxmlformats.org/officeDocument/2006/relationships" r:embed="rId1"/>
        <a:stretch>
          <a:fillRect/>
        </a:stretch>
      </xdr:blipFill>
      <xdr:spPr>
        <a:xfrm>
          <a:off x="39618809" y="9807603"/>
          <a:ext cx="4613653" cy="3382339"/>
        </a:xfrm>
        <a:prstGeom prst="rect">
          <a:avLst/>
        </a:prstGeom>
      </xdr:spPr>
    </xdr:pic>
    <xdr:clientData/>
  </xdr:twoCellAnchor>
  <xdr:twoCellAnchor editAs="oneCell">
    <xdr:from>
      <xdr:col>47</xdr:col>
      <xdr:colOff>0</xdr:colOff>
      <xdr:row>47</xdr:row>
      <xdr:rowOff>403818</xdr:rowOff>
    </xdr:from>
    <xdr:to>
      <xdr:col>47</xdr:col>
      <xdr:colOff>224581</xdr:colOff>
      <xdr:row>47</xdr:row>
      <xdr:rowOff>1460981</xdr:rowOff>
    </xdr:to>
    <xdr:sp macro="" textlink="">
      <xdr:nvSpPr>
        <xdr:cNvPr id="19" name="右中かっこ 1">
          <a:extLst>
            <a:ext uri="{FF2B5EF4-FFF2-40B4-BE49-F238E27FC236}">
              <a16:creationId xmlns:a16="http://schemas.microsoft.com/office/drawing/2014/main" id="{C2C0E9AD-2436-4BFE-81C1-2E8CAC0393D2}"/>
            </a:ext>
          </a:extLst>
        </xdr:cNvPr>
        <xdr:cNvSpPr/>
      </xdr:nvSpPr>
      <xdr:spPr>
        <a:xfrm>
          <a:off x="32766000" y="14020758"/>
          <a:ext cx="224581" cy="1057163"/>
        </a:xfrm>
        <a:prstGeom prst="rightBrace">
          <a:avLst/>
        </a:prstGeom>
        <a:noFill/>
        <a:ln w="1905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47</xdr:col>
      <xdr:colOff>365876</xdr:colOff>
      <xdr:row>47</xdr:row>
      <xdr:rowOff>794651</xdr:rowOff>
    </xdr:from>
    <xdr:to>
      <xdr:col>47</xdr:col>
      <xdr:colOff>1008367</xdr:colOff>
      <xdr:row>47</xdr:row>
      <xdr:rowOff>1081770</xdr:rowOff>
    </xdr:to>
    <xdr:sp macro="" textlink="">
      <xdr:nvSpPr>
        <xdr:cNvPr id="20" name="右矢印 1">
          <a:extLst>
            <a:ext uri="{FF2B5EF4-FFF2-40B4-BE49-F238E27FC236}">
              <a16:creationId xmlns:a16="http://schemas.microsoft.com/office/drawing/2014/main" id="{2CB0273F-570C-48CA-9A52-23F098DE2D1D}"/>
            </a:ext>
          </a:extLst>
        </xdr:cNvPr>
        <xdr:cNvSpPr/>
      </xdr:nvSpPr>
      <xdr:spPr>
        <a:xfrm>
          <a:off x="33131876" y="14411591"/>
          <a:ext cx="642491" cy="287119"/>
        </a:xfrm>
        <a:prstGeom prst="rightArrow">
          <a:avLst/>
        </a:prstGeom>
        <a:solidFill>
          <a:schemeClr val="bg1">
            <a:lumMod val="85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50</xdr:col>
      <xdr:colOff>8062</xdr:colOff>
      <xdr:row>47</xdr:row>
      <xdr:rowOff>13252</xdr:rowOff>
    </xdr:from>
    <xdr:to>
      <xdr:col>57</xdr:col>
      <xdr:colOff>354515</xdr:colOff>
      <xdr:row>47</xdr:row>
      <xdr:rowOff>3395591</xdr:rowOff>
    </xdr:to>
    <xdr:pic>
      <xdr:nvPicPr>
        <xdr:cNvPr id="21" name="図 1">
          <a:extLst>
            <a:ext uri="{FF2B5EF4-FFF2-40B4-BE49-F238E27FC236}">
              <a16:creationId xmlns:a16="http://schemas.microsoft.com/office/drawing/2014/main" id="{43A2A987-14FE-49E1-9BA4-85EE60C5D4D2}"/>
            </a:ext>
          </a:extLst>
        </xdr:cNvPr>
        <xdr:cNvPicPr>
          <a:picLocks noChangeAspect="1"/>
        </xdr:cNvPicPr>
      </xdr:nvPicPr>
      <xdr:blipFill>
        <a:blip xmlns:r="http://schemas.openxmlformats.org/officeDocument/2006/relationships" r:embed="rId2">
          <a:alphaModFix amt="86000"/>
          <a:extLst>
            <a:ext uri="{BEBA8EAE-BF5A-486C-A8C5-ECC9F3942E4B}">
              <a14:imgProps xmlns:a14="http://schemas.microsoft.com/office/drawing/2010/main">
                <a14:imgLayer r:embed="rId3">
                  <a14:imgEffect>
                    <a14:sharpenSoften amount="-13000"/>
                  </a14:imgEffect>
                  <a14:imgEffect>
                    <a14:saturation sat="0"/>
                  </a14:imgEffect>
                  <a14:imgEffect>
                    <a14:brightnessContrast bright="35000" contrast="-35000"/>
                  </a14:imgEffect>
                </a14:imgLayer>
              </a14:imgProps>
            </a:ext>
          </a:extLst>
        </a:blip>
        <a:stretch>
          <a:fillRect/>
        </a:stretch>
      </xdr:blipFill>
      <xdr:spPr>
        <a:xfrm>
          <a:off x="39877227" y="14802678"/>
          <a:ext cx="4613653" cy="3382339"/>
        </a:xfrm>
        <a:prstGeom prst="rect">
          <a:avLst/>
        </a:prstGeom>
        <a:effectLst>
          <a:glow>
            <a:schemeClr val="bg1">
              <a:lumMod val="85000"/>
            </a:schemeClr>
          </a:glow>
        </a:effectLst>
      </xdr:spPr>
    </xdr:pic>
    <xdr:clientData/>
  </xdr:twoCellAnchor>
  <xdr:twoCellAnchor editAs="oneCell">
    <xdr:from>
      <xdr:col>62</xdr:col>
      <xdr:colOff>443948</xdr:colOff>
      <xdr:row>47</xdr:row>
      <xdr:rowOff>59635</xdr:rowOff>
    </xdr:from>
    <xdr:to>
      <xdr:col>70</xdr:col>
      <xdr:colOff>180801</xdr:colOff>
      <xdr:row>48</xdr:row>
      <xdr:rowOff>9661</xdr:rowOff>
    </xdr:to>
    <xdr:pic>
      <xdr:nvPicPr>
        <xdr:cNvPr id="9" name="図 1">
          <a:extLst>
            <a:ext uri="{FF2B5EF4-FFF2-40B4-BE49-F238E27FC236}">
              <a16:creationId xmlns:a16="http://schemas.microsoft.com/office/drawing/2014/main" id="{0E3B076C-4CE9-4573-B394-9A25798571B5}"/>
            </a:ext>
          </a:extLst>
        </xdr:cNvPr>
        <xdr:cNvPicPr>
          <a:picLocks noChangeAspect="1"/>
        </xdr:cNvPicPr>
      </xdr:nvPicPr>
      <xdr:blipFill>
        <a:blip xmlns:r="http://schemas.openxmlformats.org/officeDocument/2006/relationships" r:embed="rId1"/>
        <a:stretch>
          <a:fillRect/>
        </a:stretch>
      </xdr:blipFill>
      <xdr:spPr>
        <a:xfrm>
          <a:off x="47628313" y="14849061"/>
          <a:ext cx="4613653" cy="3382339"/>
        </a:xfrm>
        <a:prstGeom prst="rect">
          <a:avLst/>
        </a:prstGeom>
      </xdr:spPr>
    </xdr:pic>
    <xdr:clientData/>
  </xdr:twoCellAnchor>
  <xdr:twoCellAnchor>
    <xdr:from>
      <xdr:col>47</xdr:col>
      <xdr:colOff>1232453</xdr:colOff>
      <xdr:row>45</xdr:row>
      <xdr:rowOff>13253</xdr:rowOff>
    </xdr:from>
    <xdr:to>
      <xdr:col>47</xdr:col>
      <xdr:colOff>5784574</xdr:colOff>
      <xdr:row>45</xdr:row>
      <xdr:rowOff>3279915</xdr:rowOff>
    </xdr:to>
    <xdr:grpSp>
      <xdr:nvGrpSpPr>
        <xdr:cNvPr id="29" name="グループ化 28">
          <a:extLst>
            <a:ext uri="{FF2B5EF4-FFF2-40B4-BE49-F238E27FC236}">
              <a16:creationId xmlns:a16="http://schemas.microsoft.com/office/drawing/2014/main" id="{ED55246F-83AE-286B-F8EA-2E4E307787E4}"/>
            </a:ext>
          </a:extLst>
        </xdr:cNvPr>
        <xdr:cNvGrpSpPr/>
      </xdr:nvGrpSpPr>
      <xdr:grpSpPr>
        <a:xfrm>
          <a:off x="34627103" y="10033553"/>
          <a:ext cx="4552121" cy="3266662"/>
          <a:chOff x="27882574" y="19593338"/>
          <a:chExt cx="4552121" cy="3266662"/>
        </a:xfrm>
      </xdr:grpSpPr>
      <xdr:grpSp>
        <xdr:nvGrpSpPr>
          <xdr:cNvPr id="26" name="グループ化 25">
            <a:extLst>
              <a:ext uri="{FF2B5EF4-FFF2-40B4-BE49-F238E27FC236}">
                <a16:creationId xmlns:a16="http://schemas.microsoft.com/office/drawing/2014/main" id="{B180A97B-A2CA-4F40-6DCD-0751F77B5386}"/>
              </a:ext>
            </a:extLst>
          </xdr:cNvPr>
          <xdr:cNvGrpSpPr/>
        </xdr:nvGrpSpPr>
        <xdr:grpSpPr>
          <a:xfrm>
            <a:off x="27882574" y="19593338"/>
            <a:ext cx="4545496" cy="3266662"/>
            <a:chOff x="27882574" y="19593338"/>
            <a:chExt cx="4545496" cy="3266662"/>
          </a:xfrm>
        </xdr:grpSpPr>
        <xdr:grpSp>
          <xdr:nvGrpSpPr>
            <xdr:cNvPr id="14" name="グループ化 13">
              <a:extLst>
                <a:ext uri="{FF2B5EF4-FFF2-40B4-BE49-F238E27FC236}">
                  <a16:creationId xmlns:a16="http://schemas.microsoft.com/office/drawing/2014/main" id="{5247C8B1-9A62-6B00-9CC3-79EEB609B82D}"/>
                </a:ext>
              </a:extLst>
            </xdr:cNvPr>
            <xdr:cNvGrpSpPr/>
          </xdr:nvGrpSpPr>
          <xdr:grpSpPr>
            <a:xfrm>
              <a:off x="27882574" y="19593338"/>
              <a:ext cx="4545496" cy="3266662"/>
              <a:chOff x="27882574" y="19593338"/>
              <a:chExt cx="4545496" cy="3266662"/>
            </a:xfrm>
          </xdr:grpSpPr>
          <xdr:sp macro="" textlink="">
            <xdr:nvSpPr>
              <xdr:cNvPr id="8" name="正方形/長方形 7">
                <a:extLst>
                  <a:ext uri="{FF2B5EF4-FFF2-40B4-BE49-F238E27FC236}">
                    <a16:creationId xmlns:a16="http://schemas.microsoft.com/office/drawing/2014/main" id="{BDCAB18B-2276-9349-DAA7-D718ACC281A9}"/>
                  </a:ext>
                </a:extLst>
              </xdr:cNvPr>
              <xdr:cNvSpPr/>
            </xdr:nvSpPr>
            <xdr:spPr>
              <a:xfrm>
                <a:off x="27882574" y="19593338"/>
                <a:ext cx="4545496" cy="3266662"/>
              </a:xfrm>
              <a:prstGeom prst="rec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pic>
            <xdr:nvPicPr>
              <xdr:cNvPr id="5" name="図 4">
                <a:extLst>
                  <a:ext uri="{FF2B5EF4-FFF2-40B4-BE49-F238E27FC236}">
                    <a16:creationId xmlns:a16="http://schemas.microsoft.com/office/drawing/2014/main" id="{0C3714DD-B772-E0FD-0304-278DC035C8B9}"/>
                  </a:ext>
                </a:extLst>
              </xdr:cNvPr>
              <xdr:cNvPicPr>
                <a:picLocks noChangeAspect="1"/>
              </xdr:cNvPicPr>
            </xdr:nvPicPr>
            <xdr:blipFill rotWithShape="1">
              <a:blip xmlns:r="http://schemas.openxmlformats.org/officeDocument/2006/relationships" r:embed="rId4"/>
              <a:srcRect l="446"/>
              <a:stretch>
                <a:fillRect/>
              </a:stretch>
            </xdr:blipFill>
            <xdr:spPr>
              <a:xfrm>
                <a:off x="27975341" y="20220712"/>
                <a:ext cx="4164141" cy="2162210"/>
              </a:xfrm>
              <a:prstGeom prst="rect">
                <a:avLst/>
              </a:prstGeom>
            </xdr:spPr>
          </xdr:pic>
          <xdr:sp macro="" textlink="">
            <xdr:nvSpPr>
              <xdr:cNvPr id="11" name="正方形/長方形 10">
                <a:extLst>
                  <a:ext uri="{FF2B5EF4-FFF2-40B4-BE49-F238E27FC236}">
                    <a16:creationId xmlns:a16="http://schemas.microsoft.com/office/drawing/2014/main" id="{4FE8CEC5-91DE-E7CA-9003-2B5CA1CE7A6C}"/>
                  </a:ext>
                </a:extLst>
              </xdr:cNvPr>
              <xdr:cNvSpPr/>
            </xdr:nvSpPr>
            <xdr:spPr>
              <a:xfrm>
                <a:off x="27988591" y="20236068"/>
                <a:ext cx="3061253" cy="2268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24" name="四角形: 角を丸くする 23">
              <a:extLst>
                <a:ext uri="{FF2B5EF4-FFF2-40B4-BE49-F238E27FC236}">
                  <a16:creationId xmlns:a16="http://schemas.microsoft.com/office/drawing/2014/main" id="{1DB9EACB-FC68-45DF-B8AD-9A0804B5E219}"/>
                </a:ext>
              </a:extLst>
            </xdr:cNvPr>
            <xdr:cNvSpPr/>
          </xdr:nvSpPr>
          <xdr:spPr>
            <a:xfrm>
              <a:off x="28379530" y="20792661"/>
              <a:ext cx="2650435" cy="1192696"/>
            </a:xfrm>
            <a:prstGeom prst="roundRect">
              <a:avLst>
                <a:gd name="adj" fmla="val 8646"/>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sp macro="" textlink="">
          <xdr:nvSpPr>
            <xdr:cNvPr id="25" name="四角形: 角を丸くする 24">
              <a:extLst>
                <a:ext uri="{FF2B5EF4-FFF2-40B4-BE49-F238E27FC236}">
                  <a16:creationId xmlns:a16="http://schemas.microsoft.com/office/drawing/2014/main" id="{3D5A7F6E-939E-669B-F942-129BEE085FE4}"/>
                </a:ext>
              </a:extLst>
            </xdr:cNvPr>
            <xdr:cNvSpPr/>
          </xdr:nvSpPr>
          <xdr:spPr>
            <a:xfrm>
              <a:off x="31116104" y="20792661"/>
              <a:ext cx="655983" cy="1192696"/>
            </a:xfrm>
            <a:prstGeom prst="roundRect">
              <a:avLst>
                <a:gd name="adj" fmla="val 8646"/>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22" name="吹き出し: 角を丸めた四角形 21">
            <a:extLst>
              <a:ext uri="{FF2B5EF4-FFF2-40B4-BE49-F238E27FC236}">
                <a16:creationId xmlns:a16="http://schemas.microsoft.com/office/drawing/2014/main" id="{95B22C94-789F-43FF-B97C-F3DD5DB40D72}"/>
              </a:ext>
            </a:extLst>
          </xdr:cNvPr>
          <xdr:cNvSpPr/>
        </xdr:nvSpPr>
        <xdr:spPr>
          <a:xfrm>
            <a:off x="30334229" y="19725862"/>
            <a:ext cx="1643268" cy="483704"/>
          </a:xfrm>
          <a:prstGeom prst="wedgeRoundRectCallout">
            <a:avLst>
              <a:gd name="adj1" fmla="val -150686"/>
              <a:gd name="adj2" fmla="val 85160"/>
              <a:gd name="adj3" fmla="val 16667"/>
            </a:avLst>
          </a:prstGeom>
          <a:solidFill>
            <a:schemeClr val="bg1"/>
          </a:solidFill>
          <a:ln w="3175">
            <a:solidFill>
              <a:srgbClr val="E21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900"/>
              </a:lnSpc>
              <a:spcBef>
                <a:spcPts val="0"/>
              </a:spcBef>
              <a:spcAft>
                <a:spcPts val="0"/>
              </a:spcAft>
              <a:buClrTx/>
              <a:buSzTx/>
              <a:buFontTx/>
              <a:buNone/>
              <a:tabLst/>
            </a:pPr>
            <a:r>
              <a:rPr kumimoji="1" lang="ja-JP" altLang="en-US" sz="700">
                <a:solidFill>
                  <a:sysClr val="windowText" lastClr="000000"/>
                </a:solidFill>
                <a:effectLst/>
                <a:latin typeface="メイリオ" panose="020B0604030504040204" pitchFamily="50" charset="-128"/>
                <a:ea typeface="メイリオ" panose="020B0604030504040204" pitchFamily="50" charset="-128"/>
                <a:cs typeface="+mn-cs"/>
              </a:rPr>
              <a:t>こちらに契約している電気事業者名を入力すると電力契約メニューが検索できます。</a:t>
            </a:r>
          </a:p>
        </xdr:txBody>
      </xdr:sp>
      <xdr:sp macro="" textlink="">
        <xdr:nvSpPr>
          <xdr:cNvPr id="23" name="吹き出し: 角を丸めた四角形 22">
            <a:extLst>
              <a:ext uri="{FF2B5EF4-FFF2-40B4-BE49-F238E27FC236}">
                <a16:creationId xmlns:a16="http://schemas.microsoft.com/office/drawing/2014/main" id="{2F31D594-C3F9-4E00-BD75-5723C3E9B851}"/>
              </a:ext>
            </a:extLst>
          </xdr:cNvPr>
          <xdr:cNvSpPr/>
        </xdr:nvSpPr>
        <xdr:spPr>
          <a:xfrm>
            <a:off x="28657828" y="22184141"/>
            <a:ext cx="2007703" cy="490330"/>
          </a:xfrm>
          <a:prstGeom prst="wedgeRoundRectCallout">
            <a:avLst>
              <a:gd name="adj1" fmla="val 659"/>
              <a:gd name="adj2" fmla="val -232787"/>
              <a:gd name="adj3" fmla="val 16667"/>
            </a:avLst>
          </a:prstGeom>
          <a:solidFill>
            <a:schemeClr val="bg1"/>
          </a:solidFill>
          <a:ln w="3175">
            <a:solidFill>
              <a:srgbClr val="E21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ysClr val="windowText" lastClr="000000"/>
                </a:solidFill>
                <a:effectLst/>
                <a:latin typeface="メイリオ" panose="020B0604030504040204" pitchFamily="50" charset="-128"/>
                <a:ea typeface="メイリオ" panose="020B0604030504040204" pitchFamily="50" charset="-128"/>
                <a:cs typeface="+mn-cs"/>
              </a:rPr>
              <a:t>検索結果の中から契約しているメニューをそのまま左記の「電気事業者名・契約メニュー」へ転記してください。</a:t>
            </a:r>
          </a:p>
        </xdr:txBody>
      </xdr:sp>
      <xdr:sp macro="" textlink="">
        <xdr:nvSpPr>
          <xdr:cNvPr id="15" name="吹き出し: 角を丸めた四角形 14">
            <a:extLst>
              <a:ext uri="{FF2B5EF4-FFF2-40B4-BE49-F238E27FC236}">
                <a16:creationId xmlns:a16="http://schemas.microsoft.com/office/drawing/2014/main" id="{D632F40F-EF3A-48D7-93A8-260332BB6253}"/>
              </a:ext>
            </a:extLst>
          </xdr:cNvPr>
          <xdr:cNvSpPr/>
        </xdr:nvSpPr>
        <xdr:spPr>
          <a:xfrm>
            <a:off x="31354643" y="22217932"/>
            <a:ext cx="1046921" cy="330642"/>
          </a:xfrm>
          <a:prstGeom prst="wedgeRoundRectCallout">
            <a:avLst>
              <a:gd name="adj1" fmla="val -30197"/>
              <a:gd name="adj2" fmla="val -326059"/>
              <a:gd name="adj3" fmla="val 16667"/>
            </a:avLst>
          </a:prstGeom>
          <a:solidFill>
            <a:schemeClr val="bg1"/>
          </a:solidFill>
          <a:ln w="3175">
            <a:solidFill>
              <a:srgbClr val="E21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ysClr val="windowText" lastClr="000000"/>
                </a:solidFill>
                <a:effectLst/>
                <a:latin typeface="メイリオ" panose="020B0604030504040204" pitchFamily="50" charset="-128"/>
                <a:ea typeface="メイリオ" panose="020B0604030504040204" pitchFamily="50" charset="-128"/>
                <a:cs typeface="+mn-cs"/>
              </a:rPr>
              <a:t>左記の「排出係数」に転記してください。</a:t>
            </a:r>
          </a:p>
        </xdr:txBody>
      </xdr:sp>
      <xdr:sp macro="" textlink="">
        <xdr:nvSpPr>
          <xdr:cNvPr id="27" name="テキスト ボックス 26">
            <a:extLst>
              <a:ext uri="{FF2B5EF4-FFF2-40B4-BE49-F238E27FC236}">
                <a16:creationId xmlns:a16="http://schemas.microsoft.com/office/drawing/2014/main" id="{0DD6E304-54E4-88DE-C143-77987B4C2552}"/>
              </a:ext>
            </a:extLst>
          </xdr:cNvPr>
          <xdr:cNvSpPr txBox="1"/>
        </xdr:nvSpPr>
        <xdr:spPr>
          <a:xfrm>
            <a:off x="27995218" y="19739114"/>
            <a:ext cx="2312505" cy="503582"/>
          </a:xfrm>
          <a:prstGeom prst="rect">
            <a:avLst/>
          </a:prstGeom>
          <a:noFill/>
        </xdr:spPr>
        <xdr:txBody>
          <a:bodyPr vertOverflow="clip" horzOverflow="clip" wrap="square" lIns="0" tIns="0" rIns="0" bIns="0" rtlCol="0" anchor="t">
            <a:noAutofit/>
          </a:bodyPr>
          <a:lstStyle/>
          <a:p>
            <a:pPr algn="l">
              <a:lnSpc>
                <a:spcPts val="1100"/>
              </a:lnSpc>
            </a:pPr>
            <a:r>
              <a:rPr kumimoji="1" lang="ja-JP" altLang="en-US" sz="800" b="0" i="0" u="none" strike="noStrike">
                <a:solidFill>
                  <a:srgbClr val="FF0000"/>
                </a:solidFill>
                <a:latin typeface="メイリオ" panose="020B0604030504040204" pitchFamily="50" charset="-128"/>
                <a:ea typeface="メイリオ" panose="020B0604030504040204" pitchFamily="50" charset="-128"/>
              </a:rPr>
              <a:t>排出係数検索ツール</a:t>
            </a:r>
            <a:endParaRPr kumimoji="1" lang="en-US" altLang="ja-JP" sz="800" b="0" i="0" u="none" strike="noStrike">
              <a:solidFill>
                <a:srgbClr val="FF0000"/>
              </a:solidFill>
              <a:latin typeface="メイリオ" panose="020B0604030504040204" pitchFamily="50" charset="-128"/>
              <a:ea typeface="メイリオ" panose="020B0604030504040204" pitchFamily="50" charset="-128"/>
            </a:endParaRPr>
          </a:p>
          <a:p>
            <a:pPr algn="l">
              <a:lnSpc>
                <a:spcPts val="1100"/>
              </a:lnSpc>
            </a:pPr>
            <a:r>
              <a:rPr kumimoji="1" lang="en-US" altLang="ja-JP" sz="800" b="0" i="0" u="none" strike="noStrike">
                <a:solidFill>
                  <a:srgbClr val="FF0000"/>
                </a:solidFill>
                <a:latin typeface="メイリオ" panose="020B0604030504040204" pitchFamily="50" charset="-128"/>
                <a:ea typeface="メイリオ" panose="020B0604030504040204" pitchFamily="50" charset="-128"/>
              </a:rPr>
              <a:t>(</a:t>
            </a:r>
            <a:r>
              <a:rPr kumimoji="1" lang="ja-JP" altLang="en-US" sz="800" b="0" i="0" u="none" strike="noStrike">
                <a:solidFill>
                  <a:srgbClr val="FF0000"/>
                </a:solidFill>
                <a:latin typeface="メイリオ" panose="020B0604030504040204" pitchFamily="50" charset="-128"/>
                <a:ea typeface="メイリオ" panose="020B0604030504040204" pitchFamily="50" charset="-128"/>
              </a:rPr>
              <a:t>ツールは市</a:t>
            </a:r>
            <a:r>
              <a:rPr kumimoji="1" lang="en-US" altLang="ja-JP" sz="800" b="1" i="0" u="none" strike="noStrike">
                <a:solidFill>
                  <a:srgbClr val="FF0000"/>
                </a:solidFill>
                <a:latin typeface="メイリオ" panose="020B0604030504040204" pitchFamily="50" charset="-128"/>
                <a:ea typeface="メイリオ" panose="020B0604030504040204" pitchFamily="50" charset="-128"/>
              </a:rPr>
              <a:t>HP</a:t>
            </a:r>
            <a:r>
              <a:rPr kumimoji="1" lang="ja-JP" altLang="en-US" sz="800" b="0" i="0" u="none" strike="noStrike">
                <a:solidFill>
                  <a:srgbClr val="FF0000"/>
                </a:solidFill>
                <a:latin typeface="メイリオ" panose="020B0604030504040204" pitchFamily="50" charset="-128"/>
                <a:ea typeface="メイリオ" panose="020B0604030504040204" pitchFamily="50" charset="-128"/>
              </a:rPr>
              <a:t>よりダウンロードしてください。</a:t>
            </a:r>
            <a:r>
              <a:rPr kumimoji="1" lang="en-US" altLang="ja-JP" sz="800" b="0" i="0" u="none" strike="noStrike">
                <a:solidFill>
                  <a:srgbClr val="FF0000"/>
                </a:solidFill>
                <a:latin typeface="メイリオ" panose="020B0604030504040204" pitchFamily="50" charset="-128"/>
                <a:ea typeface="メイリオ" panose="020B0604030504040204" pitchFamily="50" charset="-128"/>
              </a:rPr>
              <a:t>)</a:t>
            </a:r>
          </a:p>
          <a:p>
            <a:pPr algn="l">
              <a:lnSpc>
                <a:spcPts val="1100"/>
              </a:lnSpc>
            </a:pPr>
            <a:r>
              <a:rPr kumimoji="1" lang="en-US" altLang="ja-JP" sz="800" b="0" i="0" u="none" strike="noStrike">
                <a:solidFill>
                  <a:srgbClr val="FF0000"/>
                </a:solidFill>
                <a:latin typeface="メイリオ" panose="020B0604030504040204" pitchFamily="50" charset="-128"/>
                <a:ea typeface="メイリオ" panose="020B0604030504040204" pitchFamily="50" charset="-128"/>
              </a:rPr>
              <a:t>※</a:t>
            </a:r>
            <a:r>
              <a:rPr kumimoji="1" lang="ja-JP" altLang="en-US" sz="800" b="0" i="0" u="none" strike="noStrike">
                <a:solidFill>
                  <a:srgbClr val="FF0000"/>
                </a:solidFill>
                <a:latin typeface="メイリオ" panose="020B0604030504040204" pitchFamily="50" charset="-128"/>
                <a:ea typeface="メイリオ" panose="020B0604030504040204" pitchFamily="50" charset="-128"/>
              </a:rPr>
              <a:t>ここでは検索できません。</a:t>
            </a:r>
          </a:p>
        </xdr:txBody>
      </xdr:sp>
      <xdr:sp macro="" textlink="">
        <xdr:nvSpPr>
          <xdr:cNvPr id="28" name="テキスト ボックス 27">
            <a:extLst>
              <a:ext uri="{FF2B5EF4-FFF2-40B4-BE49-F238E27FC236}">
                <a16:creationId xmlns:a16="http://schemas.microsoft.com/office/drawing/2014/main" id="{A82B6310-5CB5-A352-324C-6AA1EE2C4BEB}"/>
              </a:ext>
            </a:extLst>
          </xdr:cNvPr>
          <xdr:cNvSpPr txBox="1"/>
        </xdr:nvSpPr>
        <xdr:spPr>
          <a:xfrm>
            <a:off x="32070260" y="19672853"/>
            <a:ext cx="364435" cy="298173"/>
          </a:xfrm>
          <a:prstGeom prst="rect">
            <a:avLst/>
          </a:prstGeom>
          <a:noFill/>
        </xdr:spPr>
        <xdr:txBody>
          <a:bodyPr vertOverflow="clip" horzOverflow="clip" wrap="square" lIns="0" tIns="0" rIns="0" bIns="0" rtlCol="0" anchor="t">
            <a:noAutofit/>
          </a:bodyPr>
          <a:lstStyle/>
          <a:p>
            <a:pPr algn="l">
              <a:lnSpc>
                <a:spcPct val="100000"/>
              </a:lnSpc>
            </a:pPr>
            <a:r>
              <a:rPr kumimoji="1" lang="en-US" altLang="ja-JP" sz="1100" b="0" i="0" u="none" strike="noStrike">
                <a:solidFill>
                  <a:srgbClr val="FF0000"/>
                </a:solidFill>
                <a:latin typeface="メイリオ" panose="020B0604030504040204" pitchFamily="50" charset="-128"/>
                <a:ea typeface="メイリオ" panose="020B0604030504040204" pitchFamily="50" charset="-128"/>
              </a:rPr>
              <a:t>(</a:t>
            </a:r>
            <a:r>
              <a:rPr kumimoji="1" lang="ja-JP" altLang="en-US" sz="1100" b="0" i="0" u="none" strike="noStrike">
                <a:solidFill>
                  <a:srgbClr val="FF0000"/>
                </a:solidFill>
                <a:latin typeface="メイリオ" panose="020B0604030504040204" pitchFamily="50" charset="-128"/>
                <a:ea typeface="メイリオ" panose="020B0604030504040204" pitchFamily="50" charset="-128"/>
              </a:rPr>
              <a:t>例</a:t>
            </a:r>
            <a:r>
              <a:rPr kumimoji="1" lang="en-US" altLang="ja-JP" sz="1100" b="0" i="0" u="none" strike="noStrike">
                <a:solidFill>
                  <a:srgbClr val="FF0000"/>
                </a:solidFill>
                <a:latin typeface="メイリオ" panose="020B0604030504040204" pitchFamily="50" charset="-128"/>
                <a:ea typeface="メイリオ" panose="020B0604030504040204" pitchFamily="50" charset="-128"/>
              </a:rPr>
              <a:t>)</a:t>
            </a:r>
            <a:endParaRPr kumimoji="1" lang="ja-JP" altLang="en-US" sz="800" b="0" i="0" u="none" strike="noStrike">
              <a:solidFill>
                <a:srgbClr val="FF0000"/>
              </a:solidFill>
              <a:latin typeface="メイリオ" panose="020B0604030504040204" pitchFamily="50" charset="-128"/>
              <a:ea typeface="メイリオ" panose="020B0604030504040204" pitchFamily="50" charset="-128"/>
            </a:endParaRPr>
          </a:p>
        </xdr:txBody>
      </xdr:sp>
    </xdr:grpSp>
    <xdr:clientData/>
  </xdr:twoCellAnchor>
  <xdr:twoCellAnchor>
    <xdr:from>
      <xdr:col>47</xdr:col>
      <xdr:colOff>1232453</xdr:colOff>
      <xdr:row>47</xdr:row>
      <xdr:rowOff>26504</xdr:rowOff>
    </xdr:from>
    <xdr:to>
      <xdr:col>47</xdr:col>
      <xdr:colOff>5784574</xdr:colOff>
      <xdr:row>47</xdr:row>
      <xdr:rowOff>3293166</xdr:rowOff>
    </xdr:to>
    <xdr:grpSp>
      <xdr:nvGrpSpPr>
        <xdr:cNvPr id="30" name="グループ化 29">
          <a:extLst>
            <a:ext uri="{FF2B5EF4-FFF2-40B4-BE49-F238E27FC236}">
              <a16:creationId xmlns:a16="http://schemas.microsoft.com/office/drawing/2014/main" id="{71FEF245-9A87-5CDB-DB1E-A59BC0B7215F}"/>
            </a:ext>
          </a:extLst>
        </xdr:cNvPr>
        <xdr:cNvGrpSpPr/>
      </xdr:nvGrpSpPr>
      <xdr:grpSpPr>
        <a:xfrm>
          <a:off x="34627103" y="14968054"/>
          <a:ext cx="4552121" cy="3266662"/>
          <a:chOff x="27882574" y="19593338"/>
          <a:chExt cx="4552121" cy="3266662"/>
        </a:xfrm>
      </xdr:grpSpPr>
      <xdr:grpSp>
        <xdr:nvGrpSpPr>
          <xdr:cNvPr id="31" name="グループ化 30">
            <a:extLst>
              <a:ext uri="{FF2B5EF4-FFF2-40B4-BE49-F238E27FC236}">
                <a16:creationId xmlns:a16="http://schemas.microsoft.com/office/drawing/2014/main" id="{28EB01FF-293F-542E-4384-D577A7018F25}"/>
              </a:ext>
            </a:extLst>
          </xdr:cNvPr>
          <xdr:cNvGrpSpPr/>
        </xdr:nvGrpSpPr>
        <xdr:grpSpPr>
          <a:xfrm>
            <a:off x="27882574" y="19593338"/>
            <a:ext cx="4545496" cy="3266662"/>
            <a:chOff x="27882574" y="19593338"/>
            <a:chExt cx="4545496" cy="3266662"/>
          </a:xfrm>
        </xdr:grpSpPr>
        <xdr:grpSp>
          <xdr:nvGrpSpPr>
            <xdr:cNvPr id="37" name="グループ化 36">
              <a:extLst>
                <a:ext uri="{FF2B5EF4-FFF2-40B4-BE49-F238E27FC236}">
                  <a16:creationId xmlns:a16="http://schemas.microsoft.com/office/drawing/2014/main" id="{8B9301DB-15C1-6676-44B5-72B871C28CFA}"/>
                </a:ext>
              </a:extLst>
            </xdr:cNvPr>
            <xdr:cNvGrpSpPr/>
          </xdr:nvGrpSpPr>
          <xdr:grpSpPr>
            <a:xfrm>
              <a:off x="27882574" y="19593338"/>
              <a:ext cx="4545496" cy="3266662"/>
              <a:chOff x="27882574" y="19593338"/>
              <a:chExt cx="4545496" cy="3266662"/>
            </a:xfrm>
          </xdr:grpSpPr>
          <xdr:sp macro="" textlink="">
            <xdr:nvSpPr>
              <xdr:cNvPr id="40" name="正方形/長方形 39">
                <a:extLst>
                  <a:ext uri="{FF2B5EF4-FFF2-40B4-BE49-F238E27FC236}">
                    <a16:creationId xmlns:a16="http://schemas.microsoft.com/office/drawing/2014/main" id="{1AAAC35B-8FC0-C4BB-4C16-41CF89B88AE9}"/>
                  </a:ext>
                </a:extLst>
              </xdr:cNvPr>
              <xdr:cNvSpPr/>
            </xdr:nvSpPr>
            <xdr:spPr>
              <a:xfrm>
                <a:off x="27882574" y="19593338"/>
                <a:ext cx="4545496" cy="3266662"/>
              </a:xfrm>
              <a:prstGeom prst="rect">
                <a:avLst/>
              </a:prstGeom>
              <a:solidFill>
                <a:schemeClr val="bg1"/>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pic>
            <xdr:nvPicPr>
              <xdr:cNvPr id="41" name="図 40">
                <a:extLst>
                  <a:ext uri="{FF2B5EF4-FFF2-40B4-BE49-F238E27FC236}">
                    <a16:creationId xmlns:a16="http://schemas.microsoft.com/office/drawing/2014/main" id="{316C34BC-AD61-82B9-3D9B-BCE2286DC83C}"/>
                  </a:ext>
                </a:extLst>
              </xdr:cNvPr>
              <xdr:cNvPicPr>
                <a:picLocks noChangeAspect="1"/>
              </xdr:cNvPicPr>
            </xdr:nvPicPr>
            <xdr:blipFill rotWithShape="1">
              <a:blip xmlns:r="http://schemas.openxmlformats.org/officeDocument/2006/relationships" r:embed="rId5">
                <a:alphaModFix amt="35000"/>
                <a:extLst>
                  <a:ext uri="{BEBA8EAE-BF5A-486C-A8C5-ECC9F3942E4B}">
                    <a14:imgProps xmlns:a14="http://schemas.microsoft.com/office/drawing/2010/main">
                      <a14:imgLayer r:embed="rId6">
                        <a14:imgEffect>
                          <a14:colorTemperature colorTemp="11200"/>
                        </a14:imgEffect>
                        <a14:imgEffect>
                          <a14:saturation sat="0"/>
                        </a14:imgEffect>
                        <a14:imgEffect>
                          <a14:brightnessContrast bright="-20000" contrast="40000"/>
                        </a14:imgEffect>
                      </a14:imgLayer>
                    </a14:imgProps>
                  </a:ext>
                </a:extLst>
              </a:blip>
              <a:srcRect l="446"/>
              <a:stretch>
                <a:fillRect/>
              </a:stretch>
            </xdr:blipFill>
            <xdr:spPr>
              <a:xfrm>
                <a:off x="27975341" y="20220712"/>
                <a:ext cx="4164141" cy="2162210"/>
              </a:xfrm>
              <a:prstGeom prst="rect">
                <a:avLst/>
              </a:prstGeom>
              <a:ln>
                <a:solidFill>
                  <a:schemeClr val="bg1">
                    <a:lumMod val="65000"/>
                  </a:schemeClr>
                </a:solidFill>
              </a:ln>
            </xdr:spPr>
          </xdr:pic>
          <xdr:sp macro="" textlink="">
            <xdr:nvSpPr>
              <xdr:cNvPr id="42" name="正方形/長方形 41">
                <a:extLst>
                  <a:ext uri="{FF2B5EF4-FFF2-40B4-BE49-F238E27FC236}">
                    <a16:creationId xmlns:a16="http://schemas.microsoft.com/office/drawing/2014/main" id="{702C75EA-16DC-62D3-3209-E4A86CDCF5AC}"/>
                  </a:ext>
                </a:extLst>
              </xdr:cNvPr>
              <xdr:cNvSpPr/>
            </xdr:nvSpPr>
            <xdr:spPr>
              <a:xfrm>
                <a:off x="27988591" y="20236068"/>
                <a:ext cx="3061253" cy="226800"/>
              </a:xfrm>
              <a:prstGeom prst="rect">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38" name="四角形: 角を丸くする 37">
              <a:extLst>
                <a:ext uri="{FF2B5EF4-FFF2-40B4-BE49-F238E27FC236}">
                  <a16:creationId xmlns:a16="http://schemas.microsoft.com/office/drawing/2014/main" id="{ED062D82-A4EC-A124-3D4E-6F284DE4E829}"/>
                </a:ext>
              </a:extLst>
            </xdr:cNvPr>
            <xdr:cNvSpPr/>
          </xdr:nvSpPr>
          <xdr:spPr>
            <a:xfrm>
              <a:off x="28379530" y="20792661"/>
              <a:ext cx="2650435" cy="1192696"/>
            </a:xfrm>
            <a:prstGeom prst="roundRect">
              <a:avLst>
                <a:gd name="adj" fmla="val 8646"/>
              </a:avLst>
            </a:prstGeom>
            <a:noFill/>
            <a:ln w="190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sp macro="" textlink="">
          <xdr:nvSpPr>
            <xdr:cNvPr id="39" name="四角形: 角を丸くする 38">
              <a:extLst>
                <a:ext uri="{FF2B5EF4-FFF2-40B4-BE49-F238E27FC236}">
                  <a16:creationId xmlns:a16="http://schemas.microsoft.com/office/drawing/2014/main" id="{D55DAFCD-CE16-F251-65B2-7253F9179238}"/>
                </a:ext>
              </a:extLst>
            </xdr:cNvPr>
            <xdr:cNvSpPr/>
          </xdr:nvSpPr>
          <xdr:spPr>
            <a:xfrm>
              <a:off x="31116104" y="20792661"/>
              <a:ext cx="655983" cy="1192696"/>
            </a:xfrm>
            <a:prstGeom prst="roundRect">
              <a:avLst>
                <a:gd name="adj" fmla="val 8646"/>
              </a:avLst>
            </a:prstGeom>
            <a:noFill/>
            <a:ln w="190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32" name="吹き出し: 角を丸めた四角形 31">
            <a:extLst>
              <a:ext uri="{FF2B5EF4-FFF2-40B4-BE49-F238E27FC236}">
                <a16:creationId xmlns:a16="http://schemas.microsoft.com/office/drawing/2014/main" id="{DEE9D3A9-1E57-BE1C-E4F9-927CD2EB0066}"/>
              </a:ext>
            </a:extLst>
          </xdr:cNvPr>
          <xdr:cNvSpPr/>
        </xdr:nvSpPr>
        <xdr:spPr>
          <a:xfrm>
            <a:off x="30334229" y="19725862"/>
            <a:ext cx="1643268" cy="483704"/>
          </a:xfrm>
          <a:prstGeom prst="wedgeRoundRectCallout">
            <a:avLst>
              <a:gd name="adj1" fmla="val -150686"/>
              <a:gd name="adj2" fmla="val 85160"/>
              <a:gd name="adj3" fmla="val 16667"/>
            </a:avLst>
          </a:prstGeom>
          <a:solidFill>
            <a:schemeClr val="bg1"/>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900"/>
              </a:lnSpc>
              <a:spcBef>
                <a:spcPts val="0"/>
              </a:spcBef>
              <a:spcAft>
                <a:spcPts val="0"/>
              </a:spcAft>
              <a:buClrTx/>
              <a:buSzTx/>
              <a:buFontTx/>
              <a:buNone/>
              <a:tabLst/>
            </a:pPr>
            <a:r>
              <a:rPr kumimoji="1" lang="ja-JP" altLang="en-US" sz="700">
                <a:solidFill>
                  <a:schemeClr val="bg1">
                    <a:lumMod val="65000"/>
                  </a:schemeClr>
                </a:solidFill>
                <a:effectLst/>
                <a:latin typeface="メイリオ" panose="020B0604030504040204" pitchFamily="50" charset="-128"/>
                <a:ea typeface="メイリオ" panose="020B0604030504040204" pitchFamily="50" charset="-128"/>
                <a:cs typeface="+mn-cs"/>
              </a:rPr>
              <a:t>こちらに契約している電気事業者名を入力すると電力契約メニューが検索できます。</a:t>
            </a:r>
          </a:p>
        </xdr:txBody>
      </xdr:sp>
      <xdr:sp macro="" textlink="">
        <xdr:nvSpPr>
          <xdr:cNvPr id="33" name="吹き出し: 角を丸めた四角形 32">
            <a:extLst>
              <a:ext uri="{FF2B5EF4-FFF2-40B4-BE49-F238E27FC236}">
                <a16:creationId xmlns:a16="http://schemas.microsoft.com/office/drawing/2014/main" id="{5821F348-96CA-7100-25E5-3677411DCA27}"/>
              </a:ext>
            </a:extLst>
          </xdr:cNvPr>
          <xdr:cNvSpPr/>
        </xdr:nvSpPr>
        <xdr:spPr>
          <a:xfrm>
            <a:off x="28657828" y="22184141"/>
            <a:ext cx="2007703" cy="490330"/>
          </a:xfrm>
          <a:prstGeom prst="wedgeRoundRectCallout">
            <a:avLst>
              <a:gd name="adj1" fmla="val 659"/>
              <a:gd name="adj2" fmla="val -232787"/>
              <a:gd name="adj3" fmla="val 16667"/>
            </a:avLst>
          </a:prstGeom>
          <a:solidFill>
            <a:schemeClr val="bg1"/>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chemeClr val="bg1">
                    <a:lumMod val="65000"/>
                  </a:schemeClr>
                </a:solidFill>
                <a:effectLst/>
                <a:latin typeface="メイリオ" panose="020B0604030504040204" pitchFamily="50" charset="-128"/>
                <a:ea typeface="メイリオ" panose="020B0604030504040204" pitchFamily="50" charset="-128"/>
                <a:cs typeface="+mn-cs"/>
              </a:rPr>
              <a:t>検索結果の中から契約しているメニューをそのまま左記の「電気事業者名・契約メニュー」へ転記してください。</a:t>
            </a:r>
          </a:p>
        </xdr:txBody>
      </xdr:sp>
      <xdr:sp macro="" textlink="">
        <xdr:nvSpPr>
          <xdr:cNvPr id="34" name="吹き出し: 角を丸めた四角形 33">
            <a:extLst>
              <a:ext uri="{FF2B5EF4-FFF2-40B4-BE49-F238E27FC236}">
                <a16:creationId xmlns:a16="http://schemas.microsoft.com/office/drawing/2014/main" id="{4428A8DE-8BF6-6298-8DC9-E6BC17AFDCCD}"/>
              </a:ext>
            </a:extLst>
          </xdr:cNvPr>
          <xdr:cNvSpPr/>
        </xdr:nvSpPr>
        <xdr:spPr>
          <a:xfrm>
            <a:off x="31354643" y="22217932"/>
            <a:ext cx="1046921" cy="330642"/>
          </a:xfrm>
          <a:prstGeom prst="wedgeRoundRectCallout">
            <a:avLst>
              <a:gd name="adj1" fmla="val -30197"/>
              <a:gd name="adj2" fmla="val -326059"/>
              <a:gd name="adj3" fmla="val 16667"/>
            </a:avLst>
          </a:prstGeom>
          <a:solidFill>
            <a:schemeClr val="bg1"/>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chemeClr val="bg1">
                    <a:lumMod val="65000"/>
                  </a:schemeClr>
                </a:solidFill>
                <a:effectLst/>
                <a:latin typeface="メイリオ" panose="020B0604030504040204" pitchFamily="50" charset="-128"/>
                <a:ea typeface="メイリオ" panose="020B0604030504040204" pitchFamily="50" charset="-128"/>
                <a:cs typeface="+mn-cs"/>
              </a:rPr>
              <a:t>左記の「排出係数」に転記してください。</a:t>
            </a:r>
          </a:p>
        </xdr:txBody>
      </xdr:sp>
      <xdr:sp macro="" textlink="">
        <xdr:nvSpPr>
          <xdr:cNvPr id="35" name="テキスト ボックス 34">
            <a:extLst>
              <a:ext uri="{FF2B5EF4-FFF2-40B4-BE49-F238E27FC236}">
                <a16:creationId xmlns:a16="http://schemas.microsoft.com/office/drawing/2014/main" id="{21D1E3A0-C770-6B2A-2D0B-8EF5A73C8CF8}"/>
              </a:ext>
            </a:extLst>
          </xdr:cNvPr>
          <xdr:cNvSpPr txBox="1"/>
        </xdr:nvSpPr>
        <xdr:spPr>
          <a:xfrm>
            <a:off x="27995218" y="19739114"/>
            <a:ext cx="2312505" cy="503582"/>
          </a:xfrm>
          <a:prstGeom prst="rect">
            <a:avLst/>
          </a:prstGeom>
          <a:noFill/>
        </xdr:spPr>
        <xdr:txBody>
          <a:bodyPr vertOverflow="clip" horzOverflow="clip" wrap="square" lIns="0" tIns="0" rIns="0" bIns="0" rtlCol="0" anchor="t">
            <a:noAutofit/>
          </a:bodyPr>
          <a:lstStyle/>
          <a:p>
            <a:pPr algn="l">
              <a:lnSpc>
                <a:spcPts val="1100"/>
              </a:lnSpc>
            </a:pP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排出係数検索ツール</a:t>
            </a:r>
            <a:endPar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endParaRPr>
          </a:p>
          <a:p>
            <a:pPr algn="l">
              <a:lnSpc>
                <a:spcPts val="1100"/>
              </a:lnSpc>
            </a:pPr>
            <a:r>
              <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rPr>
              <a:t>(</a:t>
            </a: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ツールは市</a:t>
            </a:r>
            <a:r>
              <a:rPr kumimoji="1" lang="en-US" altLang="ja-JP" sz="800" b="1" i="0" u="none" strike="noStrike">
                <a:solidFill>
                  <a:schemeClr val="bg1">
                    <a:lumMod val="65000"/>
                  </a:schemeClr>
                </a:solidFill>
                <a:latin typeface="メイリオ" panose="020B0604030504040204" pitchFamily="50" charset="-128"/>
                <a:ea typeface="メイリオ" panose="020B0604030504040204" pitchFamily="50" charset="-128"/>
              </a:rPr>
              <a:t>HP</a:t>
            </a: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よりダウンロードしてください。</a:t>
            </a:r>
            <a:r>
              <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rPr>
              <a:t>)</a:t>
            </a:r>
          </a:p>
          <a:p>
            <a:pPr algn="l">
              <a:lnSpc>
                <a:spcPts val="1100"/>
              </a:lnSpc>
            </a:pPr>
            <a:r>
              <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rPr>
              <a:t>※</a:t>
            </a: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ここでは検索できません。</a:t>
            </a:r>
          </a:p>
        </xdr:txBody>
      </xdr:sp>
      <xdr:sp macro="" textlink="">
        <xdr:nvSpPr>
          <xdr:cNvPr id="36" name="テキスト ボックス 35">
            <a:extLst>
              <a:ext uri="{FF2B5EF4-FFF2-40B4-BE49-F238E27FC236}">
                <a16:creationId xmlns:a16="http://schemas.microsoft.com/office/drawing/2014/main" id="{A1EA3763-13BD-1BA0-FA41-56B0F493DEBC}"/>
              </a:ext>
            </a:extLst>
          </xdr:cNvPr>
          <xdr:cNvSpPr txBox="1"/>
        </xdr:nvSpPr>
        <xdr:spPr>
          <a:xfrm>
            <a:off x="32070260" y="19672853"/>
            <a:ext cx="364435" cy="298173"/>
          </a:xfrm>
          <a:prstGeom prst="rect">
            <a:avLst/>
          </a:prstGeom>
          <a:noFill/>
        </xdr:spPr>
        <xdr:txBody>
          <a:bodyPr vertOverflow="clip" horzOverflow="clip" wrap="square" lIns="0" tIns="0" rIns="0" bIns="0" rtlCol="0" anchor="t">
            <a:noAutofit/>
          </a:bodyPr>
          <a:lstStyle/>
          <a:p>
            <a:pPr algn="l">
              <a:lnSpc>
                <a:spcPct val="100000"/>
              </a:lnSpc>
            </a:pPr>
            <a:r>
              <a:rPr kumimoji="1" lang="en-US" altLang="ja-JP" sz="1100" b="0" i="0" u="none" strike="noStrike">
                <a:solidFill>
                  <a:schemeClr val="bg1">
                    <a:lumMod val="65000"/>
                  </a:schemeClr>
                </a:solidFill>
                <a:latin typeface="メイリオ" panose="020B0604030504040204" pitchFamily="50" charset="-128"/>
                <a:ea typeface="メイリオ" panose="020B0604030504040204" pitchFamily="50" charset="-128"/>
              </a:rPr>
              <a:t>(</a:t>
            </a:r>
            <a:r>
              <a:rPr kumimoji="1" lang="ja-JP" altLang="en-US" sz="1100" b="0" i="0" u="none" strike="noStrike">
                <a:solidFill>
                  <a:schemeClr val="bg1">
                    <a:lumMod val="65000"/>
                  </a:schemeClr>
                </a:solidFill>
                <a:latin typeface="メイリオ" panose="020B0604030504040204" pitchFamily="50" charset="-128"/>
                <a:ea typeface="メイリオ" panose="020B0604030504040204" pitchFamily="50" charset="-128"/>
              </a:rPr>
              <a:t>例</a:t>
            </a:r>
            <a:r>
              <a:rPr kumimoji="1" lang="en-US" altLang="ja-JP" sz="1100" b="0" i="0" u="none" strike="noStrike">
                <a:solidFill>
                  <a:schemeClr val="bg1">
                    <a:lumMod val="65000"/>
                  </a:schemeClr>
                </a:solidFill>
                <a:latin typeface="メイリオ" panose="020B0604030504040204" pitchFamily="50" charset="-128"/>
                <a:ea typeface="メイリオ" panose="020B0604030504040204" pitchFamily="50" charset="-128"/>
              </a:rPr>
              <a:t>)</a:t>
            </a:r>
            <a:endPar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endParaRPr>
          </a:p>
        </xdr:txBody>
      </xdr:sp>
    </xdr:grpSp>
    <xdr:clientData/>
  </xdr:twoCellAnchor>
  <xdr:twoCellAnchor editAs="oneCell">
    <xdr:from>
      <xdr:col>3</xdr:col>
      <xdr:colOff>106680</xdr:colOff>
      <xdr:row>1</xdr:row>
      <xdr:rowOff>38100</xdr:rowOff>
    </xdr:from>
    <xdr:to>
      <xdr:col>4</xdr:col>
      <xdr:colOff>861060</xdr:colOff>
      <xdr:row>3</xdr:row>
      <xdr:rowOff>68580</xdr:rowOff>
    </xdr:to>
    <xdr:sp macro="" textlink="">
      <xdr:nvSpPr>
        <xdr:cNvPr id="2" name="四角形: 角を丸くする 1">
          <a:hlinkClick xmlns:r="http://schemas.openxmlformats.org/officeDocument/2006/relationships" r:id="rId7"/>
          <a:extLst>
            <a:ext uri="{FF2B5EF4-FFF2-40B4-BE49-F238E27FC236}">
              <a16:creationId xmlns:a16="http://schemas.microsoft.com/office/drawing/2014/main" id="{C99CBB30-CCA8-4BAA-A064-A8E10CFDD159}"/>
            </a:ext>
          </a:extLst>
        </xdr:cNvPr>
        <xdr:cNvSpPr/>
      </xdr:nvSpPr>
      <xdr:spPr>
        <a:xfrm>
          <a:off x="2042160" y="259080"/>
          <a:ext cx="1463040" cy="47244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243840</xdr:colOff>
      <xdr:row>0</xdr:row>
      <xdr:rowOff>22860</xdr:rowOff>
    </xdr:from>
    <xdr:to>
      <xdr:col>1</xdr:col>
      <xdr:colOff>373380</xdr:colOff>
      <xdr:row>0</xdr:row>
      <xdr:rowOff>495300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BE585DC4-C9D8-4BDC-9529-4D276147AC14}"/>
            </a:ext>
          </a:extLst>
        </xdr:cNvPr>
        <xdr:cNvSpPr/>
      </xdr:nvSpPr>
      <xdr:spPr>
        <a:xfrm>
          <a:off x="243840" y="22860"/>
          <a:ext cx="1463040" cy="47244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xdr:colOff>
      <xdr:row>0</xdr:row>
      <xdr:rowOff>53340</xdr:rowOff>
    </xdr:from>
    <xdr:to>
      <xdr:col>1</xdr:col>
      <xdr:colOff>1082040</xdr:colOff>
      <xdr:row>0</xdr:row>
      <xdr:rowOff>525780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0480" y="53340"/>
          <a:ext cx="1463040" cy="47244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10</xdr:row>
          <xdr:rowOff>31750</xdr:rowOff>
        </xdr:from>
        <xdr:to>
          <xdr:col>4</xdr:col>
          <xdr:colOff>342900</xdr:colOff>
          <xdr:row>11</xdr:row>
          <xdr:rowOff>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44488</xdr:colOff>
      <xdr:row>0</xdr:row>
      <xdr:rowOff>17592</xdr:rowOff>
    </xdr:from>
    <xdr:to>
      <xdr:col>26</xdr:col>
      <xdr:colOff>233083</xdr:colOff>
      <xdr:row>0</xdr:row>
      <xdr:rowOff>460560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7960323" y="17592"/>
          <a:ext cx="1350757" cy="44868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4</xdr:col>
      <xdr:colOff>159291</xdr:colOff>
      <xdr:row>9</xdr:row>
      <xdr:rowOff>65274</xdr:rowOff>
    </xdr:from>
    <xdr:to>
      <xdr:col>4</xdr:col>
      <xdr:colOff>270891</xdr:colOff>
      <xdr:row>9</xdr:row>
      <xdr:rowOff>176874</xdr:rowOff>
    </xdr:to>
    <xdr:sp macro="" textlink="">
      <xdr:nvSpPr>
        <xdr:cNvPr id="3" name="正方形/長方形 2">
          <a:extLst>
            <a:ext uri="{FF2B5EF4-FFF2-40B4-BE49-F238E27FC236}">
              <a16:creationId xmlns:a16="http://schemas.microsoft.com/office/drawing/2014/main" id="{C8CCC82A-20C6-104B-33CF-4E8D3D303E48}"/>
            </a:ext>
          </a:extLst>
        </xdr:cNvPr>
        <xdr:cNvSpPr/>
      </xdr:nvSpPr>
      <xdr:spPr>
        <a:xfrm>
          <a:off x="2552295" y="1864891"/>
          <a:ext cx="111600" cy="1116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xdr:twoCellAnchor>
  <xdr:twoCellAnchor editAs="oneCell">
    <xdr:from>
      <xdr:col>4</xdr:col>
      <xdr:colOff>159291</xdr:colOff>
      <xdr:row>8</xdr:row>
      <xdr:rowOff>68522</xdr:rowOff>
    </xdr:from>
    <xdr:to>
      <xdr:col>4</xdr:col>
      <xdr:colOff>270891</xdr:colOff>
      <xdr:row>8</xdr:row>
      <xdr:rowOff>180122</xdr:rowOff>
    </xdr:to>
    <xdr:sp macro="" textlink="">
      <xdr:nvSpPr>
        <xdr:cNvPr id="4" name="正方形/長方形 3">
          <a:extLst>
            <a:ext uri="{FF2B5EF4-FFF2-40B4-BE49-F238E27FC236}">
              <a16:creationId xmlns:a16="http://schemas.microsoft.com/office/drawing/2014/main" id="{7EB5E8BA-F7A8-1DD0-01C9-03322AE14D95}"/>
            </a:ext>
          </a:extLst>
        </xdr:cNvPr>
        <xdr:cNvSpPr/>
      </xdr:nvSpPr>
      <xdr:spPr>
        <a:xfrm>
          <a:off x="2552295" y="1615220"/>
          <a:ext cx="111600" cy="1116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137160</xdr:colOff>
      <xdr:row>0</xdr:row>
      <xdr:rowOff>129540</xdr:rowOff>
    </xdr:from>
    <xdr:to>
      <xdr:col>2</xdr:col>
      <xdr:colOff>632460</xdr:colOff>
      <xdr:row>0</xdr:row>
      <xdr:rowOff>579120</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00000000-0008-0000-1500-000006000000}"/>
            </a:ext>
          </a:extLst>
        </xdr:cNvPr>
        <xdr:cNvSpPr/>
      </xdr:nvSpPr>
      <xdr:spPr>
        <a:xfrm>
          <a:off x="137160" y="129540"/>
          <a:ext cx="1463040" cy="44958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8</xdr:col>
      <xdr:colOff>76200</xdr:colOff>
      <xdr:row>0</xdr:row>
      <xdr:rowOff>0</xdr:rowOff>
    </xdr:from>
    <xdr:to>
      <xdr:col>10</xdr:col>
      <xdr:colOff>320040</xdr:colOff>
      <xdr:row>0</xdr:row>
      <xdr:rowOff>449580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9936480" y="0"/>
          <a:ext cx="1463040" cy="44958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8</xdr:col>
      <xdr:colOff>478972</xdr:colOff>
      <xdr:row>131</xdr:row>
      <xdr:rowOff>117177</xdr:rowOff>
    </xdr:from>
    <xdr:to>
      <xdr:col>11</xdr:col>
      <xdr:colOff>193829</xdr:colOff>
      <xdr:row>131</xdr:row>
      <xdr:rowOff>533398</xdr:rowOff>
    </xdr:to>
    <xdr:sp macro="" textlink="">
      <xdr:nvSpPr>
        <xdr:cNvPr id="4" name="下矢印 1">
          <a:extLst>
            <a:ext uri="{FF2B5EF4-FFF2-40B4-BE49-F238E27FC236}">
              <a16:creationId xmlns:a16="http://schemas.microsoft.com/office/drawing/2014/main" id="{00000000-0008-0000-0600-000004000000}"/>
            </a:ext>
          </a:extLst>
        </xdr:cNvPr>
        <xdr:cNvSpPr/>
      </xdr:nvSpPr>
      <xdr:spPr>
        <a:xfrm>
          <a:off x="4622347" y="54142977"/>
          <a:ext cx="1399773" cy="416221"/>
        </a:xfrm>
        <a:prstGeom prst="downArrow">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53789</xdr:colOff>
      <xdr:row>0</xdr:row>
      <xdr:rowOff>39444</xdr:rowOff>
    </xdr:from>
    <xdr:to>
      <xdr:col>37</xdr:col>
      <xdr:colOff>145067</xdr:colOff>
      <xdr:row>0</xdr:row>
      <xdr:rowOff>499108</xdr:rowOff>
    </xdr:to>
    <xdr:sp macro="" textlink="">
      <xdr:nvSpPr>
        <xdr:cNvPr id="7" name="Rounded Rectangle 61">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12314369" y="39444"/>
          <a:ext cx="1325718" cy="459664"/>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3</xdr:col>
      <xdr:colOff>44825</xdr:colOff>
      <xdr:row>1</xdr:row>
      <xdr:rowOff>83312</xdr:rowOff>
    </xdr:from>
    <xdr:to>
      <xdr:col>4</xdr:col>
      <xdr:colOff>255061</xdr:colOff>
      <xdr:row>1</xdr:row>
      <xdr:rowOff>336032</xdr:rowOff>
    </xdr:to>
    <xdr:sp macro="" textlink="">
      <xdr:nvSpPr>
        <xdr:cNvPr id="3" name="Rounded Rectangle 16">
          <a:hlinkClick xmlns:r="http://schemas.openxmlformats.org/officeDocument/2006/relationships" r:id="rId2"/>
          <a:extLst>
            <a:ext uri="{FF2B5EF4-FFF2-40B4-BE49-F238E27FC236}">
              <a16:creationId xmlns:a16="http://schemas.microsoft.com/office/drawing/2014/main" id="{F27D1248-3BFF-E292-C412-893C6D953B64}"/>
            </a:ext>
          </a:extLst>
        </xdr:cNvPr>
        <xdr:cNvSpPr/>
      </xdr:nvSpPr>
      <xdr:spPr>
        <a:xfrm>
          <a:off x="44825" y="616712"/>
          <a:ext cx="393116"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0</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15</xdr:col>
      <xdr:colOff>499652</xdr:colOff>
      <xdr:row>1</xdr:row>
      <xdr:rowOff>83312</xdr:rowOff>
    </xdr:from>
    <xdr:to>
      <xdr:col>16</xdr:col>
      <xdr:colOff>190352</xdr:colOff>
      <xdr:row>1</xdr:row>
      <xdr:rowOff>336032</xdr:rowOff>
    </xdr:to>
    <xdr:sp macro="" textlink="">
      <xdr:nvSpPr>
        <xdr:cNvPr id="21" name="Rounded Rectangle 15">
          <a:hlinkClick xmlns:r="http://schemas.openxmlformats.org/officeDocument/2006/relationships" r:id="rId3"/>
          <a:extLst>
            <a:ext uri="{FF2B5EF4-FFF2-40B4-BE49-F238E27FC236}">
              <a16:creationId xmlns:a16="http://schemas.microsoft.com/office/drawing/2014/main" id="{00000000-0008-0000-0600-000015000000}"/>
            </a:ext>
          </a:extLst>
        </xdr:cNvPr>
        <xdr:cNvSpPr/>
      </xdr:nvSpPr>
      <xdr:spPr>
        <a:xfrm>
          <a:off x="8515892"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9-1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14</xdr:col>
      <xdr:colOff>630848</xdr:colOff>
      <xdr:row>1</xdr:row>
      <xdr:rowOff>83312</xdr:rowOff>
    </xdr:from>
    <xdr:to>
      <xdr:col>15</xdr:col>
      <xdr:colOff>321548</xdr:colOff>
      <xdr:row>1</xdr:row>
      <xdr:rowOff>336032</xdr:rowOff>
    </xdr:to>
    <xdr:sp macro="" textlink="">
      <xdr:nvSpPr>
        <xdr:cNvPr id="20" name="Rounded Rectangle 14">
          <a:hlinkClick xmlns:r="http://schemas.openxmlformats.org/officeDocument/2006/relationships" r:id="rId4"/>
          <a:extLst>
            <a:ext uri="{FF2B5EF4-FFF2-40B4-BE49-F238E27FC236}">
              <a16:creationId xmlns:a16="http://schemas.microsoft.com/office/drawing/2014/main" id="{00000000-0008-0000-0600-000014000000}"/>
            </a:ext>
          </a:extLst>
        </xdr:cNvPr>
        <xdr:cNvSpPr/>
      </xdr:nvSpPr>
      <xdr:spPr>
        <a:xfrm>
          <a:off x="7770788"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844307</xdr:colOff>
      <xdr:row>1</xdr:row>
      <xdr:rowOff>83312</xdr:rowOff>
    </xdr:from>
    <xdr:to>
      <xdr:col>14</xdr:col>
      <xdr:colOff>535007</xdr:colOff>
      <xdr:row>1</xdr:row>
      <xdr:rowOff>336032</xdr:rowOff>
    </xdr:to>
    <xdr:sp macro="" textlink="">
      <xdr:nvSpPr>
        <xdr:cNvPr id="19" name="Rounded Rectangle 13">
          <a:hlinkClick xmlns:r="http://schemas.openxmlformats.org/officeDocument/2006/relationships" r:id="rId5"/>
          <a:extLst>
            <a:ext uri="{FF2B5EF4-FFF2-40B4-BE49-F238E27FC236}">
              <a16:creationId xmlns:a16="http://schemas.microsoft.com/office/drawing/2014/main" id="{00000000-0008-0000-0600-000013000000}"/>
            </a:ext>
          </a:extLst>
        </xdr:cNvPr>
        <xdr:cNvSpPr/>
      </xdr:nvSpPr>
      <xdr:spPr>
        <a:xfrm>
          <a:off x="7107947"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8-2</a:t>
          </a:r>
        </a:p>
      </xdr:txBody>
    </xdr:sp>
    <xdr:clientData/>
  </xdr:twoCellAnchor>
  <xdr:twoCellAnchor editAs="oneCell">
    <xdr:from>
      <xdr:col>13</xdr:col>
      <xdr:colOff>190000</xdr:colOff>
      <xdr:row>1</xdr:row>
      <xdr:rowOff>83312</xdr:rowOff>
    </xdr:from>
    <xdr:to>
      <xdr:col>13</xdr:col>
      <xdr:colOff>757000</xdr:colOff>
      <xdr:row>1</xdr:row>
      <xdr:rowOff>336032</xdr:rowOff>
    </xdr:to>
    <xdr:sp macro="" textlink="">
      <xdr:nvSpPr>
        <xdr:cNvPr id="17" name="Rounded Rectangle 12">
          <a:hlinkClick xmlns:r="http://schemas.openxmlformats.org/officeDocument/2006/relationships" r:id="rId6"/>
          <a:extLst>
            <a:ext uri="{FF2B5EF4-FFF2-40B4-BE49-F238E27FC236}">
              <a16:creationId xmlns:a16="http://schemas.microsoft.com/office/drawing/2014/main" id="{00000000-0008-0000-0600-000011000000}"/>
            </a:ext>
          </a:extLst>
        </xdr:cNvPr>
        <xdr:cNvSpPr/>
      </xdr:nvSpPr>
      <xdr:spPr>
        <a:xfrm>
          <a:off x="6453640"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メイリオ" panose="020B0604030504040204" pitchFamily="50" charset="-128"/>
              <a:ea typeface="メイリオ" panose="020B0604030504040204" pitchFamily="50" charset="-128"/>
              <a:cs typeface="+mn-cs"/>
            </a:rPr>
            <a:t>8-1</a:t>
          </a:r>
          <a:endParaRPr kumimoji="1" lang="ja-JP" altLang="en-US" sz="1100">
            <a:solidFill>
              <a:schemeClr val="tx1"/>
            </a:solidFill>
            <a:effectLst/>
            <a:latin typeface="メイリオ" panose="020B0604030504040204" pitchFamily="50" charset="-128"/>
            <a:ea typeface="メイリオ" panose="020B0604030504040204" pitchFamily="50" charset="-128"/>
            <a:cs typeface="+mn-cs"/>
          </a:endParaRPr>
        </a:p>
      </xdr:txBody>
    </xdr:sp>
    <xdr:clientData/>
  </xdr:twoCellAnchor>
  <xdr:twoCellAnchor editAs="oneCell">
    <xdr:from>
      <xdr:col>12</xdr:col>
      <xdr:colOff>299928</xdr:colOff>
      <xdr:row>1</xdr:row>
      <xdr:rowOff>83312</xdr:rowOff>
    </xdr:from>
    <xdr:to>
      <xdr:col>12</xdr:col>
      <xdr:colOff>866928</xdr:colOff>
      <xdr:row>1</xdr:row>
      <xdr:rowOff>336032</xdr:rowOff>
    </xdr:to>
    <xdr:sp macro="" textlink="">
      <xdr:nvSpPr>
        <xdr:cNvPr id="16" name="Rounded Rectangle 11">
          <a:hlinkClick xmlns:r="http://schemas.openxmlformats.org/officeDocument/2006/relationships" r:id="rId7"/>
          <a:extLst>
            <a:ext uri="{FF2B5EF4-FFF2-40B4-BE49-F238E27FC236}">
              <a16:creationId xmlns:a16="http://schemas.microsoft.com/office/drawing/2014/main" id="{00000000-0008-0000-0600-000010000000}"/>
            </a:ext>
          </a:extLst>
        </xdr:cNvPr>
        <xdr:cNvSpPr/>
      </xdr:nvSpPr>
      <xdr:spPr>
        <a:xfrm>
          <a:off x="5687268"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10</xdr:col>
      <xdr:colOff>432171</xdr:colOff>
      <xdr:row>1</xdr:row>
      <xdr:rowOff>83312</xdr:rowOff>
    </xdr:from>
    <xdr:to>
      <xdr:col>12</xdr:col>
      <xdr:colOff>92391</xdr:colOff>
      <xdr:row>1</xdr:row>
      <xdr:rowOff>336032</xdr:rowOff>
    </xdr:to>
    <xdr:sp macro="" textlink="">
      <xdr:nvSpPr>
        <xdr:cNvPr id="15" name="Rounded Rectangle 10">
          <a:hlinkClick xmlns:r="http://schemas.openxmlformats.org/officeDocument/2006/relationships" r:id="rId8"/>
          <a:extLst>
            <a:ext uri="{FF2B5EF4-FFF2-40B4-BE49-F238E27FC236}">
              <a16:creationId xmlns:a16="http://schemas.microsoft.com/office/drawing/2014/main" id="{00000000-0008-0000-0600-00000F000000}"/>
            </a:ext>
          </a:extLst>
        </xdr:cNvPr>
        <xdr:cNvSpPr/>
      </xdr:nvSpPr>
      <xdr:spPr>
        <a:xfrm>
          <a:off x="4950831"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545997</xdr:colOff>
      <xdr:row>1</xdr:row>
      <xdr:rowOff>83312</xdr:rowOff>
    </xdr:from>
    <xdr:to>
      <xdr:col>10</xdr:col>
      <xdr:colOff>206217</xdr:colOff>
      <xdr:row>1</xdr:row>
      <xdr:rowOff>336032</xdr:rowOff>
    </xdr:to>
    <xdr:sp macro="" textlink="">
      <xdr:nvSpPr>
        <xdr:cNvPr id="14" name="Rounded Rectangle 9">
          <a:hlinkClick xmlns:r="http://schemas.openxmlformats.org/officeDocument/2006/relationships" r:id="rId9"/>
          <a:extLst>
            <a:ext uri="{FF2B5EF4-FFF2-40B4-BE49-F238E27FC236}">
              <a16:creationId xmlns:a16="http://schemas.microsoft.com/office/drawing/2014/main" id="{00000000-0008-0000-0600-00000E000000}"/>
            </a:ext>
          </a:extLst>
        </xdr:cNvPr>
        <xdr:cNvSpPr/>
      </xdr:nvSpPr>
      <xdr:spPr>
        <a:xfrm>
          <a:off x="4195977"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7</xdr:col>
      <xdr:colOff>108899</xdr:colOff>
      <xdr:row>1</xdr:row>
      <xdr:rowOff>83312</xdr:rowOff>
    </xdr:from>
    <xdr:to>
      <xdr:col>8</xdr:col>
      <xdr:colOff>371099</xdr:colOff>
      <xdr:row>1</xdr:row>
      <xdr:rowOff>336032</xdr:rowOff>
    </xdr:to>
    <xdr:sp macro="" textlink="">
      <xdr:nvSpPr>
        <xdr:cNvPr id="13" name="Rounded Rectangle 8">
          <a:hlinkClick xmlns:r="http://schemas.openxmlformats.org/officeDocument/2006/relationships" r:id="rId10"/>
          <a:extLst>
            <a:ext uri="{FF2B5EF4-FFF2-40B4-BE49-F238E27FC236}">
              <a16:creationId xmlns:a16="http://schemas.microsoft.com/office/drawing/2014/main" id="{00000000-0008-0000-0600-00000D000000}"/>
            </a:ext>
          </a:extLst>
        </xdr:cNvPr>
        <xdr:cNvSpPr/>
      </xdr:nvSpPr>
      <xdr:spPr>
        <a:xfrm>
          <a:off x="3454079"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2227538</xdr:colOff>
      <xdr:row>1</xdr:row>
      <xdr:rowOff>83312</xdr:rowOff>
    </xdr:from>
    <xdr:to>
      <xdr:col>6</xdr:col>
      <xdr:colOff>470438</xdr:colOff>
      <xdr:row>1</xdr:row>
      <xdr:rowOff>336032</xdr:rowOff>
    </xdr:to>
    <xdr:sp macro="" textlink="">
      <xdr:nvSpPr>
        <xdr:cNvPr id="12" name="Rounded Rectangle 7">
          <a:hlinkClick xmlns:r="http://schemas.openxmlformats.org/officeDocument/2006/relationships" r:id="rId11"/>
          <a:extLst>
            <a:ext uri="{FF2B5EF4-FFF2-40B4-BE49-F238E27FC236}">
              <a16:creationId xmlns:a16="http://schemas.microsoft.com/office/drawing/2014/main" id="{00000000-0008-0000-0600-00000C000000}"/>
            </a:ext>
          </a:extLst>
        </xdr:cNvPr>
        <xdr:cNvSpPr/>
      </xdr:nvSpPr>
      <xdr:spPr>
        <a:xfrm>
          <a:off x="2684738"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209032</xdr:colOff>
      <xdr:row>0</xdr:row>
      <xdr:rowOff>403352</xdr:rowOff>
    </xdr:from>
    <xdr:to>
      <xdr:col>9</xdr:col>
      <xdr:colOff>176992</xdr:colOff>
      <xdr:row>1</xdr:row>
      <xdr:rowOff>125730</xdr:rowOff>
    </xdr:to>
    <xdr:sp macro="" textlink="">
      <xdr:nvSpPr>
        <xdr:cNvPr id="11" name="Rounded Rectangle 6" hidden="1">
          <a:hlinkClick xmlns:r="http://schemas.openxmlformats.org/officeDocument/2006/relationships" r:id="rId12"/>
          <a:extLst>
            <a:ext uri="{FF2B5EF4-FFF2-40B4-BE49-F238E27FC236}">
              <a16:creationId xmlns:a16="http://schemas.microsoft.com/office/drawing/2014/main" id="{00000000-0008-0000-0600-00000B000000}"/>
            </a:ext>
          </a:extLst>
        </xdr:cNvPr>
        <xdr:cNvSpPr/>
      </xdr:nvSpPr>
      <xdr:spPr>
        <a:xfrm>
          <a:off x="4628632" y="403352"/>
          <a:ext cx="569939" cy="255778"/>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1457587</xdr:colOff>
      <xdr:row>1</xdr:row>
      <xdr:rowOff>83312</xdr:rowOff>
    </xdr:from>
    <xdr:to>
      <xdr:col>5</xdr:col>
      <xdr:colOff>2024587</xdr:colOff>
      <xdr:row>1</xdr:row>
      <xdr:rowOff>336032</xdr:rowOff>
    </xdr:to>
    <xdr:sp macro="" textlink="">
      <xdr:nvSpPr>
        <xdr:cNvPr id="10" name="Rounded Rectangle 5">
          <a:hlinkClick xmlns:r="http://schemas.openxmlformats.org/officeDocument/2006/relationships" r:id="rId13"/>
          <a:extLst>
            <a:ext uri="{FF2B5EF4-FFF2-40B4-BE49-F238E27FC236}">
              <a16:creationId xmlns:a16="http://schemas.microsoft.com/office/drawing/2014/main" id="{00000000-0008-0000-0600-00000A000000}"/>
            </a:ext>
          </a:extLst>
        </xdr:cNvPr>
        <xdr:cNvSpPr/>
      </xdr:nvSpPr>
      <xdr:spPr>
        <a:xfrm>
          <a:off x="1914787"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1976769</xdr:colOff>
      <xdr:row>0</xdr:row>
      <xdr:rowOff>449072</xdr:rowOff>
    </xdr:from>
    <xdr:to>
      <xdr:col>6</xdr:col>
      <xdr:colOff>225205</xdr:colOff>
      <xdr:row>1</xdr:row>
      <xdr:rowOff>171450</xdr:rowOff>
    </xdr:to>
    <xdr:sp macro="" textlink="">
      <xdr:nvSpPr>
        <xdr:cNvPr id="9" name="Rounded Rectangle 4" hidden="1">
          <a:hlinkClick xmlns:r="http://schemas.openxmlformats.org/officeDocument/2006/relationships" r:id="rId14"/>
          <a:extLst>
            <a:ext uri="{FF2B5EF4-FFF2-40B4-BE49-F238E27FC236}">
              <a16:creationId xmlns:a16="http://schemas.microsoft.com/office/drawing/2014/main" id="{00000000-0008-0000-0600-000009000000}"/>
            </a:ext>
          </a:extLst>
        </xdr:cNvPr>
        <xdr:cNvSpPr/>
      </xdr:nvSpPr>
      <xdr:spPr>
        <a:xfrm>
          <a:off x="3203589" y="449072"/>
          <a:ext cx="572536" cy="255778"/>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1327981</xdr:colOff>
      <xdr:row>0</xdr:row>
      <xdr:rowOff>449072</xdr:rowOff>
    </xdr:from>
    <xdr:to>
      <xdr:col>5</xdr:col>
      <xdr:colOff>1902076</xdr:colOff>
      <xdr:row>1</xdr:row>
      <xdr:rowOff>171450</xdr:rowOff>
    </xdr:to>
    <xdr:sp macro="" textlink="">
      <xdr:nvSpPr>
        <xdr:cNvPr id="8" name="Rounded Rectangle 3" hidden="1">
          <a:hlinkClick xmlns:r="http://schemas.openxmlformats.org/officeDocument/2006/relationships" r:id="rId15"/>
          <a:extLst>
            <a:ext uri="{FF2B5EF4-FFF2-40B4-BE49-F238E27FC236}">
              <a16:creationId xmlns:a16="http://schemas.microsoft.com/office/drawing/2014/main" id="{00000000-0008-0000-0600-000008000000}"/>
            </a:ext>
          </a:extLst>
        </xdr:cNvPr>
        <xdr:cNvSpPr/>
      </xdr:nvSpPr>
      <xdr:spPr>
        <a:xfrm>
          <a:off x="2554801" y="449072"/>
          <a:ext cx="574095" cy="255778"/>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785515</xdr:colOff>
      <xdr:row>1</xdr:row>
      <xdr:rowOff>83312</xdr:rowOff>
    </xdr:from>
    <xdr:to>
      <xdr:col>5</xdr:col>
      <xdr:colOff>1352515</xdr:colOff>
      <xdr:row>1</xdr:row>
      <xdr:rowOff>336032</xdr:rowOff>
    </xdr:to>
    <xdr:sp macro="" textlink="">
      <xdr:nvSpPr>
        <xdr:cNvPr id="5" name="Rounded Rectangle 2">
          <a:hlinkClick xmlns:r="http://schemas.openxmlformats.org/officeDocument/2006/relationships" r:id="rId16"/>
          <a:extLst>
            <a:ext uri="{FF2B5EF4-FFF2-40B4-BE49-F238E27FC236}">
              <a16:creationId xmlns:a16="http://schemas.microsoft.com/office/drawing/2014/main" id="{00000000-0008-0000-0600-000005000000}"/>
            </a:ext>
          </a:extLst>
        </xdr:cNvPr>
        <xdr:cNvSpPr/>
      </xdr:nvSpPr>
      <xdr:spPr>
        <a:xfrm>
          <a:off x="1242715"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32461</xdr:colOff>
      <xdr:row>1</xdr:row>
      <xdr:rowOff>83312</xdr:rowOff>
    </xdr:from>
    <xdr:to>
      <xdr:col>5</xdr:col>
      <xdr:colOff>599461</xdr:colOff>
      <xdr:row>1</xdr:row>
      <xdr:rowOff>336032</xdr:rowOff>
    </xdr:to>
    <xdr:sp macro="" textlink="">
      <xdr:nvSpPr>
        <xdr:cNvPr id="2" name="Rounded Rectangle 1">
          <a:hlinkClick xmlns:r="http://schemas.openxmlformats.org/officeDocument/2006/relationships" r:id="rId17"/>
          <a:extLst>
            <a:ext uri="{FF2B5EF4-FFF2-40B4-BE49-F238E27FC236}">
              <a16:creationId xmlns:a16="http://schemas.microsoft.com/office/drawing/2014/main" id="{00000000-0008-0000-0600-000002000000}"/>
            </a:ext>
          </a:extLst>
        </xdr:cNvPr>
        <xdr:cNvSpPr/>
      </xdr:nvSpPr>
      <xdr:spPr>
        <a:xfrm>
          <a:off x="489661" y="616712"/>
          <a:ext cx="567000" cy="25272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chemeClr val="tx1"/>
              </a:solidFill>
              <a:effectLst/>
              <a:latin typeface="メイリオ" panose="020B0604030504040204" pitchFamily="50" charset="-128"/>
              <a:ea typeface="メイリオ" panose="020B0604030504040204" pitchFamily="50" charset="-128"/>
              <a:cs typeface="+mn-cs"/>
            </a:rPr>
            <a:t>-</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2089150</xdr:colOff>
          <xdr:row>77</xdr:row>
          <xdr:rowOff>273050</xdr:rowOff>
        </xdr:from>
        <xdr:to>
          <xdr:col>7</xdr:col>
          <xdr:colOff>196850</xdr:colOff>
          <xdr:row>78</xdr:row>
          <xdr:rowOff>241300</xdr:rowOff>
        </xdr:to>
        <xdr:sp macro="" textlink="">
          <xdr:nvSpPr>
            <xdr:cNvPr id="51253" name="Option Button_18" hidden="1">
              <a:extLst>
                <a:ext uri="{63B3BB69-23CF-44E3-9099-C40C66FF867C}">
                  <a14:compatExt spid="_x0000_s51253"/>
                </a:ext>
                <a:ext uri="{FF2B5EF4-FFF2-40B4-BE49-F238E27FC236}">
                  <a16:creationId xmlns:a16="http://schemas.microsoft.com/office/drawing/2014/main" id="{00000000-0008-0000-0200-00003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77</xdr:row>
          <xdr:rowOff>273050</xdr:rowOff>
        </xdr:from>
        <xdr:to>
          <xdr:col>5</xdr:col>
          <xdr:colOff>1454150</xdr:colOff>
          <xdr:row>78</xdr:row>
          <xdr:rowOff>241300</xdr:rowOff>
        </xdr:to>
        <xdr:sp macro="" textlink="">
          <xdr:nvSpPr>
            <xdr:cNvPr id="51498" name="Option Button_17" hidden="1">
              <a:extLst>
                <a:ext uri="{63B3BB69-23CF-44E3-9099-C40C66FF867C}">
                  <a14:compatExt spid="_x0000_s51498"/>
                </a:ext>
                <a:ext uri="{FF2B5EF4-FFF2-40B4-BE49-F238E27FC236}">
                  <a16:creationId xmlns:a16="http://schemas.microsoft.com/office/drawing/2014/main" id="{00000000-0008-0000-0200-00002A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62</xdr:row>
          <xdr:rowOff>273050</xdr:rowOff>
        </xdr:from>
        <xdr:to>
          <xdr:col>7</xdr:col>
          <xdr:colOff>196850</xdr:colOff>
          <xdr:row>63</xdr:row>
          <xdr:rowOff>241300</xdr:rowOff>
        </xdr:to>
        <xdr:sp macro="" textlink="">
          <xdr:nvSpPr>
            <xdr:cNvPr id="186764" name="Option Button_16" hidden="1">
              <a:extLst>
                <a:ext uri="{63B3BB69-23CF-44E3-9099-C40C66FF867C}">
                  <a14:compatExt spid="_x0000_s186764"/>
                </a:ext>
                <a:ext uri="{FF2B5EF4-FFF2-40B4-BE49-F238E27FC236}">
                  <a16:creationId xmlns:a16="http://schemas.microsoft.com/office/drawing/2014/main" id="{00000000-0008-0000-0200-00008C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62</xdr:row>
          <xdr:rowOff>273050</xdr:rowOff>
        </xdr:from>
        <xdr:to>
          <xdr:col>5</xdr:col>
          <xdr:colOff>1454150</xdr:colOff>
          <xdr:row>63</xdr:row>
          <xdr:rowOff>241300</xdr:rowOff>
        </xdr:to>
        <xdr:sp macro="" textlink="">
          <xdr:nvSpPr>
            <xdr:cNvPr id="51430" name="Option Button_15" hidden="1">
              <a:extLst>
                <a:ext uri="{63B3BB69-23CF-44E3-9099-C40C66FF867C}">
                  <a14:compatExt spid="_x0000_s51430"/>
                </a:ext>
                <a:ext uri="{FF2B5EF4-FFF2-40B4-BE49-F238E27FC236}">
                  <a16:creationId xmlns:a16="http://schemas.microsoft.com/office/drawing/2014/main" id="{00000000-0008-0000-0200-0000E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11</xdr:row>
          <xdr:rowOff>6350</xdr:rowOff>
        </xdr:from>
        <xdr:to>
          <xdr:col>7</xdr:col>
          <xdr:colOff>165100</xdr:colOff>
          <xdr:row>11</xdr:row>
          <xdr:rowOff>241300</xdr:rowOff>
        </xdr:to>
        <xdr:sp macro="" textlink="">
          <xdr:nvSpPr>
            <xdr:cNvPr id="403776" name="Option Button_10" hidden="1">
              <a:extLst>
                <a:ext uri="{63B3BB69-23CF-44E3-9099-C40C66FF867C}">
                  <a14:compatExt spid="_x0000_s403776"/>
                </a:ext>
                <a:ext uri="{FF2B5EF4-FFF2-40B4-BE49-F238E27FC236}">
                  <a16:creationId xmlns:a16="http://schemas.microsoft.com/office/drawing/2014/main" id="{00000000-0008-0000-0200-0000402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10</xdr:row>
          <xdr:rowOff>273050</xdr:rowOff>
        </xdr:from>
        <xdr:to>
          <xdr:col>5</xdr:col>
          <xdr:colOff>1454150</xdr:colOff>
          <xdr:row>11</xdr:row>
          <xdr:rowOff>241300</xdr:rowOff>
        </xdr:to>
        <xdr:sp macro="" textlink="">
          <xdr:nvSpPr>
            <xdr:cNvPr id="51418" name="Option Button_09" hidden="1">
              <a:extLst>
                <a:ext uri="{63B3BB69-23CF-44E3-9099-C40C66FF867C}">
                  <a14:compatExt spid="_x0000_s51418"/>
                </a:ext>
                <a:ext uri="{FF2B5EF4-FFF2-40B4-BE49-F238E27FC236}">
                  <a16:creationId xmlns:a16="http://schemas.microsoft.com/office/drawing/2014/main" id="{00000000-0008-0000-0200-0000D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30</xdr:row>
          <xdr:rowOff>222250</xdr:rowOff>
        </xdr:from>
        <xdr:to>
          <xdr:col>7</xdr:col>
          <xdr:colOff>196850</xdr:colOff>
          <xdr:row>31</xdr:row>
          <xdr:rowOff>222250</xdr:rowOff>
        </xdr:to>
        <xdr:sp macro="" textlink="">
          <xdr:nvSpPr>
            <xdr:cNvPr id="403462" name="Option Button_06" hidden="1">
              <a:extLst>
                <a:ext uri="{63B3BB69-23CF-44E3-9099-C40C66FF867C}">
                  <a14:compatExt spid="_x0000_s403462"/>
                </a:ext>
                <a:ext uri="{FF2B5EF4-FFF2-40B4-BE49-F238E27FC236}">
                  <a16:creationId xmlns:a16="http://schemas.microsoft.com/office/drawing/2014/main" id="{00000000-0008-0000-0200-000006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30</xdr:row>
          <xdr:rowOff>222250</xdr:rowOff>
        </xdr:from>
        <xdr:to>
          <xdr:col>5</xdr:col>
          <xdr:colOff>1454150</xdr:colOff>
          <xdr:row>31</xdr:row>
          <xdr:rowOff>222250</xdr:rowOff>
        </xdr:to>
        <xdr:sp macro="" textlink="">
          <xdr:nvSpPr>
            <xdr:cNvPr id="403461" name="Option Button_05" hidden="1">
              <a:extLst>
                <a:ext uri="{63B3BB69-23CF-44E3-9099-C40C66FF867C}">
                  <a14:compatExt spid="_x0000_s403461"/>
                </a:ext>
                <a:ext uri="{FF2B5EF4-FFF2-40B4-BE49-F238E27FC236}">
                  <a16:creationId xmlns:a16="http://schemas.microsoft.com/office/drawing/2014/main" id="{00000000-0008-0000-0200-0000052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50</xdr:row>
          <xdr:rowOff>0</xdr:rowOff>
        </xdr:from>
        <xdr:to>
          <xdr:col>7</xdr:col>
          <xdr:colOff>196850</xdr:colOff>
          <xdr:row>50</xdr:row>
          <xdr:rowOff>234950</xdr:rowOff>
        </xdr:to>
        <xdr:sp macro="" textlink="">
          <xdr:nvSpPr>
            <xdr:cNvPr id="51410" name="Option Button_04" hidden="1">
              <a:extLst>
                <a:ext uri="{63B3BB69-23CF-44E3-9099-C40C66FF867C}">
                  <a14:compatExt spid="_x0000_s51410"/>
                </a:ext>
                <a:ext uri="{FF2B5EF4-FFF2-40B4-BE49-F238E27FC236}">
                  <a16:creationId xmlns:a16="http://schemas.microsoft.com/office/drawing/2014/main" id="{00000000-0008-0000-0200-0000D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50</xdr:row>
          <xdr:rowOff>0</xdr:rowOff>
        </xdr:from>
        <xdr:to>
          <xdr:col>5</xdr:col>
          <xdr:colOff>1454150</xdr:colOff>
          <xdr:row>50</xdr:row>
          <xdr:rowOff>234950</xdr:rowOff>
        </xdr:to>
        <xdr:sp macro="" textlink="">
          <xdr:nvSpPr>
            <xdr:cNvPr id="51409" name="Option Button_03" hidden="1">
              <a:extLst>
                <a:ext uri="{63B3BB69-23CF-44E3-9099-C40C66FF867C}">
                  <a14:compatExt spid="_x0000_s51409"/>
                </a:ext>
                <a:ext uri="{FF2B5EF4-FFF2-40B4-BE49-F238E27FC236}">
                  <a16:creationId xmlns:a16="http://schemas.microsoft.com/office/drawing/2014/main" id="{00000000-0008-0000-0200-0000D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34</xdr:row>
          <xdr:rowOff>215900</xdr:rowOff>
        </xdr:from>
        <xdr:to>
          <xdr:col>7</xdr:col>
          <xdr:colOff>196850</xdr:colOff>
          <xdr:row>35</xdr:row>
          <xdr:rowOff>222250</xdr:rowOff>
        </xdr:to>
        <xdr:sp macro="" textlink="">
          <xdr:nvSpPr>
            <xdr:cNvPr id="142996" name="Option Button_02" hidden="1">
              <a:extLst>
                <a:ext uri="{63B3BB69-23CF-44E3-9099-C40C66FF867C}">
                  <a14:compatExt spid="_x0000_s142996"/>
                </a:ext>
                <a:ext uri="{FF2B5EF4-FFF2-40B4-BE49-F238E27FC236}">
                  <a16:creationId xmlns:a16="http://schemas.microsoft.com/office/drawing/2014/main" id="{00000000-0008-0000-0200-0000942E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34</xdr:row>
          <xdr:rowOff>215900</xdr:rowOff>
        </xdr:from>
        <xdr:to>
          <xdr:col>5</xdr:col>
          <xdr:colOff>1454150</xdr:colOff>
          <xdr:row>35</xdr:row>
          <xdr:rowOff>222250</xdr:rowOff>
        </xdr:to>
        <xdr:sp macro="" textlink="">
          <xdr:nvSpPr>
            <xdr:cNvPr id="51380" name="Option Button_01" hidden="1">
              <a:extLst>
                <a:ext uri="{63B3BB69-23CF-44E3-9099-C40C66FF867C}">
                  <a14:compatExt spid="_x0000_s51380"/>
                </a:ext>
                <a:ext uri="{FF2B5EF4-FFF2-40B4-BE49-F238E27FC236}">
                  <a16:creationId xmlns:a16="http://schemas.microsoft.com/office/drawing/2014/main" id="{00000000-0008-0000-0200-0000B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273050</xdr:colOff>
          <xdr:row>77</xdr:row>
          <xdr:rowOff>127000</xdr:rowOff>
        </xdr:from>
        <xdr:to>
          <xdr:col>8</xdr:col>
          <xdr:colOff>76200</xdr:colOff>
          <xdr:row>80</xdr:row>
          <xdr:rowOff>196850</xdr:rowOff>
        </xdr:to>
        <xdr:sp macro="" textlink="">
          <xdr:nvSpPr>
            <xdr:cNvPr id="51394" name="Group Box_9" hidden="1">
              <a:extLst>
                <a:ext uri="{63B3BB69-23CF-44E3-9099-C40C66FF867C}">
                  <a14:compatExt spid="_x0000_s51394"/>
                </a:ext>
                <a:ext uri="{FF2B5EF4-FFF2-40B4-BE49-F238E27FC236}">
                  <a16:creationId xmlns:a16="http://schemas.microsoft.com/office/drawing/2014/main" id="{00000000-0008-0000-0200-0000C2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273050</xdr:colOff>
          <xdr:row>62</xdr:row>
          <xdr:rowOff>69850</xdr:rowOff>
        </xdr:from>
        <xdr:to>
          <xdr:col>8</xdr:col>
          <xdr:colOff>76200</xdr:colOff>
          <xdr:row>65</xdr:row>
          <xdr:rowOff>127000</xdr:rowOff>
        </xdr:to>
        <xdr:sp macro="" textlink="">
          <xdr:nvSpPr>
            <xdr:cNvPr id="51393" name="Group Box_8" hidden="1">
              <a:extLst>
                <a:ext uri="{63B3BB69-23CF-44E3-9099-C40C66FF867C}">
                  <a14:compatExt spid="_x0000_s51393"/>
                </a:ext>
                <a:ext uri="{FF2B5EF4-FFF2-40B4-BE49-F238E27FC236}">
                  <a16:creationId xmlns:a16="http://schemas.microsoft.com/office/drawing/2014/main" id="{00000000-0008-0000-0200-0000C1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488950</xdr:colOff>
          <xdr:row>10</xdr:row>
          <xdr:rowOff>31750</xdr:rowOff>
        </xdr:from>
        <xdr:to>
          <xdr:col>8</xdr:col>
          <xdr:colOff>292100</xdr:colOff>
          <xdr:row>13</xdr:row>
          <xdr:rowOff>228600</xdr:rowOff>
        </xdr:to>
        <xdr:sp macro="" textlink="">
          <xdr:nvSpPr>
            <xdr:cNvPr id="51390" name="Group Box_5" hidden="1">
              <a:extLst>
                <a:ext uri="{63B3BB69-23CF-44E3-9099-C40C66FF867C}">
                  <a14:compatExt spid="_x0000_s51390"/>
                </a:ext>
                <a:ext uri="{FF2B5EF4-FFF2-40B4-BE49-F238E27FC236}">
                  <a16:creationId xmlns:a16="http://schemas.microsoft.com/office/drawing/2014/main" id="{00000000-0008-0000-0200-0000BE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273050</xdr:colOff>
          <xdr:row>29</xdr:row>
          <xdr:rowOff>184150</xdr:rowOff>
        </xdr:from>
        <xdr:to>
          <xdr:col>8</xdr:col>
          <xdr:colOff>76200</xdr:colOff>
          <xdr:row>33</xdr:row>
          <xdr:rowOff>177800</xdr:rowOff>
        </xdr:to>
        <xdr:sp macro="" textlink="">
          <xdr:nvSpPr>
            <xdr:cNvPr id="51388" name="Group Box_3" hidden="1">
              <a:extLst>
                <a:ext uri="{63B3BB69-23CF-44E3-9099-C40C66FF867C}">
                  <a14:compatExt spid="_x0000_s51388"/>
                </a:ext>
                <a:ext uri="{FF2B5EF4-FFF2-40B4-BE49-F238E27FC236}">
                  <a16:creationId xmlns:a16="http://schemas.microsoft.com/office/drawing/2014/main" id="{00000000-0008-0000-0200-0000BC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273050</xdr:colOff>
          <xdr:row>49</xdr:row>
          <xdr:rowOff>88900</xdr:rowOff>
        </xdr:from>
        <xdr:to>
          <xdr:col>8</xdr:col>
          <xdr:colOff>76200</xdr:colOff>
          <xdr:row>52</xdr:row>
          <xdr:rowOff>152400</xdr:rowOff>
        </xdr:to>
        <xdr:sp macro="" textlink="">
          <xdr:nvSpPr>
            <xdr:cNvPr id="51377" name="Group Box_2" hidden="1">
              <a:extLst>
                <a:ext uri="{63B3BB69-23CF-44E3-9099-C40C66FF867C}">
                  <a14:compatExt spid="_x0000_s51377"/>
                </a:ext>
                <a:ext uri="{FF2B5EF4-FFF2-40B4-BE49-F238E27FC236}">
                  <a16:creationId xmlns:a16="http://schemas.microsoft.com/office/drawing/2014/main" id="{00000000-0008-0000-0200-0000B1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273050</xdr:colOff>
          <xdr:row>34</xdr:row>
          <xdr:rowOff>114300</xdr:rowOff>
        </xdr:from>
        <xdr:to>
          <xdr:col>8</xdr:col>
          <xdr:colOff>76200</xdr:colOff>
          <xdr:row>38</xdr:row>
          <xdr:rowOff>0</xdr:rowOff>
        </xdr:to>
        <xdr:sp macro="" textlink="">
          <xdr:nvSpPr>
            <xdr:cNvPr id="51376" name="Group Box_1" hidden="1">
              <a:extLst>
                <a:ext uri="{63B3BB69-23CF-44E3-9099-C40C66FF867C}">
                  <a14:compatExt spid="_x0000_s51376"/>
                </a:ext>
                <a:ext uri="{FF2B5EF4-FFF2-40B4-BE49-F238E27FC236}">
                  <a16:creationId xmlns:a16="http://schemas.microsoft.com/office/drawing/2014/main" id="{00000000-0008-0000-0200-0000B0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205740</xdr:colOff>
          <xdr:row>220</xdr:row>
          <xdr:rowOff>154932</xdr:rowOff>
        </xdr:from>
        <xdr:to>
          <xdr:col>42</xdr:col>
          <xdr:colOff>102646</xdr:colOff>
          <xdr:row>224</xdr:row>
          <xdr:rowOff>549379</xdr:rowOff>
        </xdr:to>
        <xdr:pic>
          <xdr:nvPicPr>
            <xdr:cNvPr id="25" name="図 24">
              <a:extLst>
                <a:ext uri="{FF2B5EF4-FFF2-40B4-BE49-F238E27FC236}">
                  <a16:creationId xmlns:a16="http://schemas.microsoft.com/office/drawing/2014/main" id="{F26BBEB5-2F3D-C1C0-BE0F-EE1B9577AF46}"/>
                </a:ext>
              </a:extLst>
            </xdr:cNvPr>
            <xdr:cNvPicPr>
              <a:picLocks noChangeAspect="1" noChangeArrowheads="1"/>
              <a:extLst>
                <a:ext uri="{84589F7E-364E-4C9E-8A38-B11213B215E9}">
                  <a14:cameraTool cellRange="対策リスト!$J$84:$J$97" spid="_x0000_s485617"/>
                </a:ext>
              </a:extLst>
            </xdr:cNvPicPr>
          </xdr:nvPicPr>
          <xdr:blipFill>
            <a:blip xmlns:r="http://schemas.openxmlformats.org/officeDocument/2006/relationships" r:embed="rId18"/>
            <a:srcRect/>
            <a:stretch>
              <a:fillRect/>
            </a:stretch>
          </xdr:blipFill>
          <xdr:spPr bwMode="auto">
            <a:xfrm>
              <a:off x="12542520" y="62989452"/>
              <a:ext cx="3478306" cy="313764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92526</xdr:colOff>
          <xdr:row>42</xdr:row>
          <xdr:rowOff>5443</xdr:rowOff>
        </xdr:from>
        <xdr:to>
          <xdr:col>17</xdr:col>
          <xdr:colOff>715189</xdr:colOff>
          <xdr:row>48</xdr:row>
          <xdr:rowOff>1879963</xdr:rowOff>
        </xdr:to>
        <xdr:pic>
          <xdr:nvPicPr>
            <xdr:cNvPr id="22" name="図 21">
              <a:extLst>
                <a:ext uri="{FF2B5EF4-FFF2-40B4-BE49-F238E27FC236}">
                  <a16:creationId xmlns:a16="http://schemas.microsoft.com/office/drawing/2014/main" id="{BE12C6D5-43EC-888E-A3D3-1E74A9B5BCEE}"/>
                </a:ext>
              </a:extLst>
            </xdr:cNvPr>
            <xdr:cNvPicPr>
              <a:picLocks noChangeAspect="1" noChangeArrowheads="1"/>
              <a:extLst>
                <a:ext uri="{84589F7E-364E-4C9E-8A38-B11213B215E9}">
                  <a14:cameraTool cellRange="検索ツール画像" spid="_x0000_s485618"/>
                </a:ext>
              </a:extLst>
            </xdr:cNvPicPr>
          </xdr:nvPicPr>
          <xdr:blipFill>
            <a:blip xmlns:r="http://schemas.openxmlformats.org/officeDocument/2006/relationships" r:embed="rId19"/>
            <a:srcRect/>
            <a:stretch>
              <a:fillRect/>
            </a:stretch>
          </xdr:blipFill>
          <xdr:spPr bwMode="auto">
            <a:xfrm>
              <a:off x="4611186" y="9538063"/>
              <a:ext cx="5910943" cy="3436620"/>
            </a:xfrm>
            <a:prstGeom prst="rect">
              <a:avLst/>
            </a:prstGeom>
            <a:noFill/>
            <a:ln w="9525">
              <a:noFill/>
              <a:miter lim="800000"/>
              <a:headEnd/>
              <a:tailEnd/>
            </a:ln>
          </xdr:spPr>
        </xdr:pic>
        <xdr:clientData/>
      </xdr:twoCellAnchor>
    </mc:Choice>
    <mc:Fallback/>
  </mc:AlternateContent>
  <xdr:twoCellAnchor editAs="oneCell">
    <xdr:from>
      <xdr:col>10</xdr:col>
      <xdr:colOff>264458</xdr:colOff>
      <xdr:row>94</xdr:row>
      <xdr:rowOff>115197</xdr:rowOff>
    </xdr:from>
    <xdr:to>
      <xdr:col>13</xdr:col>
      <xdr:colOff>172567</xdr:colOff>
      <xdr:row>94</xdr:row>
      <xdr:rowOff>455855</xdr:rowOff>
    </xdr:to>
    <xdr:sp macro="" textlink="">
      <xdr:nvSpPr>
        <xdr:cNvPr id="18" name="四角形: 角を丸くする 17">
          <a:hlinkClick xmlns:r="http://schemas.openxmlformats.org/officeDocument/2006/relationships" r:id="rId20"/>
          <a:extLst>
            <a:ext uri="{FF2B5EF4-FFF2-40B4-BE49-F238E27FC236}">
              <a16:creationId xmlns:a16="http://schemas.microsoft.com/office/drawing/2014/main" id="{77AB9D42-BB30-4918-E766-17B715E149E9}"/>
            </a:ext>
          </a:extLst>
        </xdr:cNvPr>
        <xdr:cNvSpPr/>
      </xdr:nvSpPr>
      <xdr:spPr>
        <a:xfrm>
          <a:off x="4783118" y="24148677"/>
          <a:ext cx="1691189" cy="3406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xdr:twoCellAnchor editAs="oneCell">
    <xdr:from>
      <xdr:col>15</xdr:col>
      <xdr:colOff>465268</xdr:colOff>
      <xdr:row>200</xdr:row>
      <xdr:rowOff>56029</xdr:rowOff>
    </xdr:from>
    <xdr:to>
      <xdr:col>18</xdr:col>
      <xdr:colOff>707315</xdr:colOff>
      <xdr:row>201</xdr:row>
      <xdr:rowOff>199506</xdr:rowOff>
    </xdr:to>
    <xdr:sp macro="" textlink="">
      <xdr:nvSpPr>
        <xdr:cNvPr id="23" name="四角形: 角を丸くする 22">
          <a:hlinkClick xmlns:r="http://schemas.openxmlformats.org/officeDocument/2006/relationships" r:id="rId21"/>
          <a:extLst>
            <a:ext uri="{FF2B5EF4-FFF2-40B4-BE49-F238E27FC236}">
              <a16:creationId xmlns:a16="http://schemas.microsoft.com/office/drawing/2014/main" id="{41E10602-B59A-4DB6-B2A2-72DB2BDDEFA0}"/>
            </a:ext>
          </a:extLst>
        </xdr:cNvPr>
        <xdr:cNvSpPr/>
      </xdr:nvSpPr>
      <xdr:spPr>
        <a:xfrm>
          <a:off x="8481508" y="55346749"/>
          <a:ext cx="2870948" cy="37207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PrintsWithSheet="0"/>
  </xdr:twoCellAnchor>
  <xdr:twoCellAnchor editAs="oneCell">
    <xdr:from>
      <xdr:col>15</xdr:col>
      <xdr:colOff>170330</xdr:colOff>
      <xdr:row>220</xdr:row>
      <xdr:rowOff>89648</xdr:rowOff>
    </xdr:from>
    <xdr:to>
      <xdr:col>18</xdr:col>
      <xdr:colOff>412377</xdr:colOff>
      <xdr:row>222</xdr:row>
      <xdr:rowOff>0</xdr:rowOff>
    </xdr:to>
    <xdr:sp macro="" textlink="">
      <xdr:nvSpPr>
        <xdr:cNvPr id="24" name="四角形: 角を丸くする 23">
          <a:hlinkClick xmlns:r="http://schemas.openxmlformats.org/officeDocument/2006/relationships" r:id="rId22"/>
          <a:extLst>
            <a:ext uri="{FF2B5EF4-FFF2-40B4-BE49-F238E27FC236}">
              <a16:creationId xmlns:a16="http://schemas.microsoft.com/office/drawing/2014/main" id="{12058D9D-962F-4C24-8476-63D390BD5E82}"/>
            </a:ext>
          </a:extLst>
        </xdr:cNvPr>
        <xdr:cNvSpPr/>
      </xdr:nvSpPr>
      <xdr:spPr>
        <a:xfrm>
          <a:off x="8624048" y="99302048"/>
          <a:ext cx="2877670"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PrintsWithSheet="0"/>
  </xdr:twoCellAnchor>
  <mc:AlternateContent xmlns:mc="http://schemas.openxmlformats.org/markup-compatibility/2006">
    <mc:Choice xmlns:a14="http://schemas.microsoft.com/office/drawing/2010/main" Requires="a14">
      <xdr:twoCellAnchor editAs="oneCell">
        <xdr:from>
          <xdr:col>35</xdr:col>
          <xdr:colOff>53340</xdr:colOff>
          <xdr:row>200</xdr:row>
          <xdr:rowOff>198120</xdr:rowOff>
        </xdr:from>
        <xdr:to>
          <xdr:col>45</xdr:col>
          <xdr:colOff>198120</xdr:colOff>
          <xdr:row>206</xdr:row>
          <xdr:rowOff>800548</xdr:rowOff>
        </xdr:to>
        <xdr:pic>
          <xdr:nvPicPr>
            <xdr:cNvPr id="26" name="図 25">
              <a:extLst>
                <a:ext uri="{FF2B5EF4-FFF2-40B4-BE49-F238E27FC236}">
                  <a16:creationId xmlns:a16="http://schemas.microsoft.com/office/drawing/2014/main" id="{35B66137-86F0-4EA0-88EC-1B2587532749}"/>
                </a:ext>
              </a:extLst>
            </xdr:cNvPr>
            <xdr:cNvPicPr>
              <a:picLocks noChangeAspect="1" noChangeArrowheads="1"/>
              <a:extLst>
                <a:ext uri="{84589F7E-364E-4C9E-8A38-B11213B215E9}">
                  <a14:cameraTool cellRange="対策リスト!$F$50:$G$59" spid="_x0000_s485619"/>
                </a:ext>
              </a:extLst>
            </xdr:cNvPicPr>
          </xdr:nvPicPr>
          <xdr:blipFill>
            <a:blip xmlns:r="http://schemas.openxmlformats.org/officeDocument/2006/relationships" r:embed="rId23"/>
            <a:srcRect/>
            <a:stretch>
              <a:fillRect/>
            </a:stretch>
          </xdr:blipFill>
          <xdr:spPr bwMode="auto">
            <a:xfrm>
              <a:off x="12313920" y="52120800"/>
              <a:ext cx="5334000" cy="462578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35</xdr:col>
      <xdr:colOff>137160</xdr:colOff>
      <xdr:row>94</xdr:row>
      <xdr:rowOff>154036</xdr:rowOff>
    </xdr:from>
    <xdr:to>
      <xdr:col>47</xdr:col>
      <xdr:colOff>156248</xdr:colOff>
      <xdr:row>120</xdr:row>
      <xdr:rowOff>174173</xdr:rowOff>
    </xdr:to>
    <xdr:pic>
      <xdr:nvPicPr>
        <xdr:cNvPr id="6" name="図 5">
          <a:extLst>
            <a:ext uri="{FF2B5EF4-FFF2-40B4-BE49-F238E27FC236}">
              <a16:creationId xmlns:a16="http://schemas.microsoft.com/office/drawing/2014/main" id="{C57F0F36-1135-D884-8B1B-82629348DEE9}"/>
            </a:ext>
          </a:extLst>
        </xdr:cNvPr>
        <xdr:cNvPicPr>
          <a:picLocks noChangeAspect="1"/>
        </xdr:cNvPicPr>
      </xdr:nvPicPr>
      <xdr:blipFill>
        <a:blip xmlns:r="http://schemas.openxmlformats.org/officeDocument/2006/relationships" r:embed="rId24"/>
        <a:stretch>
          <a:fillRect/>
        </a:stretch>
      </xdr:blipFill>
      <xdr:spPr>
        <a:xfrm>
          <a:off x="12397740" y="24187516"/>
          <a:ext cx="6427508" cy="4386397"/>
        </a:xfrm>
        <a:prstGeom prst="rect">
          <a:avLst/>
        </a:prstGeom>
        <a:ln w="4445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308112</xdr:colOff>
      <xdr:row>261</xdr:row>
      <xdr:rowOff>370712</xdr:rowOff>
    </xdr:from>
    <xdr:to>
      <xdr:col>17</xdr:col>
      <xdr:colOff>56548</xdr:colOff>
      <xdr:row>261</xdr:row>
      <xdr:rowOff>979605</xdr:rowOff>
    </xdr:to>
    <xdr:sp macro="" textlink="">
      <xdr:nvSpPr>
        <xdr:cNvPr id="11" name="角丸四角形 6">
          <a:hlinkClick xmlns:r="http://schemas.openxmlformats.org/officeDocument/2006/relationships" r:id="rId1"/>
          <a:extLst>
            <a:ext uri="{FF2B5EF4-FFF2-40B4-BE49-F238E27FC236}">
              <a16:creationId xmlns:a16="http://schemas.microsoft.com/office/drawing/2014/main" id="{00000000-0008-0000-0700-00000B000000}"/>
            </a:ext>
          </a:extLst>
        </xdr:cNvPr>
        <xdr:cNvSpPr/>
      </xdr:nvSpPr>
      <xdr:spPr>
        <a:xfrm>
          <a:off x="8761830" y="141017983"/>
          <a:ext cx="1505520" cy="608893"/>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xdr:twoCellAnchor editAs="oneCell">
    <xdr:from>
      <xdr:col>15</xdr:col>
      <xdr:colOff>329884</xdr:colOff>
      <xdr:row>257</xdr:row>
      <xdr:rowOff>44849</xdr:rowOff>
    </xdr:from>
    <xdr:to>
      <xdr:col>17</xdr:col>
      <xdr:colOff>78320</xdr:colOff>
      <xdr:row>257</xdr:row>
      <xdr:rowOff>696243</xdr:rowOff>
    </xdr:to>
    <xdr:sp macro="" textlink="">
      <xdr:nvSpPr>
        <xdr:cNvPr id="14" name="角丸四角形 5">
          <a:hlinkClick xmlns:r="http://schemas.openxmlformats.org/officeDocument/2006/relationships" r:id="rId1"/>
          <a:extLst>
            <a:ext uri="{FF2B5EF4-FFF2-40B4-BE49-F238E27FC236}">
              <a16:creationId xmlns:a16="http://schemas.microsoft.com/office/drawing/2014/main" id="{00000000-0008-0000-0700-00000E000000}"/>
            </a:ext>
          </a:extLst>
        </xdr:cNvPr>
        <xdr:cNvSpPr/>
      </xdr:nvSpPr>
      <xdr:spPr>
        <a:xfrm>
          <a:off x="8783602" y="136640073"/>
          <a:ext cx="1505520" cy="651394"/>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xdr:twoCellAnchor editAs="oneCell">
    <xdr:from>
      <xdr:col>12</xdr:col>
      <xdr:colOff>68130</xdr:colOff>
      <xdr:row>245</xdr:row>
      <xdr:rowOff>419315</xdr:rowOff>
    </xdr:from>
    <xdr:to>
      <xdr:col>13</xdr:col>
      <xdr:colOff>415829</xdr:colOff>
      <xdr:row>245</xdr:row>
      <xdr:rowOff>1031315</xdr:rowOff>
    </xdr:to>
    <xdr:sp macro="" textlink="">
      <xdr:nvSpPr>
        <xdr:cNvPr id="8" name="角丸四角形 4">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5886224" y="118645856"/>
          <a:ext cx="1226242"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xdr:twoCellAnchor editAs="oneCell">
    <xdr:from>
      <xdr:col>16</xdr:col>
      <xdr:colOff>728587</xdr:colOff>
      <xdr:row>197</xdr:row>
      <xdr:rowOff>29248</xdr:rowOff>
    </xdr:from>
    <xdr:to>
      <xdr:col>19</xdr:col>
      <xdr:colOff>43948</xdr:colOff>
      <xdr:row>199</xdr:row>
      <xdr:rowOff>127951</xdr:rowOff>
    </xdr:to>
    <xdr:sp macro="" textlink="">
      <xdr:nvSpPr>
        <xdr:cNvPr id="5" name="角丸四角形 1">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9621127" y="52942528"/>
          <a:ext cx="1944261" cy="670203"/>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p>
      </xdr:txBody>
    </xdr:sp>
    <xdr:clientData fPrintsWithSheet="0"/>
  </xdr:twoCellAnchor>
  <xdr:twoCellAnchor editAs="oneCell">
    <xdr:from>
      <xdr:col>35</xdr:col>
      <xdr:colOff>38100</xdr:colOff>
      <xdr:row>0</xdr:row>
      <xdr:rowOff>32766</xdr:rowOff>
    </xdr:from>
    <xdr:to>
      <xdr:col>36</xdr:col>
      <xdr:colOff>755757</xdr:colOff>
      <xdr:row>0</xdr:row>
      <xdr:rowOff>488569</xdr:rowOff>
    </xdr:to>
    <xdr:sp macro="" textlink="">
      <xdr:nvSpPr>
        <xdr:cNvPr id="2" name="Rounded Rectangle 61">
          <a:hlinkClick xmlns:r="http://schemas.openxmlformats.org/officeDocument/2006/relationships" r:id="rId4"/>
          <a:extLst>
            <a:ext uri="{FF2B5EF4-FFF2-40B4-BE49-F238E27FC236}">
              <a16:creationId xmlns:a16="http://schemas.microsoft.com/office/drawing/2014/main" id="{670F5761-F6AB-4E1E-8930-B17EC939BDBE}"/>
            </a:ext>
          </a:extLst>
        </xdr:cNvPr>
        <xdr:cNvSpPr/>
      </xdr:nvSpPr>
      <xdr:spPr>
        <a:xfrm>
          <a:off x="12283440" y="32766"/>
          <a:ext cx="1327257" cy="45580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15</xdr:col>
      <xdr:colOff>490506</xdr:colOff>
      <xdr:row>1</xdr:row>
      <xdr:rowOff>79502</xdr:rowOff>
    </xdr:from>
    <xdr:to>
      <xdr:col>16</xdr:col>
      <xdr:colOff>181206</xdr:colOff>
      <xdr:row>1</xdr:row>
      <xdr:rowOff>332222</xdr:rowOff>
    </xdr:to>
    <xdr:sp macro="" textlink="">
      <xdr:nvSpPr>
        <xdr:cNvPr id="60" name="Rounded Rectangle 15">
          <a:hlinkClick xmlns:r="http://schemas.openxmlformats.org/officeDocument/2006/relationships" r:id="rId5"/>
          <a:extLst>
            <a:ext uri="{FF2B5EF4-FFF2-40B4-BE49-F238E27FC236}">
              <a16:creationId xmlns:a16="http://schemas.microsoft.com/office/drawing/2014/main" id="{00000000-0008-0000-0700-00003C000000}"/>
            </a:ext>
          </a:extLst>
        </xdr:cNvPr>
        <xdr:cNvSpPr/>
      </xdr:nvSpPr>
      <xdr:spPr>
        <a:xfrm>
          <a:off x="8506746"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9-1</a:t>
          </a:r>
        </a:p>
      </xdr:txBody>
    </xdr:sp>
    <xdr:clientData/>
  </xdr:twoCellAnchor>
  <xdr:twoCellAnchor editAs="oneCell">
    <xdr:from>
      <xdr:col>14</xdr:col>
      <xdr:colOff>623638</xdr:colOff>
      <xdr:row>1</xdr:row>
      <xdr:rowOff>79502</xdr:rowOff>
    </xdr:from>
    <xdr:to>
      <xdr:col>15</xdr:col>
      <xdr:colOff>314338</xdr:colOff>
      <xdr:row>1</xdr:row>
      <xdr:rowOff>332222</xdr:rowOff>
    </xdr:to>
    <xdr:sp macro="" textlink="">
      <xdr:nvSpPr>
        <xdr:cNvPr id="59" name="Rounded Rectangle 14">
          <a:hlinkClick xmlns:r="http://schemas.openxmlformats.org/officeDocument/2006/relationships" r:id="rId6"/>
          <a:extLst>
            <a:ext uri="{FF2B5EF4-FFF2-40B4-BE49-F238E27FC236}">
              <a16:creationId xmlns:a16="http://schemas.microsoft.com/office/drawing/2014/main" id="{00000000-0008-0000-0700-00003B000000}"/>
            </a:ext>
          </a:extLst>
        </xdr:cNvPr>
        <xdr:cNvSpPr/>
      </xdr:nvSpPr>
      <xdr:spPr>
        <a:xfrm>
          <a:off x="7763578"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835004</xdr:colOff>
      <xdr:row>1</xdr:row>
      <xdr:rowOff>79502</xdr:rowOff>
    </xdr:from>
    <xdr:to>
      <xdr:col>14</xdr:col>
      <xdr:colOff>525704</xdr:colOff>
      <xdr:row>1</xdr:row>
      <xdr:rowOff>332222</xdr:rowOff>
    </xdr:to>
    <xdr:sp macro="" textlink="">
      <xdr:nvSpPr>
        <xdr:cNvPr id="58" name="Rounded Rectangle 13">
          <a:hlinkClick xmlns:r="http://schemas.openxmlformats.org/officeDocument/2006/relationships" r:id="rId7"/>
          <a:extLst>
            <a:ext uri="{FF2B5EF4-FFF2-40B4-BE49-F238E27FC236}">
              <a16:creationId xmlns:a16="http://schemas.microsoft.com/office/drawing/2014/main" id="{00000000-0008-0000-0700-00003A000000}"/>
            </a:ext>
          </a:extLst>
        </xdr:cNvPr>
        <xdr:cNvSpPr/>
      </xdr:nvSpPr>
      <xdr:spPr>
        <a:xfrm>
          <a:off x="7098644"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180881</xdr:colOff>
      <xdr:row>1</xdr:row>
      <xdr:rowOff>79502</xdr:rowOff>
    </xdr:from>
    <xdr:to>
      <xdr:col>13</xdr:col>
      <xdr:colOff>747881</xdr:colOff>
      <xdr:row>1</xdr:row>
      <xdr:rowOff>332222</xdr:rowOff>
    </xdr:to>
    <xdr:sp macro="" textlink="">
      <xdr:nvSpPr>
        <xdr:cNvPr id="57" name="Rounded Rectangle 12">
          <a:hlinkClick xmlns:r="http://schemas.openxmlformats.org/officeDocument/2006/relationships" r:id="rId8"/>
          <a:extLst>
            <a:ext uri="{FF2B5EF4-FFF2-40B4-BE49-F238E27FC236}">
              <a16:creationId xmlns:a16="http://schemas.microsoft.com/office/drawing/2014/main" id="{00000000-0008-0000-0700-000039000000}"/>
            </a:ext>
          </a:extLst>
        </xdr:cNvPr>
        <xdr:cNvSpPr/>
      </xdr:nvSpPr>
      <xdr:spPr>
        <a:xfrm>
          <a:off x="6444521"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12</xdr:col>
      <xdr:colOff>288868</xdr:colOff>
      <xdr:row>1</xdr:row>
      <xdr:rowOff>79502</xdr:rowOff>
    </xdr:from>
    <xdr:to>
      <xdr:col>12</xdr:col>
      <xdr:colOff>855868</xdr:colOff>
      <xdr:row>1</xdr:row>
      <xdr:rowOff>332222</xdr:rowOff>
    </xdr:to>
    <xdr:sp macro="" textlink="">
      <xdr:nvSpPr>
        <xdr:cNvPr id="56" name="Rounded Rectangle 11">
          <a:hlinkClick xmlns:r="http://schemas.openxmlformats.org/officeDocument/2006/relationships" r:id="rId9"/>
          <a:extLst>
            <a:ext uri="{FF2B5EF4-FFF2-40B4-BE49-F238E27FC236}">
              <a16:creationId xmlns:a16="http://schemas.microsoft.com/office/drawing/2014/main" id="{00000000-0008-0000-0700-000038000000}"/>
            </a:ext>
          </a:extLst>
        </xdr:cNvPr>
        <xdr:cNvSpPr/>
      </xdr:nvSpPr>
      <xdr:spPr>
        <a:xfrm>
          <a:off x="5676208"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10</xdr:col>
      <xdr:colOff>423016</xdr:colOff>
      <xdr:row>1</xdr:row>
      <xdr:rowOff>79502</xdr:rowOff>
    </xdr:from>
    <xdr:to>
      <xdr:col>12</xdr:col>
      <xdr:colOff>83236</xdr:colOff>
      <xdr:row>1</xdr:row>
      <xdr:rowOff>332222</xdr:rowOff>
    </xdr:to>
    <xdr:sp macro="" textlink="">
      <xdr:nvSpPr>
        <xdr:cNvPr id="55" name="Rounded Rectangle 10">
          <a:hlinkClick xmlns:r="http://schemas.openxmlformats.org/officeDocument/2006/relationships" r:id="rId10"/>
          <a:extLst>
            <a:ext uri="{FF2B5EF4-FFF2-40B4-BE49-F238E27FC236}">
              <a16:creationId xmlns:a16="http://schemas.microsoft.com/office/drawing/2014/main" id="{00000000-0008-0000-0700-000037000000}"/>
            </a:ext>
          </a:extLst>
        </xdr:cNvPr>
        <xdr:cNvSpPr/>
      </xdr:nvSpPr>
      <xdr:spPr>
        <a:xfrm>
          <a:off x="4941676"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548274</xdr:colOff>
      <xdr:row>1</xdr:row>
      <xdr:rowOff>79502</xdr:rowOff>
    </xdr:from>
    <xdr:to>
      <xdr:col>10</xdr:col>
      <xdr:colOff>208494</xdr:colOff>
      <xdr:row>1</xdr:row>
      <xdr:rowOff>332222</xdr:rowOff>
    </xdr:to>
    <xdr:sp macro="" textlink="">
      <xdr:nvSpPr>
        <xdr:cNvPr id="46" name="Rounded Rectangle 9">
          <a:hlinkClick xmlns:r="http://schemas.openxmlformats.org/officeDocument/2006/relationships" r:id="rId11"/>
          <a:extLst>
            <a:ext uri="{FF2B5EF4-FFF2-40B4-BE49-F238E27FC236}">
              <a16:creationId xmlns:a16="http://schemas.microsoft.com/office/drawing/2014/main" id="{00000000-0008-0000-0700-00002E000000}"/>
            </a:ext>
          </a:extLst>
        </xdr:cNvPr>
        <xdr:cNvSpPr/>
      </xdr:nvSpPr>
      <xdr:spPr>
        <a:xfrm>
          <a:off x="4198254"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7</xdr:col>
      <xdr:colOff>99837</xdr:colOff>
      <xdr:row>1</xdr:row>
      <xdr:rowOff>79502</xdr:rowOff>
    </xdr:from>
    <xdr:to>
      <xdr:col>8</xdr:col>
      <xdr:colOff>362037</xdr:colOff>
      <xdr:row>1</xdr:row>
      <xdr:rowOff>332222</xdr:rowOff>
    </xdr:to>
    <xdr:sp macro="" textlink="">
      <xdr:nvSpPr>
        <xdr:cNvPr id="54" name="Rounded Rectangle 8">
          <a:hlinkClick xmlns:r="http://schemas.openxmlformats.org/officeDocument/2006/relationships" r:id="rId12"/>
          <a:extLst>
            <a:ext uri="{FF2B5EF4-FFF2-40B4-BE49-F238E27FC236}">
              <a16:creationId xmlns:a16="http://schemas.microsoft.com/office/drawing/2014/main" id="{00000000-0008-0000-0700-000036000000}"/>
            </a:ext>
          </a:extLst>
        </xdr:cNvPr>
        <xdr:cNvSpPr/>
      </xdr:nvSpPr>
      <xdr:spPr>
        <a:xfrm>
          <a:off x="3445017"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2226071</xdr:colOff>
      <xdr:row>1</xdr:row>
      <xdr:rowOff>79502</xdr:rowOff>
    </xdr:from>
    <xdr:to>
      <xdr:col>6</xdr:col>
      <xdr:colOff>468971</xdr:colOff>
      <xdr:row>1</xdr:row>
      <xdr:rowOff>332222</xdr:rowOff>
    </xdr:to>
    <xdr:sp macro="" textlink="">
      <xdr:nvSpPr>
        <xdr:cNvPr id="53" name="Rounded Rectangle 7">
          <a:hlinkClick xmlns:r="http://schemas.openxmlformats.org/officeDocument/2006/relationships" r:id="rId13"/>
          <a:extLst>
            <a:ext uri="{FF2B5EF4-FFF2-40B4-BE49-F238E27FC236}">
              <a16:creationId xmlns:a16="http://schemas.microsoft.com/office/drawing/2014/main" id="{00000000-0008-0000-0700-000035000000}"/>
            </a:ext>
          </a:extLst>
        </xdr:cNvPr>
        <xdr:cNvSpPr/>
      </xdr:nvSpPr>
      <xdr:spPr>
        <a:xfrm>
          <a:off x="2683271"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199913</xdr:colOff>
      <xdr:row>0</xdr:row>
      <xdr:rowOff>460502</xdr:rowOff>
    </xdr:from>
    <xdr:to>
      <xdr:col>9</xdr:col>
      <xdr:colOff>167910</xdr:colOff>
      <xdr:row>1</xdr:row>
      <xdr:rowOff>186690</xdr:rowOff>
    </xdr:to>
    <xdr:sp macro="" textlink="">
      <xdr:nvSpPr>
        <xdr:cNvPr id="52" name="Rounded Rectangle 6" hidden="1">
          <a:hlinkClick xmlns:r="http://schemas.openxmlformats.org/officeDocument/2006/relationships" r:id="rId14"/>
          <a:extLst>
            <a:ext uri="{FF2B5EF4-FFF2-40B4-BE49-F238E27FC236}">
              <a16:creationId xmlns:a16="http://schemas.microsoft.com/office/drawing/2014/main" id="{00000000-0008-0000-0700-000034000000}"/>
            </a:ext>
          </a:extLst>
        </xdr:cNvPr>
        <xdr:cNvSpPr/>
      </xdr:nvSpPr>
      <xdr:spPr>
        <a:xfrm>
          <a:off x="4467113" y="460502"/>
          <a:ext cx="569976" cy="25958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1454285</xdr:colOff>
      <xdr:row>1</xdr:row>
      <xdr:rowOff>79502</xdr:rowOff>
    </xdr:from>
    <xdr:to>
      <xdr:col>5</xdr:col>
      <xdr:colOff>2021285</xdr:colOff>
      <xdr:row>1</xdr:row>
      <xdr:rowOff>332222</xdr:rowOff>
    </xdr:to>
    <xdr:sp macro="" textlink="">
      <xdr:nvSpPr>
        <xdr:cNvPr id="51" name="Rounded Rectangle 5">
          <a:hlinkClick xmlns:r="http://schemas.openxmlformats.org/officeDocument/2006/relationships" r:id="rId15"/>
          <a:extLst>
            <a:ext uri="{FF2B5EF4-FFF2-40B4-BE49-F238E27FC236}">
              <a16:creationId xmlns:a16="http://schemas.microsoft.com/office/drawing/2014/main" id="{00000000-0008-0000-0700-000033000000}"/>
            </a:ext>
          </a:extLst>
        </xdr:cNvPr>
        <xdr:cNvSpPr/>
      </xdr:nvSpPr>
      <xdr:spPr>
        <a:xfrm>
          <a:off x="1911485"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２</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1973341</xdr:colOff>
      <xdr:row>0</xdr:row>
      <xdr:rowOff>475742</xdr:rowOff>
    </xdr:from>
    <xdr:to>
      <xdr:col>6</xdr:col>
      <xdr:colOff>221758</xdr:colOff>
      <xdr:row>1</xdr:row>
      <xdr:rowOff>201930</xdr:rowOff>
    </xdr:to>
    <xdr:sp macro="" textlink="">
      <xdr:nvSpPr>
        <xdr:cNvPr id="50" name="Rounded Rectangle 4" hidden="1">
          <a:hlinkClick xmlns:r="http://schemas.openxmlformats.org/officeDocument/2006/relationships" r:id="rId16"/>
          <a:extLst>
            <a:ext uri="{FF2B5EF4-FFF2-40B4-BE49-F238E27FC236}">
              <a16:creationId xmlns:a16="http://schemas.microsoft.com/office/drawing/2014/main" id="{00000000-0008-0000-0700-000032000000}"/>
            </a:ext>
          </a:extLst>
        </xdr:cNvPr>
        <xdr:cNvSpPr/>
      </xdr:nvSpPr>
      <xdr:spPr>
        <a:xfrm>
          <a:off x="3047761" y="475742"/>
          <a:ext cx="572516" cy="25958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1326530</xdr:colOff>
      <xdr:row>0</xdr:row>
      <xdr:rowOff>475742</xdr:rowOff>
    </xdr:from>
    <xdr:to>
      <xdr:col>5</xdr:col>
      <xdr:colOff>1896760</xdr:colOff>
      <xdr:row>1</xdr:row>
      <xdr:rowOff>201930</xdr:rowOff>
    </xdr:to>
    <xdr:sp macro="" textlink="">
      <xdr:nvSpPr>
        <xdr:cNvPr id="49" name="Rounded Rectangle 3" hidden="1">
          <a:hlinkClick xmlns:r="http://schemas.openxmlformats.org/officeDocument/2006/relationships" r:id="rId17"/>
          <a:extLst>
            <a:ext uri="{FF2B5EF4-FFF2-40B4-BE49-F238E27FC236}">
              <a16:creationId xmlns:a16="http://schemas.microsoft.com/office/drawing/2014/main" id="{00000000-0008-0000-0700-000031000000}"/>
            </a:ext>
          </a:extLst>
        </xdr:cNvPr>
        <xdr:cNvSpPr/>
      </xdr:nvSpPr>
      <xdr:spPr>
        <a:xfrm>
          <a:off x="2400950" y="475742"/>
          <a:ext cx="570230" cy="25958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775477</xdr:colOff>
      <xdr:row>1</xdr:row>
      <xdr:rowOff>79502</xdr:rowOff>
    </xdr:from>
    <xdr:to>
      <xdr:col>5</xdr:col>
      <xdr:colOff>1342477</xdr:colOff>
      <xdr:row>1</xdr:row>
      <xdr:rowOff>332222</xdr:rowOff>
    </xdr:to>
    <xdr:sp macro="" textlink="">
      <xdr:nvSpPr>
        <xdr:cNvPr id="48" name="Rounded Rectangle 2">
          <a:hlinkClick xmlns:r="http://schemas.openxmlformats.org/officeDocument/2006/relationships" r:id="rId18"/>
          <a:extLst>
            <a:ext uri="{FF2B5EF4-FFF2-40B4-BE49-F238E27FC236}">
              <a16:creationId xmlns:a16="http://schemas.microsoft.com/office/drawing/2014/main" id="{00000000-0008-0000-0700-000030000000}"/>
            </a:ext>
          </a:extLst>
        </xdr:cNvPr>
        <xdr:cNvSpPr/>
      </xdr:nvSpPr>
      <xdr:spPr>
        <a:xfrm>
          <a:off x="1232677"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２</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38623</xdr:colOff>
      <xdr:row>1</xdr:row>
      <xdr:rowOff>79502</xdr:rowOff>
    </xdr:from>
    <xdr:to>
      <xdr:col>5</xdr:col>
      <xdr:colOff>605623</xdr:colOff>
      <xdr:row>1</xdr:row>
      <xdr:rowOff>332222</xdr:rowOff>
    </xdr:to>
    <xdr:sp macro="" textlink="">
      <xdr:nvSpPr>
        <xdr:cNvPr id="47" name="Rounded Rectangle 1">
          <a:hlinkClick xmlns:r="http://schemas.openxmlformats.org/officeDocument/2006/relationships" r:id="rId19"/>
          <a:extLst>
            <a:ext uri="{FF2B5EF4-FFF2-40B4-BE49-F238E27FC236}">
              <a16:creationId xmlns:a16="http://schemas.microsoft.com/office/drawing/2014/main" id="{00000000-0008-0000-0700-00002F000000}"/>
            </a:ext>
          </a:extLst>
        </xdr:cNvPr>
        <xdr:cNvSpPr/>
      </xdr:nvSpPr>
      <xdr:spPr>
        <a:xfrm>
          <a:off x="495823"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2089150</xdr:colOff>
          <xdr:row>78</xdr:row>
          <xdr:rowOff>0</xdr:rowOff>
        </xdr:from>
        <xdr:to>
          <xdr:col>7</xdr:col>
          <xdr:colOff>177800</xdr:colOff>
          <xdr:row>78</xdr:row>
          <xdr:rowOff>234950</xdr:rowOff>
        </xdr:to>
        <xdr:sp macro="" textlink="">
          <xdr:nvSpPr>
            <xdr:cNvPr id="24943" name="Option Button_18" hidden="1">
              <a:extLst>
                <a:ext uri="{63B3BB69-23CF-44E3-9099-C40C66FF867C}">
                  <a14:compatExt spid="_x0000_s24943"/>
                </a:ext>
                <a:ext uri="{FF2B5EF4-FFF2-40B4-BE49-F238E27FC236}">
                  <a16:creationId xmlns:a16="http://schemas.microsoft.com/office/drawing/2014/main" id="{00000000-0008-0000-0300-00006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77</xdr:row>
          <xdr:rowOff>273050</xdr:rowOff>
        </xdr:from>
        <xdr:to>
          <xdr:col>5</xdr:col>
          <xdr:colOff>1454150</xdr:colOff>
          <xdr:row>78</xdr:row>
          <xdr:rowOff>241300</xdr:rowOff>
        </xdr:to>
        <xdr:sp macro="" textlink="">
          <xdr:nvSpPr>
            <xdr:cNvPr id="24942" name="Option Button_17" hidden="1">
              <a:extLst>
                <a:ext uri="{63B3BB69-23CF-44E3-9099-C40C66FF867C}">
                  <a14:compatExt spid="_x0000_s24942"/>
                </a:ext>
                <a:ext uri="{FF2B5EF4-FFF2-40B4-BE49-F238E27FC236}">
                  <a16:creationId xmlns:a16="http://schemas.microsoft.com/office/drawing/2014/main" id="{00000000-0008-0000-0300-00006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30</xdr:row>
          <xdr:rowOff>215900</xdr:rowOff>
        </xdr:from>
        <xdr:to>
          <xdr:col>5</xdr:col>
          <xdr:colOff>1454150</xdr:colOff>
          <xdr:row>32</xdr:row>
          <xdr:rowOff>0</xdr:rowOff>
        </xdr:to>
        <xdr:sp macro="" textlink="">
          <xdr:nvSpPr>
            <xdr:cNvPr id="24919" name="Option Button_05" hidden="1">
              <a:extLst>
                <a:ext uri="{63B3BB69-23CF-44E3-9099-C40C66FF867C}">
                  <a14:compatExt spid="_x0000_s24919"/>
                </a:ext>
                <a:ext uri="{FF2B5EF4-FFF2-40B4-BE49-F238E27FC236}">
                  <a16:creationId xmlns:a16="http://schemas.microsoft.com/office/drawing/2014/main" id="{00000000-0008-0000-0300-00005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63</xdr:row>
          <xdr:rowOff>0</xdr:rowOff>
        </xdr:from>
        <xdr:to>
          <xdr:col>7</xdr:col>
          <xdr:colOff>177800</xdr:colOff>
          <xdr:row>63</xdr:row>
          <xdr:rowOff>234950</xdr:rowOff>
        </xdr:to>
        <xdr:sp macro="" textlink="">
          <xdr:nvSpPr>
            <xdr:cNvPr id="120277" name="Option Button_16" hidden="1">
              <a:extLst>
                <a:ext uri="{63B3BB69-23CF-44E3-9099-C40C66FF867C}">
                  <a14:compatExt spid="_x0000_s120277"/>
                </a:ext>
                <a:ext uri="{FF2B5EF4-FFF2-40B4-BE49-F238E27FC236}">
                  <a16:creationId xmlns:a16="http://schemas.microsoft.com/office/drawing/2014/main" id="{00000000-0008-0000-0300-0000D5D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62</xdr:row>
          <xdr:rowOff>273050</xdr:rowOff>
        </xdr:from>
        <xdr:to>
          <xdr:col>5</xdr:col>
          <xdr:colOff>1454150</xdr:colOff>
          <xdr:row>63</xdr:row>
          <xdr:rowOff>241300</xdr:rowOff>
        </xdr:to>
        <xdr:sp macro="" textlink="">
          <xdr:nvSpPr>
            <xdr:cNvPr id="24933" name="Option Button_15" hidden="1">
              <a:extLst>
                <a:ext uri="{63B3BB69-23CF-44E3-9099-C40C66FF867C}">
                  <a14:compatExt spid="_x0000_s24933"/>
                </a:ext>
                <a:ext uri="{FF2B5EF4-FFF2-40B4-BE49-F238E27FC236}">
                  <a16:creationId xmlns:a16="http://schemas.microsoft.com/office/drawing/2014/main" id="{00000000-0008-0000-0300-00006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10</xdr:row>
          <xdr:rowOff>273050</xdr:rowOff>
        </xdr:from>
        <xdr:to>
          <xdr:col>5</xdr:col>
          <xdr:colOff>1454150</xdr:colOff>
          <xdr:row>11</xdr:row>
          <xdr:rowOff>241300</xdr:rowOff>
        </xdr:to>
        <xdr:sp macro="" textlink="">
          <xdr:nvSpPr>
            <xdr:cNvPr id="24925" name="Option Button_09" hidden="1">
              <a:extLst>
                <a:ext uri="{63B3BB69-23CF-44E3-9099-C40C66FF867C}">
                  <a14:compatExt spid="_x0000_s24925"/>
                </a:ext>
                <a:ext uri="{FF2B5EF4-FFF2-40B4-BE49-F238E27FC236}">
                  <a16:creationId xmlns:a16="http://schemas.microsoft.com/office/drawing/2014/main" id="{00000000-0008-0000-0300-00005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49</xdr:row>
          <xdr:rowOff>266700</xdr:rowOff>
        </xdr:from>
        <xdr:to>
          <xdr:col>7</xdr:col>
          <xdr:colOff>177800</xdr:colOff>
          <xdr:row>50</xdr:row>
          <xdr:rowOff>234950</xdr:rowOff>
        </xdr:to>
        <xdr:sp macro="" textlink="">
          <xdr:nvSpPr>
            <xdr:cNvPr id="24904" name="Option Button_04" hidden="1">
              <a:extLst>
                <a:ext uri="{63B3BB69-23CF-44E3-9099-C40C66FF867C}">
                  <a14:compatExt spid="_x0000_s24904"/>
                </a:ext>
                <a:ext uri="{FF2B5EF4-FFF2-40B4-BE49-F238E27FC236}">
                  <a16:creationId xmlns:a16="http://schemas.microsoft.com/office/drawing/2014/main" id="{00000000-0008-0000-0300-00004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49</xdr:row>
          <xdr:rowOff>273050</xdr:rowOff>
        </xdr:from>
        <xdr:to>
          <xdr:col>5</xdr:col>
          <xdr:colOff>1454150</xdr:colOff>
          <xdr:row>50</xdr:row>
          <xdr:rowOff>241300</xdr:rowOff>
        </xdr:to>
        <xdr:sp macro="" textlink="">
          <xdr:nvSpPr>
            <xdr:cNvPr id="24903" name="Option Button_03" hidden="1">
              <a:extLst>
                <a:ext uri="{63B3BB69-23CF-44E3-9099-C40C66FF867C}">
                  <a14:compatExt spid="_x0000_s24903"/>
                </a:ext>
                <a:ext uri="{FF2B5EF4-FFF2-40B4-BE49-F238E27FC236}">
                  <a16:creationId xmlns:a16="http://schemas.microsoft.com/office/drawing/2014/main" id="{00000000-0008-0000-0300-00004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34</xdr:row>
          <xdr:rowOff>196850</xdr:rowOff>
        </xdr:from>
        <xdr:to>
          <xdr:col>7</xdr:col>
          <xdr:colOff>177800</xdr:colOff>
          <xdr:row>35</xdr:row>
          <xdr:rowOff>215900</xdr:rowOff>
        </xdr:to>
        <xdr:sp macro="" textlink="">
          <xdr:nvSpPr>
            <xdr:cNvPr id="165550" name="Option Button_02" hidden="1">
              <a:extLst>
                <a:ext uri="{63B3BB69-23CF-44E3-9099-C40C66FF867C}">
                  <a14:compatExt spid="_x0000_s165550"/>
                </a:ext>
                <a:ext uri="{FF2B5EF4-FFF2-40B4-BE49-F238E27FC236}">
                  <a16:creationId xmlns:a16="http://schemas.microsoft.com/office/drawing/2014/main" id="{00000000-0008-0000-0300-0000AE8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34</xdr:row>
          <xdr:rowOff>196850</xdr:rowOff>
        </xdr:from>
        <xdr:to>
          <xdr:col>5</xdr:col>
          <xdr:colOff>1454150</xdr:colOff>
          <xdr:row>35</xdr:row>
          <xdr:rowOff>215900</xdr:rowOff>
        </xdr:to>
        <xdr:sp macro="" textlink="">
          <xdr:nvSpPr>
            <xdr:cNvPr id="24886" name="Option Button_01" hidden="1">
              <a:extLst>
                <a:ext uri="{63B3BB69-23CF-44E3-9099-C40C66FF867C}">
                  <a14:compatExt spid="_x0000_s24886"/>
                </a:ext>
                <a:ext uri="{FF2B5EF4-FFF2-40B4-BE49-F238E27FC236}">
                  <a16:creationId xmlns:a16="http://schemas.microsoft.com/office/drawing/2014/main" id="{00000000-0008-0000-0300-00003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77</xdr:row>
          <xdr:rowOff>120650</xdr:rowOff>
        </xdr:from>
        <xdr:to>
          <xdr:col>8</xdr:col>
          <xdr:colOff>241300</xdr:colOff>
          <xdr:row>80</xdr:row>
          <xdr:rowOff>165100</xdr:rowOff>
        </xdr:to>
        <xdr:sp macro="" textlink="">
          <xdr:nvSpPr>
            <xdr:cNvPr id="24883" name="Group Box_9" hidden="1">
              <a:extLst>
                <a:ext uri="{63B3BB69-23CF-44E3-9099-C40C66FF867C}">
                  <a14:compatExt spid="_x0000_s24883"/>
                </a:ext>
                <a:ext uri="{FF2B5EF4-FFF2-40B4-BE49-F238E27FC236}">
                  <a16:creationId xmlns:a16="http://schemas.microsoft.com/office/drawing/2014/main" id="{00000000-0008-0000-0300-000033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62</xdr:row>
          <xdr:rowOff>114300</xdr:rowOff>
        </xdr:from>
        <xdr:to>
          <xdr:col>8</xdr:col>
          <xdr:colOff>254000</xdr:colOff>
          <xdr:row>65</xdr:row>
          <xdr:rowOff>158750</xdr:rowOff>
        </xdr:to>
        <xdr:sp macro="" textlink="">
          <xdr:nvSpPr>
            <xdr:cNvPr id="24882" name="Group Box_8" hidden="1">
              <a:extLst>
                <a:ext uri="{63B3BB69-23CF-44E3-9099-C40C66FF867C}">
                  <a14:compatExt spid="_x0000_s24882"/>
                </a:ext>
                <a:ext uri="{FF2B5EF4-FFF2-40B4-BE49-F238E27FC236}">
                  <a16:creationId xmlns:a16="http://schemas.microsoft.com/office/drawing/2014/main" id="{00000000-0008-0000-0300-000032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xdr:row>
          <xdr:rowOff>273050</xdr:rowOff>
        </xdr:from>
        <xdr:to>
          <xdr:col>8</xdr:col>
          <xdr:colOff>298450</xdr:colOff>
          <xdr:row>13</xdr:row>
          <xdr:rowOff>50800</xdr:rowOff>
        </xdr:to>
        <xdr:sp macro="" textlink="">
          <xdr:nvSpPr>
            <xdr:cNvPr id="24879" name="Group Box_5" hidden="1">
              <a:extLst>
                <a:ext uri="{63B3BB69-23CF-44E3-9099-C40C66FF867C}">
                  <a14:compatExt spid="_x0000_s24879"/>
                </a:ext>
                <a:ext uri="{FF2B5EF4-FFF2-40B4-BE49-F238E27FC236}">
                  <a16:creationId xmlns:a16="http://schemas.microsoft.com/office/drawing/2014/main" id="{00000000-0008-0000-0300-00002F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30</xdr:row>
          <xdr:rowOff>101600</xdr:rowOff>
        </xdr:from>
        <xdr:to>
          <xdr:col>8</xdr:col>
          <xdr:colOff>298450</xdr:colOff>
          <xdr:row>33</xdr:row>
          <xdr:rowOff>196850</xdr:rowOff>
        </xdr:to>
        <xdr:sp macro="" textlink="">
          <xdr:nvSpPr>
            <xdr:cNvPr id="24877" name="Group Box_3" hidden="1">
              <a:extLst>
                <a:ext uri="{63B3BB69-23CF-44E3-9099-C40C66FF867C}">
                  <a14:compatExt spid="_x0000_s24877"/>
                </a:ext>
                <a:ext uri="{FF2B5EF4-FFF2-40B4-BE49-F238E27FC236}">
                  <a16:creationId xmlns:a16="http://schemas.microsoft.com/office/drawing/2014/main" id="{00000000-0008-0000-0300-00002D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49</xdr:row>
          <xdr:rowOff>76200</xdr:rowOff>
        </xdr:from>
        <xdr:to>
          <xdr:col>8</xdr:col>
          <xdr:colOff>254000</xdr:colOff>
          <xdr:row>52</xdr:row>
          <xdr:rowOff>120650</xdr:rowOff>
        </xdr:to>
        <xdr:sp macro="" textlink="">
          <xdr:nvSpPr>
            <xdr:cNvPr id="24876" name="Group Box_2" hidden="1">
              <a:extLst>
                <a:ext uri="{63B3BB69-23CF-44E3-9099-C40C66FF867C}">
                  <a14:compatExt spid="_x0000_s24876"/>
                </a:ext>
                <a:ext uri="{FF2B5EF4-FFF2-40B4-BE49-F238E27FC236}">
                  <a16:creationId xmlns:a16="http://schemas.microsoft.com/office/drawing/2014/main" id="{00000000-0008-0000-0300-00002C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34</xdr:row>
          <xdr:rowOff>139700</xdr:rowOff>
        </xdr:from>
        <xdr:to>
          <xdr:col>8</xdr:col>
          <xdr:colOff>298450</xdr:colOff>
          <xdr:row>38</xdr:row>
          <xdr:rowOff>6350</xdr:rowOff>
        </xdr:to>
        <xdr:sp macro="" textlink="">
          <xdr:nvSpPr>
            <xdr:cNvPr id="24875" name="Group Box_1" hidden="1">
              <a:extLst>
                <a:ext uri="{63B3BB69-23CF-44E3-9099-C40C66FF867C}">
                  <a14:compatExt spid="_x0000_s24875"/>
                </a:ext>
                <a:ext uri="{FF2B5EF4-FFF2-40B4-BE49-F238E27FC236}">
                  <a16:creationId xmlns:a16="http://schemas.microsoft.com/office/drawing/2014/main" id="{00000000-0008-0000-0300-00002B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144780</xdr:colOff>
          <xdr:row>256</xdr:row>
          <xdr:rowOff>142875</xdr:rowOff>
        </xdr:from>
        <xdr:to>
          <xdr:col>41</xdr:col>
          <xdr:colOff>267323</xdr:colOff>
          <xdr:row>259</xdr:row>
          <xdr:rowOff>994157</xdr:rowOff>
        </xdr:to>
        <xdr:pic>
          <xdr:nvPicPr>
            <xdr:cNvPr id="7" name="図 6">
              <a:extLst>
                <a:ext uri="{FF2B5EF4-FFF2-40B4-BE49-F238E27FC236}">
                  <a16:creationId xmlns:a16="http://schemas.microsoft.com/office/drawing/2014/main" id="{B73FE73C-87C7-4EDE-92A0-F705E13637B8}"/>
                </a:ext>
              </a:extLst>
            </xdr:cNvPr>
            <xdr:cNvPicPr>
              <a:picLocks noChangeAspect="1" noChangeArrowheads="1"/>
              <a:extLst>
                <a:ext uri="{84589F7E-364E-4C9E-8A38-B11213B215E9}">
                  <a14:cameraTool cellRange="対策リスト!$J$84:$J$97" spid="_x0000_s445933"/>
                </a:ext>
              </a:extLst>
            </xdr:cNvPicPr>
          </xdr:nvPicPr>
          <xdr:blipFill>
            <a:blip xmlns:r="http://schemas.openxmlformats.org/officeDocument/2006/relationships" r:embed="rId20"/>
            <a:srcRect/>
            <a:stretch>
              <a:fillRect/>
            </a:stretch>
          </xdr:blipFill>
          <xdr:spPr bwMode="auto">
            <a:xfrm>
              <a:off x="12390120" y="94859475"/>
              <a:ext cx="3498203" cy="310680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12</xdr:col>
      <xdr:colOff>68130</xdr:colOff>
      <xdr:row>252</xdr:row>
      <xdr:rowOff>525103</xdr:rowOff>
    </xdr:from>
    <xdr:to>
      <xdr:col>13</xdr:col>
      <xdr:colOff>415829</xdr:colOff>
      <xdr:row>253</xdr:row>
      <xdr:rowOff>32203</xdr:rowOff>
    </xdr:to>
    <xdr:sp macro="" textlink="">
      <xdr:nvSpPr>
        <xdr:cNvPr id="9" name="角丸四角形 4">
          <a:hlinkClick xmlns:r="http://schemas.openxmlformats.org/officeDocument/2006/relationships" r:id="rId2"/>
          <a:extLst>
            <a:ext uri="{FF2B5EF4-FFF2-40B4-BE49-F238E27FC236}">
              <a16:creationId xmlns:a16="http://schemas.microsoft.com/office/drawing/2014/main" id="{E446707B-389B-6FED-8D05-7B7F8D2F8B4C}"/>
            </a:ext>
          </a:extLst>
        </xdr:cNvPr>
        <xdr:cNvSpPr/>
      </xdr:nvSpPr>
      <xdr:spPr>
        <a:xfrm>
          <a:off x="6072690" y="95790343"/>
          <a:ext cx="1223999"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91430</xdr:colOff>
          <xdr:row>42</xdr:row>
          <xdr:rowOff>12554</xdr:rowOff>
        </xdr:from>
        <xdr:to>
          <xdr:col>17</xdr:col>
          <xdr:colOff>701030</xdr:colOff>
          <xdr:row>48</xdr:row>
          <xdr:rowOff>1879454</xdr:rowOff>
        </xdr:to>
        <xdr:pic>
          <xdr:nvPicPr>
            <xdr:cNvPr id="4" name="図 3">
              <a:extLst>
                <a:ext uri="{FF2B5EF4-FFF2-40B4-BE49-F238E27FC236}">
                  <a16:creationId xmlns:a16="http://schemas.microsoft.com/office/drawing/2014/main" id="{55463100-6334-2E5E-E514-E657965B437D}"/>
                </a:ext>
              </a:extLst>
            </xdr:cNvPr>
            <xdr:cNvPicPr>
              <a:picLocks noChangeAspect="1" noChangeArrowheads="1"/>
              <a:extLst>
                <a:ext uri="{84589F7E-364E-4C9E-8A38-B11213B215E9}">
                  <a14:cameraTool cellRange="検索ツール画像1" spid="_x0000_s445934"/>
                </a:ext>
              </a:extLst>
            </xdr:cNvPicPr>
          </xdr:nvPicPr>
          <xdr:blipFill>
            <a:blip xmlns:r="http://schemas.openxmlformats.org/officeDocument/2006/relationships" r:embed="rId21"/>
            <a:srcRect/>
            <a:stretch>
              <a:fillRect/>
            </a:stretch>
          </xdr:blipFill>
          <xdr:spPr bwMode="auto">
            <a:xfrm>
              <a:off x="4610090" y="8615534"/>
              <a:ext cx="5897880" cy="3429000"/>
            </a:xfrm>
            <a:prstGeom prst="rect">
              <a:avLst/>
            </a:prstGeom>
            <a:noFill/>
            <a:ln w="9525">
              <a:noFill/>
              <a:miter lim="800000"/>
              <a:headEnd/>
              <a:tailEnd/>
            </a:ln>
          </xdr:spPr>
        </xdr:pic>
        <xdr:clientData/>
      </xdr:twoCellAnchor>
    </mc:Choice>
    <mc:Fallback/>
  </mc:AlternateContent>
  <xdr:twoCellAnchor editAs="oneCell">
    <xdr:from>
      <xdr:col>10</xdr:col>
      <xdr:colOff>125500</xdr:colOff>
      <xdr:row>94</xdr:row>
      <xdr:rowOff>98612</xdr:rowOff>
    </xdr:from>
    <xdr:to>
      <xdr:col>13</xdr:col>
      <xdr:colOff>33611</xdr:colOff>
      <xdr:row>94</xdr:row>
      <xdr:rowOff>439270</xdr:rowOff>
    </xdr:to>
    <xdr:sp macro="" textlink="">
      <xdr:nvSpPr>
        <xdr:cNvPr id="12" name="四角形: 角を丸くする 11">
          <a:hlinkClick xmlns:r="http://schemas.openxmlformats.org/officeDocument/2006/relationships" r:id="rId22"/>
          <a:extLst>
            <a:ext uri="{FF2B5EF4-FFF2-40B4-BE49-F238E27FC236}">
              <a16:creationId xmlns:a16="http://schemas.microsoft.com/office/drawing/2014/main" id="{D4092D37-F375-42A9-998A-A8ACF19F36CE}"/>
            </a:ext>
          </a:extLst>
        </xdr:cNvPr>
        <xdr:cNvSpPr/>
      </xdr:nvSpPr>
      <xdr:spPr>
        <a:xfrm>
          <a:off x="5074018" y="46275812"/>
          <a:ext cx="1694329" cy="3406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xdr:twoCellAnchor editAs="oneCell">
    <xdr:from>
      <xdr:col>6</xdr:col>
      <xdr:colOff>349623</xdr:colOff>
      <xdr:row>244</xdr:row>
      <xdr:rowOff>53789</xdr:rowOff>
    </xdr:from>
    <xdr:to>
      <xdr:col>12</xdr:col>
      <xdr:colOff>542365</xdr:colOff>
      <xdr:row>245</xdr:row>
      <xdr:rowOff>224120</xdr:rowOff>
    </xdr:to>
    <xdr:sp macro="" textlink="">
      <xdr:nvSpPr>
        <xdr:cNvPr id="13" name="四角形: 角を丸くする 12">
          <a:hlinkClick xmlns:r="http://schemas.openxmlformats.org/officeDocument/2006/relationships" r:id="rId23"/>
          <a:extLst>
            <a:ext uri="{FF2B5EF4-FFF2-40B4-BE49-F238E27FC236}">
              <a16:creationId xmlns:a16="http://schemas.microsoft.com/office/drawing/2014/main" id="{81C52132-828E-404B-AFF5-7EB49BE00705}"/>
            </a:ext>
          </a:extLst>
        </xdr:cNvPr>
        <xdr:cNvSpPr/>
      </xdr:nvSpPr>
      <xdr:spPr>
        <a:xfrm>
          <a:off x="3558988" y="110131413"/>
          <a:ext cx="2877670"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PrintsWithSheet="0"/>
  </xdr:twoCellAnchor>
  <xdr:twoCellAnchor editAs="oneCell">
    <xdr:from>
      <xdr:col>14</xdr:col>
      <xdr:colOff>179935</xdr:colOff>
      <xdr:row>255</xdr:row>
      <xdr:rowOff>199209</xdr:rowOff>
    </xdr:from>
    <xdr:to>
      <xdr:col>17</xdr:col>
      <xdr:colOff>421980</xdr:colOff>
      <xdr:row>255</xdr:row>
      <xdr:rowOff>575726</xdr:rowOff>
    </xdr:to>
    <xdr:sp macro="" textlink="">
      <xdr:nvSpPr>
        <xdr:cNvPr id="15" name="四角形: 角を丸くする 14">
          <a:hlinkClick xmlns:r="http://schemas.openxmlformats.org/officeDocument/2006/relationships" r:id="rId24"/>
          <a:extLst>
            <a:ext uri="{FF2B5EF4-FFF2-40B4-BE49-F238E27FC236}">
              <a16:creationId xmlns:a16="http://schemas.microsoft.com/office/drawing/2014/main" id="{847E99C2-F45F-4BF4-B5B7-AFCEC3CF1C6D}"/>
            </a:ext>
          </a:extLst>
        </xdr:cNvPr>
        <xdr:cNvSpPr/>
      </xdr:nvSpPr>
      <xdr:spPr>
        <a:xfrm>
          <a:off x="7396075" y="93673749"/>
          <a:ext cx="2870945"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PrintsWithSheet="0"/>
  </xdr:twoCellAnchor>
  <xdr:twoCellAnchor editAs="oneCell">
    <xdr:from>
      <xdr:col>16</xdr:col>
      <xdr:colOff>728586</xdr:colOff>
      <xdr:row>215</xdr:row>
      <xdr:rowOff>24647</xdr:rowOff>
    </xdr:from>
    <xdr:to>
      <xdr:col>19</xdr:col>
      <xdr:colOff>331686</xdr:colOff>
      <xdr:row>217</xdr:row>
      <xdr:rowOff>192587</xdr:rowOff>
    </xdr:to>
    <xdr:sp macro="" textlink="">
      <xdr:nvSpPr>
        <xdr:cNvPr id="16" name="角丸四角形 2">
          <a:hlinkClick xmlns:r="http://schemas.openxmlformats.org/officeDocument/2006/relationships" r:id="rId25"/>
          <a:extLst>
            <a:ext uri="{FF2B5EF4-FFF2-40B4-BE49-F238E27FC236}">
              <a16:creationId xmlns:a16="http://schemas.microsoft.com/office/drawing/2014/main" id="{05106A27-2264-09FD-FB26-30FC3DCAE7E0}"/>
            </a:ext>
          </a:extLst>
        </xdr:cNvPr>
        <xdr:cNvSpPr/>
      </xdr:nvSpPr>
      <xdr:spPr>
        <a:xfrm>
          <a:off x="9621126" y="63202067"/>
          <a:ext cx="2232000" cy="648000"/>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p>
      </xdr:txBody>
    </xdr:sp>
    <xdr:clientData fPrintsWithSheet="0"/>
  </xdr:twoCellAnchor>
  <mc:AlternateContent xmlns:mc="http://schemas.openxmlformats.org/markup-compatibility/2006">
    <mc:Choice xmlns:a14="http://schemas.microsoft.com/office/drawing/2010/main" Requires="a14">
      <xdr:twoCellAnchor editAs="oneCell">
        <xdr:from>
          <xdr:col>35</xdr:col>
          <xdr:colOff>60960</xdr:colOff>
          <xdr:row>244</xdr:row>
          <xdr:rowOff>38100</xdr:rowOff>
        </xdr:from>
        <xdr:to>
          <xdr:col>45</xdr:col>
          <xdr:colOff>22860</xdr:colOff>
          <xdr:row>249</xdr:row>
          <xdr:rowOff>38548</xdr:rowOff>
        </xdr:to>
        <xdr:pic>
          <xdr:nvPicPr>
            <xdr:cNvPr id="10" name="図 9">
              <a:extLst>
                <a:ext uri="{FF2B5EF4-FFF2-40B4-BE49-F238E27FC236}">
                  <a16:creationId xmlns:a16="http://schemas.microsoft.com/office/drawing/2014/main" id="{F505199A-4B4F-4DA6-9E0B-36D51DB43467}"/>
                </a:ext>
              </a:extLst>
            </xdr:cNvPr>
            <xdr:cNvPicPr>
              <a:picLocks noChangeAspect="1" noChangeArrowheads="1"/>
              <a:extLst>
                <a:ext uri="{84589F7E-364E-4C9E-8A38-B11213B215E9}">
                  <a14:cameraTool cellRange="対策リスト!$F$50:$G$59" spid="_x0000_s445935"/>
                </a:ext>
              </a:extLst>
            </xdr:cNvPicPr>
          </xdr:nvPicPr>
          <xdr:blipFill>
            <a:blip xmlns:r="http://schemas.openxmlformats.org/officeDocument/2006/relationships" r:embed="rId26"/>
            <a:srcRect/>
            <a:stretch>
              <a:fillRect/>
            </a:stretch>
          </xdr:blipFill>
          <xdr:spPr bwMode="auto">
            <a:xfrm>
              <a:off x="12321540" y="83454240"/>
              <a:ext cx="5334000" cy="462578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35</xdr:col>
      <xdr:colOff>114300</xdr:colOff>
      <xdr:row>94</xdr:row>
      <xdr:rowOff>49183</xdr:rowOff>
    </xdr:from>
    <xdr:to>
      <xdr:col>46</xdr:col>
      <xdr:colOff>547540</xdr:colOff>
      <xdr:row>119</xdr:row>
      <xdr:rowOff>181144</xdr:rowOff>
    </xdr:to>
    <xdr:pic>
      <xdr:nvPicPr>
        <xdr:cNvPr id="3" name="図 2">
          <a:extLst>
            <a:ext uri="{FF2B5EF4-FFF2-40B4-BE49-F238E27FC236}">
              <a16:creationId xmlns:a16="http://schemas.microsoft.com/office/drawing/2014/main" id="{790CC743-21F9-4AE1-B4A2-135FCD8DB3BE}"/>
            </a:ext>
          </a:extLst>
        </xdr:cNvPr>
        <xdr:cNvPicPr>
          <a:picLocks noChangeAspect="1"/>
        </xdr:cNvPicPr>
      </xdr:nvPicPr>
      <xdr:blipFill>
        <a:blip xmlns:r="http://schemas.openxmlformats.org/officeDocument/2006/relationships" r:embed="rId27"/>
        <a:stretch>
          <a:fillRect/>
        </a:stretch>
      </xdr:blipFill>
      <xdr:spPr>
        <a:xfrm>
          <a:off x="12374880" y="23153023"/>
          <a:ext cx="6414940" cy="4269621"/>
        </a:xfrm>
        <a:prstGeom prst="rect">
          <a:avLst/>
        </a:prstGeom>
        <a:ln w="44450">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5</xdr:col>
          <xdr:colOff>2089150</xdr:colOff>
          <xdr:row>11</xdr:row>
          <xdr:rowOff>0</xdr:rowOff>
        </xdr:from>
        <xdr:to>
          <xdr:col>7</xdr:col>
          <xdr:colOff>177800</xdr:colOff>
          <xdr:row>11</xdr:row>
          <xdr:rowOff>241300</xdr:rowOff>
        </xdr:to>
        <xdr:sp macro="" textlink="">
          <xdr:nvSpPr>
            <xdr:cNvPr id="383579" name="Option Button_10" hidden="1">
              <a:extLst>
                <a:ext uri="{63B3BB69-23CF-44E3-9099-C40C66FF867C}">
                  <a14:compatExt spid="_x0000_s383579"/>
                </a:ext>
                <a:ext uri="{FF2B5EF4-FFF2-40B4-BE49-F238E27FC236}">
                  <a16:creationId xmlns:a16="http://schemas.microsoft.com/office/drawing/2014/main" id="{00000000-0008-0000-0300-00005BDA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30</xdr:row>
          <xdr:rowOff>215900</xdr:rowOff>
        </xdr:from>
        <xdr:to>
          <xdr:col>7</xdr:col>
          <xdr:colOff>177800</xdr:colOff>
          <xdr:row>32</xdr:row>
          <xdr:rowOff>0</xdr:rowOff>
        </xdr:to>
        <xdr:sp macro="" textlink="">
          <xdr:nvSpPr>
            <xdr:cNvPr id="383607" name="Option Button 5751" hidden="1">
              <a:extLst>
                <a:ext uri="{63B3BB69-23CF-44E3-9099-C40C66FF867C}">
                  <a14:compatExt spid="_x0000_s383607"/>
                </a:ext>
                <a:ext uri="{FF2B5EF4-FFF2-40B4-BE49-F238E27FC236}">
                  <a16:creationId xmlns:a16="http://schemas.microsoft.com/office/drawing/2014/main" id="{00000000-0008-0000-0300-000077DA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12</xdr:col>
      <xdr:colOff>61995</xdr:colOff>
      <xdr:row>245</xdr:row>
      <xdr:rowOff>421631</xdr:rowOff>
    </xdr:from>
    <xdr:to>
      <xdr:col>13</xdr:col>
      <xdr:colOff>409693</xdr:colOff>
      <xdr:row>245</xdr:row>
      <xdr:rowOff>1033631</xdr:rowOff>
    </xdr:to>
    <xdr:sp macro="" textlink="">
      <xdr:nvSpPr>
        <xdr:cNvPr id="7" name="角丸四角形 3">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5880089" y="120270784"/>
          <a:ext cx="1226241"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17</xdr:col>
      <xdr:colOff>105066</xdr:colOff>
      <xdr:row>215</xdr:row>
      <xdr:rowOff>153824</xdr:rowOff>
    </xdr:from>
    <xdr:to>
      <xdr:col>19</xdr:col>
      <xdr:colOff>584466</xdr:colOff>
      <xdr:row>219</xdr:row>
      <xdr:rowOff>93164</xdr:rowOff>
    </xdr:to>
    <xdr:sp macro="" textlink="">
      <xdr:nvSpPr>
        <xdr:cNvPr id="5" name="角丸四角形 2">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9873906" y="64702844"/>
          <a:ext cx="2232000" cy="648000"/>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17</xdr:col>
      <xdr:colOff>269256</xdr:colOff>
      <xdr:row>197</xdr:row>
      <xdr:rowOff>118674</xdr:rowOff>
    </xdr:from>
    <xdr:to>
      <xdr:col>19</xdr:col>
      <xdr:colOff>452852</xdr:colOff>
      <xdr:row>199</xdr:row>
      <xdr:rowOff>196272</xdr:rowOff>
    </xdr:to>
    <xdr:sp macro="" textlink="">
      <xdr:nvSpPr>
        <xdr:cNvPr id="3" name="角丸四角形 1">
          <a:hlinkClick xmlns:r="http://schemas.openxmlformats.org/officeDocument/2006/relationships" r:id="rId3"/>
          <a:extLst>
            <a:ext uri="{FF2B5EF4-FFF2-40B4-BE49-F238E27FC236}">
              <a16:creationId xmlns:a16="http://schemas.microsoft.com/office/drawing/2014/main" id="{00000000-0008-0000-0800-000003000000}"/>
            </a:ext>
          </a:extLst>
        </xdr:cNvPr>
        <xdr:cNvSpPr/>
      </xdr:nvSpPr>
      <xdr:spPr>
        <a:xfrm>
          <a:off x="10660165" y="78997219"/>
          <a:ext cx="1943123" cy="654871"/>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35</xdr:col>
      <xdr:colOff>30480</xdr:colOff>
      <xdr:row>0</xdr:row>
      <xdr:rowOff>32766</xdr:rowOff>
    </xdr:from>
    <xdr:to>
      <xdr:col>37</xdr:col>
      <xdr:colOff>144808</xdr:colOff>
      <xdr:row>0</xdr:row>
      <xdr:rowOff>488569</xdr:rowOff>
    </xdr:to>
    <xdr:sp macro="" textlink="">
      <xdr:nvSpPr>
        <xdr:cNvPr id="8" name="Rounded Rectangle 61">
          <a:hlinkClick xmlns:r="http://schemas.openxmlformats.org/officeDocument/2006/relationships" r:id="rId4"/>
          <a:extLst>
            <a:ext uri="{FF2B5EF4-FFF2-40B4-BE49-F238E27FC236}">
              <a16:creationId xmlns:a16="http://schemas.microsoft.com/office/drawing/2014/main" id="{00000000-0008-0000-0800-000008000000}"/>
            </a:ext>
          </a:extLst>
        </xdr:cNvPr>
        <xdr:cNvSpPr/>
      </xdr:nvSpPr>
      <xdr:spPr>
        <a:xfrm>
          <a:off x="12344400" y="32766"/>
          <a:ext cx="1333528" cy="45580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15</xdr:col>
      <xdr:colOff>488712</xdr:colOff>
      <xdr:row>1</xdr:row>
      <xdr:rowOff>79502</xdr:rowOff>
    </xdr:from>
    <xdr:to>
      <xdr:col>16</xdr:col>
      <xdr:colOff>179412</xdr:colOff>
      <xdr:row>1</xdr:row>
      <xdr:rowOff>332222</xdr:rowOff>
    </xdr:to>
    <xdr:sp macro="" textlink="">
      <xdr:nvSpPr>
        <xdr:cNvPr id="43" name="Rounded Rectangle 15">
          <a:hlinkClick xmlns:r="http://schemas.openxmlformats.org/officeDocument/2006/relationships" r:id="rId5"/>
          <a:extLst>
            <a:ext uri="{FF2B5EF4-FFF2-40B4-BE49-F238E27FC236}">
              <a16:creationId xmlns:a16="http://schemas.microsoft.com/office/drawing/2014/main" id="{00000000-0008-0000-0800-00002B000000}"/>
            </a:ext>
          </a:extLst>
        </xdr:cNvPr>
        <xdr:cNvSpPr/>
      </xdr:nvSpPr>
      <xdr:spPr>
        <a:xfrm>
          <a:off x="8504952"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9-1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14</xdr:col>
      <xdr:colOff>621846</xdr:colOff>
      <xdr:row>1</xdr:row>
      <xdr:rowOff>79502</xdr:rowOff>
    </xdr:from>
    <xdr:to>
      <xdr:col>15</xdr:col>
      <xdr:colOff>312546</xdr:colOff>
      <xdr:row>1</xdr:row>
      <xdr:rowOff>332222</xdr:rowOff>
    </xdr:to>
    <xdr:sp macro="" textlink="">
      <xdr:nvSpPr>
        <xdr:cNvPr id="42" name="Rounded Rectangle 14">
          <a:hlinkClick xmlns:r="http://schemas.openxmlformats.org/officeDocument/2006/relationships" r:id="rId6"/>
          <a:extLst>
            <a:ext uri="{FF2B5EF4-FFF2-40B4-BE49-F238E27FC236}">
              <a16:creationId xmlns:a16="http://schemas.microsoft.com/office/drawing/2014/main" id="{00000000-0008-0000-0800-00002A000000}"/>
            </a:ext>
          </a:extLst>
        </xdr:cNvPr>
        <xdr:cNvSpPr/>
      </xdr:nvSpPr>
      <xdr:spPr>
        <a:xfrm>
          <a:off x="7761786"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840831</xdr:colOff>
      <xdr:row>1</xdr:row>
      <xdr:rowOff>79502</xdr:rowOff>
    </xdr:from>
    <xdr:to>
      <xdr:col>14</xdr:col>
      <xdr:colOff>531531</xdr:colOff>
      <xdr:row>1</xdr:row>
      <xdr:rowOff>332222</xdr:rowOff>
    </xdr:to>
    <xdr:sp macro="" textlink="">
      <xdr:nvSpPr>
        <xdr:cNvPr id="41" name="Rounded Rectangle 13">
          <a:hlinkClick xmlns:r="http://schemas.openxmlformats.org/officeDocument/2006/relationships" r:id="rId7"/>
          <a:extLst>
            <a:ext uri="{FF2B5EF4-FFF2-40B4-BE49-F238E27FC236}">
              <a16:creationId xmlns:a16="http://schemas.microsoft.com/office/drawing/2014/main" id="{00000000-0008-0000-0800-000029000000}"/>
            </a:ext>
          </a:extLst>
        </xdr:cNvPr>
        <xdr:cNvSpPr/>
      </xdr:nvSpPr>
      <xdr:spPr>
        <a:xfrm>
          <a:off x="7104471"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179088</xdr:colOff>
      <xdr:row>1</xdr:row>
      <xdr:rowOff>79502</xdr:rowOff>
    </xdr:from>
    <xdr:to>
      <xdr:col>13</xdr:col>
      <xdr:colOff>746088</xdr:colOff>
      <xdr:row>1</xdr:row>
      <xdr:rowOff>332222</xdr:rowOff>
    </xdr:to>
    <xdr:sp macro="" textlink="">
      <xdr:nvSpPr>
        <xdr:cNvPr id="40" name="Rounded Rectangle 12">
          <a:hlinkClick xmlns:r="http://schemas.openxmlformats.org/officeDocument/2006/relationships" r:id="rId8"/>
          <a:extLst>
            <a:ext uri="{FF2B5EF4-FFF2-40B4-BE49-F238E27FC236}">
              <a16:creationId xmlns:a16="http://schemas.microsoft.com/office/drawing/2014/main" id="{00000000-0008-0000-0800-000028000000}"/>
            </a:ext>
          </a:extLst>
        </xdr:cNvPr>
        <xdr:cNvSpPr/>
      </xdr:nvSpPr>
      <xdr:spPr>
        <a:xfrm>
          <a:off x="6442728"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12</xdr:col>
      <xdr:colOff>287075</xdr:colOff>
      <xdr:row>1</xdr:row>
      <xdr:rowOff>79502</xdr:rowOff>
    </xdr:from>
    <xdr:to>
      <xdr:col>12</xdr:col>
      <xdr:colOff>854075</xdr:colOff>
      <xdr:row>1</xdr:row>
      <xdr:rowOff>332222</xdr:rowOff>
    </xdr:to>
    <xdr:sp macro="" textlink="">
      <xdr:nvSpPr>
        <xdr:cNvPr id="39" name="Rounded Rectangle 11">
          <a:hlinkClick xmlns:r="http://schemas.openxmlformats.org/officeDocument/2006/relationships" r:id="rId9"/>
          <a:extLst>
            <a:ext uri="{FF2B5EF4-FFF2-40B4-BE49-F238E27FC236}">
              <a16:creationId xmlns:a16="http://schemas.microsoft.com/office/drawing/2014/main" id="{00000000-0008-0000-0800-000027000000}"/>
            </a:ext>
          </a:extLst>
        </xdr:cNvPr>
        <xdr:cNvSpPr/>
      </xdr:nvSpPr>
      <xdr:spPr>
        <a:xfrm>
          <a:off x="5674415"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10</xdr:col>
      <xdr:colOff>421224</xdr:colOff>
      <xdr:row>1</xdr:row>
      <xdr:rowOff>79502</xdr:rowOff>
    </xdr:from>
    <xdr:to>
      <xdr:col>12</xdr:col>
      <xdr:colOff>81444</xdr:colOff>
      <xdr:row>1</xdr:row>
      <xdr:rowOff>332222</xdr:rowOff>
    </xdr:to>
    <xdr:sp macro="" textlink="">
      <xdr:nvSpPr>
        <xdr:cNvPr id="38" name="Rounded Rectangle 10">
          <a:hlinkClick xmlns:r="http://schemas.openxmlformats.org/officeDocument/2006/relationships" r:id="rId10"/>
          <a:extLst>
            <a:ext uri="{FF2B5EF4-FFF2-40B4-BE49-F238E27FC236}">
              <a16:creationId xmlns:a16="http://schemas.microsoft.com/office/drawing/2014/main" id="{00000000-0008-0000-0800-000026000000}"/>
            </a:ext>
          </a:extLst>
        </xdr:cNvPr>
        <xdr:cNvSpPr/>
      </xdr:nvSpPr>
      <xdr:spPr>
        <a:xfrm>
          <a:off x="4939884"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546481</xdr:colOff>
      <xdr:row>1</xdr:row>
      <xdr:rowOff>79502</xdr:rowOff>
    </xdr:from>
    <xdr:to>
      <xdr:col>10</xdr:col>
      <xdr:colOff>206701</xdr:colOff>
      <xdr:row>1</xdr:row>
      <xdr:rowOff>332222</xdr:rowOff>
    </xdr:to>
    <xdr:sp macro="" textlink="">
      <xdr:nvSpPr>
        <xdr:cNvPr id="29" name="Rounded Rectangle 9">
          <a:hlinkClick xmlns:r="http://schemas.openxmlformats.org/officeDocument/2006/relationships" r:id="rId11"/>
          <a:extLst>
            <a:ext uri="{FF2B5EF4-FFF2-40B4-BE49-F238E27FC236}">
              <a16:creationId xmlns:a16="http://schemas.microsoft.com/office/drawing/2014/main" id="{00000000-0008-0000-0800-00001D000000}"/>
            </a:ext>
          </a:extLst>
        </xdr:cNvPr>
        <xdr:cNvSpPr/>
      </xdr:nvSpPr>
      <xdr:spPr>
        <a:xfrm>
          <a:off x="4196461"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7</xdr:col>
      <xdr:colOff>98044</xdr:colOff>
      <xdr:row>1</xdr:row>
      <xdr:rowOff>79502</xdr:rowOff>
    </xdr:from>
    <xdr:to>
      <xdr:col>8</xdr:col>
      <xdr:colOff>360244</xdr:colOff>
      <xdr:row>1</xdr:row>
      <xdr:rowOff>332222</xdr:rowOff>
    </xdr:to>
    <xdr:sp macro="" textlink="">
      <xdr:nvSpPr>
        <xdr:cNvPr id="37" name="Rounded Rectangle 8">
          <a:hlinkClick xmlns:r="http://schemas.openxmlformats.org/officeDocument/2006/relationships" r:id="rId12"/>
          <a:extLst>
            <a:ext uri="{FF2B5EF4-FFF2-40B4-BE49-F238E27FC236}">
              <a16:creationId xmlns:a16="http://schemas.microsoft.com/office/drawing/2014/main" id="{00000000-0008-0000-0800-000025000000}"/>
            </a:ext>
          </a:extLst>
        </xdr:cNvPr>
        <xdr:cNvSpPr/>
      </xdr:nvSpPr>
      <xdr:spPr>
        <a:xfrm>
          <a:off x="3443224"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2224277</xdr:colOff>
      <xdr:row>1</xdr:row>
      <xdr:rowOff>79502</xdr:rowOff>
    </xdr:from>
    <xdr:to>
      <xdr:col>6</xdr:col>
      <xdr:colOff>467177</xdr:colOff>
      <xdr:row>1</xdr:row>
      <xdr:rowOff>332222</xdr:rowOff>
    </xdr:to>
    <xdr:sp macro="" textlink="">
      <xdr:nvSpPr>
        <xdr:cNvPr id="36" name="Rounded Rectangle 7">
          <a:hlinkClick xmlns:r="http://schemas.openxmlformats.org/officeDocument/2006/relationships" r:id="rId13"/>
          <a:extLst>
            <a:ext uri="{FF2B5EF4-FFF2-40B4-BE49-F238E27FC236}">
              <a16:creationId xmlns:a16="http://schemas.microsoft.com/office/drawing/2014/main" id="{00000000-0008-0000-0800-000024000000}"/>
            </a:ext>
          </a:extLst>
        </xdr:cNvPr>
        <xdr:cNvSpPr/>
      </xdr:nvSpPr>
      <xdr:spPr>
        <a:xfrm>
          <a:off x="2681477"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2225039</xdr:colOff>
      <xdr:row>0</xdr:row>
      <xdr:rowOff>498602</xdr:rowOff>
    </xdr:from>
    <xdr:to>
      <xdr:col>6</xdr:col>
      <xdr:colOff>470916</xdr:colOff>
      <xdr:row>1</xdr:row>
      <xdr:rowOff>224790</xdr:rowOff>
    </xdr:to>
    <xdr:sp macro="" textlink="">
      <xdr:nvSpPr>
        <xdr:cNvPr id="35" name="Rounded Rectangle 6" hidden="1">
          <a:hlinkClick xmlns:r="http://schemas.openxmlformats.org/officeDocument/2006/relationships" r:id="rId14"/>
          <a:extLst>
            <a:ext uri="{FF2B5EF4-FFF2-40B4-BE49-F238E27FC236}">
              <a16:creationId xmlns:a16="http://schemas.microsoft.com/office/drawing/2014/main" id="{00000000-0008-0000-0800-000023000000}"/>
            </a:ext>
          </a:extLst>
        </xdr:cNvPr>
        <xdr:cNvSpPr/>
      </xdr:nvSpPr>
      <xdr:spPr>
        <a:xfrm>
          <a:off x="3299459" y="498602"/>
          <a:ext cx="569976" cy="259588"/>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1453389</xdr:colOff>
      <xdr:row>1</xdr:row>
      <xdr:rowOff>79502</xdr:rowOff>
    </xdr:from>
    <xdr:to>
      <xdr:col>5</xdr:col>
      <xdr:colOff>2020389</xdr:colOff>
      <xdr:row>1</xdr:row>
      <xdr:rowOff>332222</xdr:rowOff>
    </xdr:to>
    <xdr:sp macro="" textlink="">
      <xdr:nvSpPr>
        <xdr:cNvPr id="34" name="Rounded Rectangle 5">
          <a:hlinkClick xmlns:r="http://schemas.openxmlformats.org/officeDocument/2006/relationships" r:id="rId15"/>
          <a:extLst>
            <a:ext uri="{FF2B5EF4-FFF2-40B4-BE49-F238E27FC236}">
              <a16:creationId xmlns:a16="http://schemas.microsoft.com/office/drawing/2014/main" id="{00000000-0008-0000-0800-000022000000}"/>
            </a:ext>
          </a:extLst>
        </xdr:cNvPr>
        <xdr:cNvSpPr/>
      </xdr:nvSpPr>
      <xdr:spPr>
        <a:xfrm>
          <a:off x="1910589"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２</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1971548</xdr:colOff>
      <xdr:row>0</xdr:row>
      <xdr:rowOff>490982</xdr:rowOff>
    </xdr:from>
    <xdr:to>
      <xdr:col>6</xdr:col>
      <xdr:colOff>219965</xdr:colOff>
      <xdr:row>1</xdr:row>
      <xdr:rowOff>217170</xdr:rowOff>
    </xdr:to>
    <xdr:sp macro="" textlink="">
      <xdr:nvSpPr>
        <xdr:cNvPr id="33" name="Rounded Rectangle 4" hidden="1">
          <a:hlinkClick xmlns:r="http://schemas.openxmlformats.org/officeDocument/2006/relationships" r:id="rId16"/>
          <a:extLst>
            <a:ext uri="{FF2B5EF4-FFF2-40B4-BE49-F238E27FC236}">
              <a16:creationId xmlns:a16="http://schemas.microsoft.com/office/drawing/2014/main" id="{00000000-0008-0000-0800-000021000000}"/>
            </a:ext>
          </a:extLst>
        </xdr:cNvPr>
        <xdr:cNvSpPr/>
      </xdr:nvSpPr>
      <xdr:spPr>
        <a:xfrm>
          <a:off x="3045968" y="490982"/>
          <a:ext cx="572516" cy="259588"/>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1324737</xdr:colOff>
      <xdr:row>0</xdr:row>
      <xdr:rowOff>490982</xdr:rowOff>
    </xdr:from>
    <xdr:to>
      <xdr:col>5</xdr:col>
      <xdr:colOff>1894967</xdr:colOff>
      <xdr:row>1</xdr:row>
      <xdr:rowOff>217170</xdr:rowOff>
    </xdr:to>
    <xdr:sp macro="" textlink="">
      <xdr:nvSpPr>
        <xdr:cNvPr id="32" name="Rounded Rectangle 3" hidden="1">
          <a:hlinkClick xmlns:r="http://schemas.openxmlformats.org/officeDocument/2006/relationships" r:id="rId17"/>
          <a:extLst>
            <a:ext uri="{FF2B5EF4-FFF2-40B4-BE49-F238E27FC236}">
              <a16:creationId xmlns:a16="http://schemas.microsoft.com/office/drawing/2014/main" id="{00000000-0008-0000-0800-000020000000}"/>
            </a:ext>
          </a:extLst>
        </xdr:cNvPr>
        <xdr:cNvSpPr/>
      </xdr:nvSpPr>
      <xdr:spPr>
        <a:xfrm>
          <a:off x="2399157" y="490982"/>
          <a:ext cx="570230" cy="259588"/>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773684</xdr:colOff>
      <xdr:row>1</xdr:row>
      <xdr:rowOff>79502</xdr:rowOff>
    </xdr:from>
    <xdr:to>
      <xdr:col>5</xdr:col>
      <xdr:colOff>1340684</xdr:colOff>
      <xdr:row>1</xdr:row>
      <xdr:rowOff>332222</xdr:rowOff>
    </xdr:to>
    <xdr:sp macro="" textlink="">
      <xdr:nvSpPr>
        <xdr:cNvPr id="31" name="Rounded Rectangle 2">
          <a:hlinkClick xmlns:r="http://schemas.openxmlformats.org/officeDocument/2006/relationships" r:id="rId18"/>
          <a:extLst>
            <a:ext uri="{FF2B5EF4-FFF2-40B4-BE49-F238E27FC236}">
              <a16:creationId xmlns:a16="http://schemas.microsoft.com/office/drawing/2014/main" id="{00000000-0008-0000-0800-00001F000000}"/>
            </a:ext>
          </a:extLst>
        </xdr:cNvPr>
        <xdr:cNvSpPr/>
      </xdr:nvSpPr>
      <xdr:spPr>
        <a:xfrm>
          <a:off x="1230884"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２</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36830</xdr:colOff>
      <xdr:row>1</xdr:row>
      <xdr:rowOff>79502</xdr:rowOff>
    </xdr:from>
    <xdr:to>
      <xdr:col>5</xdr:col>
      <xdr:colOff>603830</xdr:colOff>
      <xdr:row>1</xdr:row>
      <xdr:rowOff>332222</xdr:rowOff>
    </xdr:to>
    <xdr:sp macro="" textlink="">
      <xdr:nvSpPr>
        <xdr:cNvPr id="30" name="Rounded Rectangle 1">
          <a:hlinkClick xmlns:r="http://schemas.openxmlformats.org/officeDocument/2006/relationships" r:id="rId19"/>
          <a:extLst>
            <a:ext uri="{FF2B5EF4-FFF2-40B4-BE49-F238E27FC236}">
              <a16:creationId xmlns:a16="http://schemas.microsoft.com/office/drawing/2014/main" id="{00000000-0008-0000-0800-00001E000000}"/>
            </a:ext>
          </a:extLst>
        </xdr:cNvPr>
        <xdr:cNvSpPr/>
      </xdr:nvSpPr>
      <xdr:spPr>
        <a:xfrm>
          <a:off x="494030"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2089150</xdr:colOff>
          <xdr:row>78</xdr:row>
          <xdr:rowOff>0</xdr:rowOff>
        </xdr:from>
        <xdr:to>
          <xdr:col>6</xdr:col>
          <xdr:colOff>330200</xdr:colOff>
          <xdr:row>78</xdr:row>
          <xdr:rowOff>254000</xdr:rowOff>
        </xdr:to>
        <xdr:sp macro="" textlink="">
          <xdr:nvSpPr>
            <xdr:cNvPr id="53540" name="Option Button_18" hidden="1">
              <a:extLst>
                <a:ext uri="{63B3BB69-23CF-44E3-9099-C40C66FF867C}">
                  <a14:compatExt spid="_x0000_s53540"/>
                </a:ext>
                <a:ext uri="{FF2B5EF4-FFF2-40B4-BE49-F238E27FC236}">
                  <a16:creationId xmlns:a16="http://schemas.microsoft.com/office/drawing/2014/main" id="{00000000-0008-0000-0400-000024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78</xdr:row>
          <xdr:rowOff>0</xdr:rowOff>
        </xdr:from>
        <xdr:to>
          <xdr:col>5</xdr:col>
          <xdr:colOff>1263650</xdr:colOff>
          <xdr:row>78</xdr:row>
          <xdr:rowOff>254000</xdr:rowOff>
        </xdr:to>
        <xdr:sp macro="" textlink="">
          <xdr:nvSpPr>
            <xdr:cNvPr id="53539" name="Option Button_17" hidden="1">
              <a:extLst>
                <a:ext uri="{63B3BB69-23CF-44E3-9099-C40C66FF867C}">
                  <a14:compatExt spid="_x0000_s53539"/>
                </a:ext>
                <a:ext uri="{FF2B5EF4-FFF2-40B4-BE49-F238E27FC236}">
                  <a16:creationId xmlns:a16="http://schemas.microsoft.com/office/drawing/2014/main" id="{00000000-0008-0000-0400-000023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63</xdr:row>
          <xdr:rowOff>0</xdr:rowOff>
        </xdr:from>
        <xdr:to>
          <xdr:col>6</xdr:col>
          <xdr:colOff>330200</xdr:colOff>
          <xdr:row>63</xdr:row>
          <xdr:rowOff>254000</xdr:rowOff>
        </xdr:to>
        <xdr:sp macro="" textlink="">
          <xdr:nvSpPr>
            <xdr:cNvPr id="140734" name="Option Button_16" hidden="1">
              <a:extLst>
                <a:ext uri="{63B3BB69-23CF-44E3-9099-C40C66FF867C}">
                  <a14:compatExt spid="_x0000_s140734"/>
                </a:ext>
                <a:ext uri="{FF2B5EF4-FFF2-40B4-BE49-F238E27FC236}">
                  <a16:creationId xmlns:a16="http://schemas.microsoft.com/office/drawing/2014/main" id="{00000000-0008-0000-0400-0000BE2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63</xdr:row>
          <xdr:rowOff>0</xdr:rowOff>
        </xdr:from>
        <xdr:to>
          <xdr:col>5</xdr:col>
          <xdr:colOff>1263650</xdr:colOff>
          <xdr:row>63</xdr:row>
          <xdr:rowOff>254000</xdr:rowOff>
        </xdr:to>
        <xdr:sp macro="" textlink="">
          <xdr:nvSpPr>
            <xdr:cNvPr id="53536" name="Option Button_15" hidden="1">
              <a:extLst>
                <a:ext uri="{63B3BB69-23CF-44E3-9099-C40C66FF867C}">
                  <a14:compatExt spid="_x0000_s53536"/>
                </a:ext>
                <a:ext uri="{FF2B5EF4-FFF2-40B4-BE49-F238E27FC236}">
                  <a16:creationId xmlns:a16="http://schemas.microsoft.com/office/drawing/2014/main" id="{00000000-0008-0000-0400-000020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11</xdr:row>
          <xdr:rowOff>0</xdr:rowOff>
        </xdr:from>
        <xdr:to>
          <xdr:col>6</xdr:col>
          <xdr:colOff>330200</xdr:colOff>
          <xdr:row>11</xdr:row>
          <xdr:rowOff>254000</xdr:rowOff>
        </xdr:to>
        <xdr:sp macro="" textlink="">
          <xdr:nvSpPr>
            <xdr:cNvPr id="53528" name="Option Button_10" hidden="1">
              <a:extLst>
                <a:ext uri="{63B3BB69-23CF-44E3-9099-C40C66FF867C}">
                  <a14:compatExt spid="_x0000_s53528"/>
                </a:ext>
                <a:ext uri="{FF2B5EF4-FFF2-40B4-BE49-F238E27FC236}">
                  <a16:creationId xmlns:a16="http://schemas.microsoft.com/office/drawing/2014/main" id="{00000000-0008-0000-0400-000018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11</xdr:row>
          <xdr:rowOff>0</xdr:rowOff>
        </xdr:from>
        <xdr:to>
          <xdr:col>5</xdr:col>
          <xdr:colOff>1263650</xdr:colOff>
          <xdr:row>11</xdr:row>
          <xdr:rowOff>254000</xdr:rowOff>
        </xdr:to>
        <xdr:sp macro="" textlink="">
          <xdr:nvSpPr>
            <xdr:cNvPr id="53527" name="Option Button_09" hidden="1">
              <a:extLst>
                <a:ext uri="{63B3BB69-23CF-44E3-9099-C40C66FF867C}">
                  <a14:compatExt spid="_x0000_s53527"/>
                </a:ext>
                <a:ext uri="{FF2B5EF4-FFF2-40B4-BE49-F238E27FC236}">
                  <a16:creationId xmlns:a16="http://schemas.microsoft.com/office/drawing/2014/main" id="{00000000-0008-0000-0400-000017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30</xdr:row>
          <xdr:rowOff>196850</xdr:rowOff>
        </xdr:from>
        <xdr:to>
          <xdr:col>6</xdr:col>
          <xdr:colOff>330200</xdr:colOff>
          <xdr:row>31</xdr:row>
          <xdr:rowOff>222250</xdr:rowOff>
        </xdr:to>
        <xdr:sp macro="" textlink="">
          <xdr:nvSpPr>
            <xdr:cNvPr id="53506" name="Option Button_06" hidden="1">
              <a:extLst>
                <a:ext uri="{63B3BB69-23CF-44E3-9099-C40C66FF867C}">
                  <a14:compatExt spid="_x0000_s53506"/>
                </a:ext>
                <a:ext uri="{FF2B5EF4-FFF2-40B4-BE49-F238E27FC236}">
                  <a16:creationId xmlns:a16="http://schemas.microsoft.com/office/drawing/2014/main" id="{00000000-0008-0000-0400-000002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30</xdr:row>
          <xdr:rowOff>196850</xdr:rowOff>
        </xdr:from>
        <xdr:to>
          <xdr:col>5</xdr:col>
          <xdr:colOff>1263650</xdr:colOff>
          <xdr:row>31</xdr:row>
          <xdr:rowOff>222250</xdr:rowOff>
        </xdr:to>
        <xdr:sp macro="" textlink="">
          <xdr:nvSpPr>
            <xdr:cNvPr id="53505" name="Option Button_05" hidden="1">
              <a:extLst>
                <a:ext uri="{63B3BB69-23CF-44E3-9099-C40C66FF867C}">
                  <a14:compatExt spid="_x0000_s53505"/>
                </a:ext>
                <a:ext uri="{FF2B5EF4-FFF2-40B4-BE49-F238E27FC236}">
                  <a16:creationId xmlns:a16="http://schemas.microsoft.com/office/drawing/2014/main" id="{00000000-0008-0000-0400-000001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50</xdr:row>
          <xdr:rowOff>0</xdr:rowOff>
        </xdr:from>
        <xdr:to>
          <xdr:col>6</xdr:col>
          <xdr:colOff>330200</xdr:colOff>
          <xdr:row>50</xdr:row>
          <xdr:rowOff>254000</xdr:rowOff>
        </xdr:to>
        <xdr:sp macro="" textlink="">
          <xdr:nvSpPr>
            <xdr:cNvPr id="53503" name="Option Button_04" hidden="1">
              <a:extLst>
                <a:ext uri="{63B3BB69-23CF-44E3-9099-C40C66FF867C}">
                  <a14:compatExt spid="_x0000_s53503"/>
                </a:ext>
                <a:ext uri="{FF2B5EF4-FFF2-40B4-BE49-F238E27FC236}">
                  <a16:creationId xmlns:a16="http://schemas.microsoft.com/office/drawing/2014/main" id="{00000000-0008-0000-0400-0000F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50</xdr:row>
          <xdr:rowOff>0</xdr:rowOff>
        </xdr:from>
        <xdr:to>
          <xdr:col>5</xdr:col>
          <xdr:colOff>1263650</xdr:colOff>
          <xdr:row>50</xdr:row>
          <xdr:rowOff>254000</xdr:rowOff>
        </xdr:to>
        <xdr:sp macro="" textlink="">
          <xdr:nvSpPr>
            <xdr:cNvPr id="53502" name="Option Button_03" hidden="1">
              <a:extLst>
                <a:ext uri="{63B3BB69-23CF-44E3-9099-C40C66FF867C}">
                  <a14:compatExt spid="_x0000_s53502"/>
                </a:ext>
                <a:ext uri="{FF2B5EF4-FFF2-40B4-BE49-F238E27FC236}">
                  <a16:creationId xmlns:a16="http://schemas.microsoft.com/office/drawing/2014/main" id="{00000000-0008-0000-0400-0000F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34</xdr:row>
          <xdr:rowOff>203200</xdr:rowOff>
        </xdr:from>
        <xdr:to>
          <xdr:col>6</xdr:col>
          <xdr:colOff>330200</xdr:colOff>
          <xdr:row>36</xdr:row>
          <xdr:rowOff>0</xdr:rowOff>
        </xdr:to>
        <xdr:sp macro="" textlink="">
          <xdr:nvSpPr>
            <xdr:cNvPr id="53500" name="Option Button_02" hidden="1">
              <a:extLst>
                <a:ext uri="{63B3BB69-23CF-44E3-9099-C40C66FF867C}">
                  <a14:compatExt spid="_x0000_s53500"/>
                </a:ext>
                <a:ext uri="{FF2B5EF4-FFF2-40B4-BE49-F238E27FC236}">
                  <a16:creationId xmlns:a16="http://schemas.microsoft.com/office/drawing/2014/main" id="{00000000-0008-0000-0400-0000F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34</xdr:row>
          <xdr:rowOff>203200</xdr:rowOff>
        </xdr:from>
        <xdr:to>
          <xdr:col>5</xdr:col>
          <xdr:colOff>1263650</xdr:colOff>
          <xdr:row>36</xdr:row>
          <xdr:rowOff>0</xdr:rowOff>
        </xdr:to>
        <xdr:sp macro="" textlink="">
          <xdr:nvSpPr>
            <xdr:cNvPr id="53499" name="Option Button_01" hidden="1">
              <a:extLst>
                <a:ext uri="{63B3BB69-23CF-44E3-9099-C40C66FF867C}">
                  <a14:compatExt spid="_x0000_s53499"/>
                </a:ext>
                <a:ext uri="{FF2B5EF4-FFF2-40B4-BE49-F238E27FC236}">
                  <a16:creationId xmlns:a16="http://schemas.microsoft.com/office/drawing/2014/main" id="{00000000-0008-0000-0400-0000F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77</xdr:row>
          <xdr:rowOff>120650</xdr:rowOff>
        </xdr:from>
        <xdr:to>
          <xdr:col>8</xdr:col>
          <xdr:colOff>228600</xdr:colOff>
          <xdr:row>80</xdr:row>
          <xdr:rowOff>165100</xdr:rowOff>
        </xdr:to>
        <xdr:sp macro="" textlink="">
          <xdr:nvSpPr>
            <xdr:cNvPr id="53538" name="Group Box_9" hidden="1">
              <a:extLst>
                <a:ext uri="{63B3BB69-23CF-44E3-9099-C40C66FF867C}">
                  <a14:compatExt spid="_x0000_s53538"/>
                </a:ext>
                <a:ext uri="{FF2B5EF4-FFF2-40B4-BE49-F238E27FC236}">
                  <a16:creationId xmlns:a16="http://schemas.microsoft.com/office/drawing/2014/main" id="{00000000-0008-0000-0400-000022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62</xdr:row>
          <xdr:rowOff>114300</xdr:rowOff>
        </xdr:from>
        <xdr:to>
          <xdr:col>8</xdr:col>
          <xdr:colOff>228600</xdr:colOff>
          <xdr:row>65</xdr:row>
          <xdr:rowOff>158750</xdr:rowOff>
        </xdr:to>
        <xdr:sp macro="" textlink="">
          <xdr:nvSpPr>
            <xdr:cNvPr id="53535" name="Group Box_8" hidden="1">
              <a:extLst>
                <a:ext uri="{63B3BB69-23CF-44E3-9099-C40C66FF867C}">
                  <a14:compatExt spid="_x0000_s53535"/>
                </a:ext>
                <a:ext uri="{FF2B5EF4-FFF2-40B4-BE49-F238E27FC236}">
                  <a16:creationId xmlns:a16="http://schemas.microsoft.com/office/drawing/2014/main" id="{00000000-0008-0000-0400-00001F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10</xdr:row>
          <xdr:rowOff>127000</xdr:rowOff>
        </xdr:from>
        <xdr:to>
          <xdr:col>7</xdr:col>
          <xdr:colOff>298450</xdr:colOff>
          <xdr:row>13</xdr:row>
          <xdr:rowOff>184150</xdr:rowOff>
        </xdr:to>
        <xdr:sp macro="" textlink="">
          <xdr:nvSpPr>
            <xdr:cNvPr id="53526" name="Group Box_5" hidden="1">
              <a:extLst>
                <a:ext uri="{63B3BB69-23CF-44E3-9099-C40C66FF867C}">
                  <a14:compatExt spid="_x0000_s53526"/>
                </a:ext>
                <a:ext uri="{FF2B5EF4-FFF2-40B4-BE49-F238E27FC236}">
                  <a16:creationId xmlns:a16="http://schemas.microsoft.com/office/drawing/2014/main" id="{00000000-0008-0000-0400-000016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444500</xdr:colOff>
          <xdr:row>30</xdr:row>
          <xdr:rowOff>139700</xdr:rowOff>
        </xdr:from>
        <xdr:to>
          <xdr:col>8</xdr:col>
          <xdr:colOff>222250</xdr:colOff>
          <xdr:row>34</xdr:row>
          <xdr:rowOff>12700</xdr:rowOff>
        </xdr:to>
        <xdr:sp macro="" textlink="">
          <xdr:nvSpPr>
            <xdr:cNvPr id="53504" name="Group Box_3" hidden="1">
              <a:extLst>
                <a:ext uri="{63B3BB69-23CF-44E3-9099-C40C66FF867C}">
                  <a14:compatExt spid="_x0000_s53504"/>
                </a:ext>
                <a:ext uri="{FF2B5EF4-FFF2-40B4-BE49-F238E27FC236}">
                  <a16:creationId xmlns:a16="http://schemas.microsoft.com/office/drawing/2014/main" id="{00000000-0008-0000-0400-000000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49</xdr:row>
          <xdr:rowOff>76200</xdr:rowOff>
        </xdr:from>
        <xdr:to>
          <xdr:col>8</xdr:col>
          <xdr:colOff>228600</xdr:colOff>
          <xdr:row>52</xdr:row>
          <xdr:rowOff>120650</xdr:rowOff>
        </xdr:to>
        <xdr:sp macro="" textlink="">
          <xdr:nvSpPr>
            <xdr:cNvPr id="53501" name="Group Box_2" hidden="1">
              <a:extLst>
                <a:ext uri="{63B3BB69-23CF-44E3-9099-C40C66FF867C}">
                  <a14:compatExt spid="_x0000_s53501"/>
                </a:ext>
                <a:ext uri="{FF2B5EF4-FFF2-40B4-BE49-F238E27FC236}">
                  <a16:creationId xmlns:a16="http://schemas.microsoft.com/office/drawing/2014/main" id="{00000000-0008-0000-0400-0000FDD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34</xdr:row>
          <xdr:rowOff>139700</xdr:rowOff>
        </xdr:from>
        <xdr:to>
          <xdr:col>8</xdr:col>
          <xdr:colOff>228600</xdr:colOff>
          <xdr:row>38</xdr:row>
          <xdr:rowOff>6350</xdr:rowOff>
        </xdr:to>
        <xdr:sp macro="" textlink="">
          <xdr:nvSpPr>
            <xdr:cNvPr id="53498" name="Group Box_1" hidden="1">
              <a:extLst>
                <a:ext uri="{63B3BB69-23CF-44E3-9099-C40C66FF867C}">
                  <a14:compatExt spid="_x0000_s53498"/>
                </a:ext>
                <a:ext uri="{FF2B5EF4-FFF2-40B4-BE49-F238E27FC236}">
                  <a16:creationId xmlns:a16="http://schemas.microsoft.com/office/drawing/2014/main" id="{00000000-0008-0000-0400-0000FAD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119743</xdr:colOff>
          <xdr:row>255</xdr:row>
          <xdr:rowOff>560872</xdr:rowOff>
        </xdr:from>
        <xdr:to>
          <xdr:col>41</xdr:col>
          <xdr:colOff>384721</xdr:colOff>
          <xdr:row>259</xdr:row>
          <xdr:rowOff>750946</xdr:rowOff>
        </xdr:to>
        <xdr:pic>
          <xdr:nvPicPr>
            <xdr:cNvPr id="12" name="図 11">
              <a:extLst>
                <a:ext uri="{FF2B5EF4-FFF2-40B4-BE49-F238E27FC236}">
                  <a16:creationId xmlns:a16="http://schemas.microsoft.com/office/drawing/2014/main" id="{EC6D44C4-78BA-404E-8590-D9326C6F421D}"/>
                </a:ext>
              </a:extLst>
            </xdr:cNvPr>
            <xdr:cNvPicPr>
              <a:picLocks noChangeAspect="1" noChangeArrowheads="1"/>
              <a:extLst>
                <a:ext uri="{84589F7E-364E-4C9E-8A38-B11213B215E9}">
                  <a14:cameraTool cellRange="対策リスト!$J$84:$J$97" spid="_x0000_s504903"/>
                </a:ext>
              </a:extLst>
            </xdr:cNvPicPr>
          </xdr:nvPicPr>
          <xdr:blipFill>
            <a:blip xmlns:r="http://schemas.openxmlformats.org/officeDocument/2006/relationships" r:embed="rId20"/>
            <a:srcRect/>
            <a:stretch>
              <a:fillRect/>
            </a:stretch>
          </xdr:blipFill>
          <xdr:spPr bwMode="auto">
            <a:xfrm>
              <a:off x="12496800" y="95897958"/>
              <a:ext cx="3487150" cy="314010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12</xdr:col>
      <xdr:colOff>61995</xdr:colOff>
      <xdr:row>252</xdr:row>
      <xdr:rowOff>443021</xdr:rowOff>
    </xdr:from>
    <xdr:to>
      <xdr:col>13</xdr:col>
      <xdr:colOff>409693</xdr:colOff>
      <xdr:row>252</xdr:row>
      <xdr:rowOff>1055022</xdr:rowOff>
    </xdr:to>
    <xdr:sp macro="" textlink="">
      <xdr:nvSpPr>
        <xdr:cNvPr id="2" name="角丸四角形 3">
          <a:hlinkClick xmlns:r="http://schemas.openxmlformats.org/officeDocument/2006/relationships" r:id="rId1"/>
          <a:extLst>
            <a:ext uri="{FF2B5EF4-FFF2-40B4-BE49-F238E27FC236}">
              <a16:creationId xmlns:a16="http://schemas.microsoft.com/office/drawing/2014/main" id="{EBF93A5C-D06F-A2AC-6A43-5DFB136E1A16}"/>
            </a:ext>
          </a:extLst>
        </xdr:cNvPr>
        <xdr:cNvSpPr/>
      </xdr:nvSpPr>
      <xdr:spPr>
        <a:xfrm>
          <a:off x="6066555" y="95708261"/>
          <a:ext cx="1223998" cy="612001"/>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15</xdr:col>
      <xdr:colOff>602669</xdr:colOff>
      <xdr:row>257</xdr:row>
      <xdr:rowOff>115027</xdr:rowOff>
    </xdr:from>
    <xdr:to>
      <xdr:col>17</xdr:col>
      <xdr:colOff>351108</xdr:colOff>
      <xdr:row>257</xdr:row>
      <xdr:rowOff>739800</xdr:rowOff>
    </xdr:to>
    <xdr:sp macro="" textlink="">
      <xdr:nvSpPr>
        <xdr:cNvPr id="9" name="角丸四角形 6">
          <a:hlinkClick xmlns:r="http://schemas.openxmlformats.org/officeDocument/2006/relationships" r:id="rId21"/>
          <a:extLst>
            <a:ext uri="{FF2B5EF4-FFF2-40B4-BE49-F238E27FC236}">
              <a16:creationId xmlns:a16="http://schemas.microsoft.com/office/drawing/2014/main" id="{FE9217B6-A051-CF0E-0940-C4CC8D689BAB}"/>
            </a:ext>
          </a:extLst>
        </xdr:cNvPr>
        <xdr:cNvSpPr/>
      </xdr:nvSpPr>
      <xdr:spPr>
        <a:xfrm>
          <a:off x="9236129" y="123406627"/>
          <a:ext cx="1501038" cy="624773"/>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89645</xdr:colOff>
          <xdr:row>42</xdr:row>
          <xdr:rowOff>7620</xdr:rowOff>
        </xdr:from>
        <xdr:to>
          <xdr:col>17</xdr:col>
          <xdr:colOff>704622</xdr:colOff>
          <xdr:row>48</xdr:row>
          <xdr:rowOff>1882140</xdr:rowOff>
        </xdr:to>
        <xdr:pic>
          <xdr:nvPicPr>
            <xdr:cNvPr id="4" name="図 3">
              <a:extLst>
                <a:ext uri="{FF2B5EF4-FFF2-40B4-BE49-F238E27FC236}">
                  <a16:creationId xmlns:a16="http://schemas.microsoft.com/office/drawing/2014/main" id="{6A9AD9FE-A6CB-AB66-144B-6B1DBEA235EA}"/>
                </a:ext>
              </a:extLst>
            </xdr:cNvPr>
            <xdr:cNvPicPr>
              <a:picLocks noChangeAspect="1" noChangeArrowheads="1"/>
              <a:extLst>
                <a:ext uri="{84589F7E-364E-4C9E-8A38-B11213B215E9}">
                  <a14:cameraTool cellRange="検索ツール画像2" spid="_x0000_s504904"/>
                </a:ext>
              </a:extLst>
            </xdr:cNvPicPr>
          </xdr:nvPicPr>
          <xdr:blipFill>
            <a:blip xmlns:r="http://schemas.openxmlformats.org/officeDocument/2006/relationships" r:embed="rId22"/>
            <a:srcRect/>
            <a:stretch>
              <a:fillRect/>
            </a:stretch>
          </xdr:blipFill>
          <xdr:spPr bwMode="auto">
            <a:xfrm>
              <a:off x="4608305" y="8610600"/>
              <a:ext cx="5903257" cy="3436620"/>
            </a:xfrm>
            <a:prstGeom prst="rect">
              <a:avLst/>
            </a:prstGeom>
            <a:noFill/>
            <a:ln w="9525">
              <a:noFill/>
              <a:miter lim="800000"/>
              <a:headEnd/>
              <a:tailEnd/>
            </a:ln>
          </xdr:spPr>
        </xdr:pic>
        <xdr:clientData/>
      </xdr:twoCellAnchor>
    </mc:Choice>
    <mc:Fallback/>
  </mc:AlternateContent>
  <xdr:twoCellAnchor editAs="oneCell">
    <xdr:from>
      <xdr:col>10</xdr:col>
      <xdr:colOff>0</xdr:colOff>
      <xdr:row>94</xdr:row>
      <xdr:rowOff>83820</xdr:rowOff>
    </xdr:from>
    <xdr:to>
      <xdr:col>12</xdr:col>
      <xdr:colOff>784500</xdr:colOff>
      <xdr:row>94</xdr:row>
      <xdr:rowOff>424380</xdr:rowOff>
    </xdr:to>
    <xdr:sp macro="" textlink="">
      <xdr:nvSpPr>
        <xdr:cNvPr id="6" name="四角形: 角を丸くする 5">
          <a:hlinkClick xmlns:r="http://schemas.openxmlformats.org/officeDocument/2006/relationships" r:id="rId23"/>
          <a:extLst>
            <a:ext uri="{FF2B5EF4-FFF2-40B4-BE49-F238E27FC236}">
              <a16:creationId xmlns:a16="http://schemas.microsoft.com/office/drawing/2014/main" id="{DA0A84D2-34CB-4BE3-BDE2-4CB78C6F6ED0}"/>
            </a:ext>
          </a:extLst>
        </xdr:cNvPr>
        <xdr:cNvSpPr/>
      </xdr:nvSpPr>
      <xdr:spPr>
        <a:xfrm>
          <a:off x="4556760" y="23187660"/>
          <a:ext cx="1691280" cy="34056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xdr:twoCellAnchor editAs="oneCell">
    <xdr:from>
      <xdr:col>6</xdr:col>
      <xdr:colOff>349630</xdr:colOff>
      <xdr:row>244</xdr:row>
      <xdr:rowOff>53789</xdr:rowOff>
    </xdr:from>
    <xdr:to>
      <xdr:col>12</xdr:col>
      <xdr:colOff>542372</xdr:colOff>
      <xdr:row>245</xdr:row>
      <xdr:rowOff>224117</xdr:rowOff>
    </xdr:to>
    <xdr:sp macro="" textlink="">
      <xdr:nvSpPr>
        <xdr:cNvPr id="10" name="四角形: 角を丸くする 9">
          <a:hlinkClick xmlns:r="http://schemas.openxmlformats.org/officeDocument/2006/relationships" r:id="rId24"/>
          <a:extLst>
            <a:ext uri="{FF2B5EF4-FFF2-40B4-BE49-F238E27FC236}">
              <a16:creationId xmlns:a16="http://schemas.microsoft.com/office/drawing/2014/main" id="{91E91815-4FC6-4F1F-9E89-FBDAF751CDA4}"/>
            </a:ext>
          </a:extLst>
        </xdr:cNvPr>
        <xdr:cNvSpPr/>
      </xdr:nvSpPr>
      <xdr:spPr>
        <a:xfrm>
          <a:off x="3558995" y="119696754"/>
          <a:ext cx="2877670" cy="376516"/>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PrintsWithSheet="0"/>
  </xdr:twoCellAnchor>
  <xdr:twoCellAnchor editAs="oneCell">
    <xdr:from>
      <xdr:col>14</xdr:col>
      <xdr:colOff>218995</xdr:colOff>
      <xdr:row>255</xdr:row>
      <xdr:rowOff>205740</xdr:rowOff>
    </xdr:from>
    <xdr:to>
      <xdr:col>17</xdr:col>
      <xdr:colOff>461043</xdr:colOff>
      <xdr:row>255</xdr:row>
      <xdr:rowOff>582257</xdr:rowOff>
    </xdr:to>
    <xdr:sp macro="" textlink="">
      <xdr:nvSpPr>
        <xdr:cNvPr id="15" name="四角形: 角を丸くする 14">
          <a:hlinkClick xmlns:r="http://schemas.openxmlformats.org/officeDocument/2006/relationships" r:id="rId25"/>
          <a:extLst>
            <a:ext uri="{FF2B5EF4-FFF2-40B4-BE49-F238E27FC236}">
              <a16:creationId xmlns:a16="http://schemas.microsoft.com/office/drawing/2014/main" id="{436C8CFC-385E-4ABE-B921-B0C87E11AC82}"/>
            </a:ext>
          </a:extLst>
        </xdr:cNvPr>
        <xdr:cNvSpPr/>
      </xdr:nvSpPr>
      <xdr:spPr>
        <a:xfrm>
          <a:off x="7435135" y="95051880"/>
          <a:ext cx="2870948"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PrintsWithSheet="0"/>
  </xdr:twoCellAnchor>
  <xdr:twoCellAnchor editAs="oneCell">
    <xdr:from>
      <xdr:col>15</xdr:col>
      <xdr:colOff>602669</xdr:colOff>
      <xdr:row>261</xdr:row>
      <xdr:rowOff>236947</xdr:rowOff>
    </xdr:from>
    <xdr:to>
      <xdr:col>17</xdr:col>
      <xdr:colOff>351108</xdr:colOff>
      <xdr:row>261</xdr:row>
      <xdr:rowOff>861720</xdr:rowOff>
    </xdr:to>
    <xdr:sp macro="" textlink="">
      <xdr:nvSpPr>
        <xdr:cNvPr id="16" name="角丸四角形 6">
          <a:hlinkClick xmlns:r="http://schemas.openxmlformats.org/officeDocument/2006/relationships" r:id="rId21"/>
          <a:extLst>
            <a:ext uri="{FF2B5EF4-FFF2-40B4-BE49-F238E27FC236}">
              <a16:creationId xmlns:a16="http://schemas.microsoft.com/office/drawing/2014/main" id="{6BB31222-6DEE-4128-BF25-5A2B7E594C92}"/>
            </a:ext>
          </a:extLst>
        </xdr:cNvPr>
        <xdr:cNvSpPr/>
      </xdr:nvSpPr>
      <xdr:spPr>
        <a:xfrm>
          <a:off x="9236129" y="127582387"/>
          <a:ext cx="1501038" cy="624773"/>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35</xdr:col>
          <xdr:colOff>68580</xdr:colOff>
          <xdr:row>244</xdr:row>
          <xdr:rowOff>30480</xdr:rowOff>
        </xdr:from>
        <xdr:to>
          <xdr:col>44</xdr:col>
          <xdr:colOff>358140</xdr:colOff>
          <xdr:row>249</xdr:row>
          <xdr:rowOff>53339</xdr:rowOff>
        </xdr:to>
        <xdr:pic>
          <xdr:nvPicPr>
            <xdr:cNvPr id="11" name="図 10">
              <a:extLst>
                <a:ext uri="{FF2B5EF4-FFF2-40B4-BE49-F238E27FC236}">
                  <a16:creationId xmlns:a16="http://schemas.microsoft.com/office/drawing/2014/main" id="{E77973DF-6BAC-4B8B-A788-F4F13D8AC273}"/>
                </a:ext>
              </a:extLst>
            </xdr:cNvPr>
            <xdr:cNvPicPr>
              <a:picLocks noChangeAspect="1" noChangeArrowheads="1"/>
              <a:extLst>
                <a:ext uri="{84589F7E-364E-4C9E-8A38-B11213B215E9}">
                  <a14:cameraTool cellRange="対策リスト!$F$50:$G$59" spid="_x0000_s504905"/>
                </a:ext>
              </a:extLst>
            </xdr:cNvPicPr>
          </xdr:nvPicPr>
          <xdr:blipFill>
            <a:blip xmlns:r="http://schemas.openxmlformats.org/officeDocument/2006/relationships" r:embed="rId26"/>
            <a:srcRect/>
            <a:stretch>
              <a:fillRect/>
            </a:stretch>
          </xdr:blipFill>
          <xdr:spPr bwMode="auto">
            <a:xfrm>
              <a:off x="12329160" y="84818220"/>
              <a:ext cx="5334000" cy="464819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35</xdr:col>
      <xdr:colOff>137160</xdr:colOff>
      <xdr:row>94</xdr:row>
      <xdr:rowOff>261851</xdr:rowOff>
    </xdr:from>
    <xdr:to>
      <xdr:col>46</xdr:col>
      <xdr:colOff>319634</xdr:colOff>
      <xdr:row>120</xdr:row>
      <xdr:rowOff>158287</xdr:rowOff>
    </xdr:to>
    <xdr:pic>
      <xdr:nvPicPr>
        <xdr:cNvPr id="13" name="図 12">
          <a:extLst>
            <a:ext uri="{FF2B5EF4-FFF2-40B4-BE49-F238E27FC236}">
              <a16:creationId xmlns:a16="http://schemas.microsoft.com/office/drawing/2014/main" id="{1A67E768-0C66-4A91-B630-6EDB772EB0FD}"/>
            </a:ext>
          </a:extLst>
        </xdr:cNvPr>
        <xdr:cNvPicPr>
          <a:picLocks noChangeAspect="1"/>
        </xdr:cNvPicPr>
      </xdr:nvPicPr>
      <xdr:blipFill>
        <a:blip xmlns:r="http://schemas.openxmlformats.org/officeDocument/2006/relationships" r:embed="rId27"/>
        <a:stretch>
          <a:fillRect/>
        </a:stretch>
      </xdr:blipFill>
      <xdr:spPr>
        <a:xfrm>
          <a:off x="12397740" y="23365691"/>
          <a:ext cx="6446114" cy="4262696"/>
        </a:xfrm>
        <a:prstGeom prst="rect">
          <a:avLst/>
        </a:prstGeom>
        <a:ln w="4445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58672</xdr:colOff>
      <xdr:row>245</xdr:row>
      <xdr:rowOff>419071</xdr:rowOff>
    </xdr:from>
    <xdr:to>
      <xdr:col>13</xdr:col>
      <xdr:colOff>412719</xdr:colOff>
      <xdr:row>245</xdr:row>
      <xdr:rowOff>1037515</xdr:rowOff>
    </xdr:to>
    <xdr:sp macro="" textlink="">
      <xdr:nvSpPr>
        <xdr:cNvPr id="4" name="角丸四角形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876766" y="121424671"/>
          <a:ext cx="1226240" cy="618444"/>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17</xdr:col>
      <xdr:colOff>127933</xdr:colOff>
      <xdr:row>215</xdr:row>
      <xdr:rowOff>102084</xdr:rowOff>
    </xdr:from>
    <xdr:to>
      <xdr:col>19</xdr:col>
      <xdr:colOff>607333</xdr:colOff>
      <xdr:row>219</xdr:row>
      <xdr:rowOff>47774</xdr:rowOff>
    </xdr:to>
    <xdr:sp macro="" textlink="">
      <xdr:nvSpPr>
        <xdr:cNvPr id="5" name="角丸四角形 2">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9896773" y="66022704"/>
          <a:ext cx="2232000" cy="648000"/>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16</xdr:col>
      <xdr:colOff>700509</xdr:colOff>
      <xdr:row>196</xdr:row>
      <xdr:rowOff>241262</xdr:rowOff>
    </xdr:from>
    <xdr:to>
      <xdr:col>18</xdr:col>
      <xdr:colOff>868931</xdr:colOff>
      <xdr:row>199</xdr:row>
      <xdr:rowOff>88853</xdr:rowOff>
    </xdr:to>
    <xdr:sp macro="" textlink="">
      <xdr:nvSpPr>
        <xdr:cNvPr id="3" name="角丸四角形 1">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9669249" y="55554842"/>
          <a:ext cx="1921022" cy="670551"/>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35</xdr:col>
      <xdr:colOff>30480</xdr:colOff>
      <xdr:row>0</xdr:row>
      <xdr:rowOff>36032</xdr:rowOff>
    </xdr:from>
    <xdr:to>
      <xdr:col>37</xdr:col>
      <xdr:colOff>142953</xdr:colOff>
      <xdr:row>0</xdr:row>
      <xdr:rowOff>485485</xdr:rowOff>
    </xdr:to>
    <xdr:sp macro="" textlink="">
      <xdr:nvSpPr>
        <xdr:cNvPr id="12" name="Rounded Rectangle 61">
          <a:hlinkClick xmlns:r="http://schemas.openxmlformats.org/officeDocument/2006/relationships" r:id="rId4"/>
          <a:extLst>
            <a:ext uri="{FF2B5EF4-FFF2-40B4-BE49-F238E27FC236}">
              <a16:creationId xmlns:a16="http://schemas.microsoft.com/office/drawing/2014/main" id="{00000000-0008-0000-0900-00000C000000}"/>
            </a:ext>
          </a:extLst>
        </xdr:cNvPr>
        <xdr:cNvSpPr/>
      </xdr:nvSpPr>
      <xdr:spPr>
        <a:xfrm>
          <a:off x="12291060" y="36032"/>
          <a:ext cx="1331673" cy="45580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15</xdr:col>
      <xdr:colOff>477828</xdr:colOff>
      <xdr:row>1</xdr:row>
      <xdr:rowOff>79502</xdr:rowOff>
    </xdr:from>
    <xdr:to>
      <xdr:col>16</xdr:col>
      <xdr:colOff>168528</xdr:colOff>
      <xdr:row>1</xdr:row>
      <xdr:rowOff>332222</xdr:rowOff>
    </xdr:to>
    <xdr:sp macro="" textlink="">
      <xdr:nvSpPr>
        <xdr:cNvPr id="54347" name="Rounded Rectangle 15">
          <a:hlinkClick xmlns:r="http://schemas.openxmlformats.org/officeDocument/2006/relationships" r:id="rId5"/>
          <a:extLst>
            <a:ext uri="{FF2B5EF4-FFF2-40B4-BE49-F238E27FC236}">
              <a16:creationId xmlns:a16="http://schemas.microsoft.com/office/drawing/2014/main" id="{00000000-0008-0000-0900-00004BD40000}"/>
            </a:ext>
          </a:extLst>
        </xdr:cNvPr>
        <xdr:cNvSpPr/>
      </xdr:nvSpPr>
      <xdr:spPr>
        <a:xfrm>
          <a:off x="8494068"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9-1</a:t>
          </a:r>
        </a:p>
      </xdr:txBody>
    </xdr:sp>
    <xdr:clientData/>
  </xdr:twoCellAnchor>
  <xdr:twoCellAnchor editAs="oneCell">
    <xdr:from>
      <xdr:col>14</xdr:col>
      <xdr:colOff>610960</xdr:colOff>
      <xdr:row>1</xdr:row>
      <xdr:rowOff>79502</xdr:rowOff>
    </xdr:from>
    <xdr:to>
      <xdr:col>15</xdr:col>
      <xdr:colOff>301660</xdr:colOff>
      <xdr:row>1</xdr:row>
      <xdr:rowOff>332222</xdr:rowOff>
    </xdr:to>
    <xdr:sp macro="" textlink="">
      <xdr:nvSpPr>
        <xdr:cNvPr id="54346" name="Rounded Rectangle 14">
          <a:hlinkClick xmlns:r="http://schemas.openxmlformats.org/officeDocument/2006/relationships" r:id="rId6"/>
          <a:extLst>
            <a:ext uri="{FF2B5EF4-FFF2-40B4-BE49-F238E27FC236}">
              <a16:creationId xmlns:a16="http://schemas.microsoft.com/office/drawing/2014/main" id="{00000000-0008-0000-0900-00004AD40000}"/>
            </a:ext>
          </a:extLst>
        </xdr:cNvPr>
        <xdr:cNvSpPr/>
      </xdr:nvSpPr>
      <xdr:spPr>
        <a:xfrm>
          <a:off x="7750900"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827704</xdr:colOff>
      <xdr:row>1</xdr:row>
      <xdr:rowOff>79502</xdr:rowOff>
    </xdr:from>
    <xdr:to>
      <xdr:col>14</xdr:col>
      <xdr:colOff>524754</xdr:colOff>
      <xdr:row>1</xdr:row>
      <xdr:rowOff>332222</xdr:rowOff>
    </xdr:to>
    <xdr:sp macro="" textlink="">
      <xdr:nvSpPr>
        <xdr:cNvPr id="54345" name="Rounded Rectangle 13">
          <a:hlinkClick xmlns:r="http://schemas.openxmlformats.org/officeDocument/2006/relationships" r:id="rId7"/>
          <a:extLst>
            <a:ext uri="{FF2B5EF4-FFF2-40B4-BE49-F238E27FC236}">
              <a16:creationId xmlns:a16="http://schemas.microsoft.com/office/drawing/2014/main" id="{00000000-0008-0000-0900-000049D40000}"/>
            </a:ext>
          </a:extLst>
        </xdr:cNvPr>
        <xdr:cNvSpPr/>
      </xdr:nvSpPr>
      <xdr:spPr>
        <a:xfrm>
          <a:off x="7091344"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168201</xdr:colOff>
      <xdr:row>1</xdr:row>
      <xdr:rowOff>79502</xdr:rowOff>
    </xdr:from>
    <xdr:to>
      <xdr:col>13</xdr:col>
      <xdr:colOff>735201</xdr:colOff>
      <xdr:row>1</xdr:row>
      <xdr:rowOff>332222</xdr:rowOff>
    </xdr:to>
    <xdr:sp macro="" textlink="">
      <xdr:nvSpPr>
        <xdr:cNvPr id="54344" name="Rounded Rectangle 12">
          <a:hlinkClick xmlns:r="http://schemas.openxmlformats.org/officeDocument/2006/relationships" r:id="rId8"/>
          <a:extLst>
            <a:ext uri="{FF2B5EF4-FFF2-40B4-BE49-F238E27FC236}">
              <a16:creationId xmlns:a16="http://schemas.microsoft.com/office/drawing/2014/main" id="{00000000-0008-0000-0900-000048D40000}"/>
            </a:ext>
          </a:extLst>
        </xdr:cNvPr>
        <xdr:cNvSpPr/>
      </xdr:nvSpPr>
      <xdr:spPr>
        <a:xfrm>
          <a:off x="6431841"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12</xdr:col>
      <xdr:colOff>276189</xdr:colOff>
      <xdr:row>1</xdr:row>
      <xdr:rowOff>79502</xdr:rowOff>
    </xdr:from>
    <xdr:to>
      <xdr:col>12</xdr:col>
      <xdr:colOff>849539</xdr:colOff>
      <xdr:row>1</xdr:row>
      <xdr:rowOff>332222</xdr:rowOff>
    </xdr:to>
    <xdr:sp macro="" textlink="">
      <xdr:nvSpPr>
        <xdr:cNvPr id="54343" name="Rounded Rectangle 11">
          <a:hlinkClick xmlns:r="http://schemas.openxmlformats.org/officeDocument/2006/relationships" r:id="rId9"/>
          <a:extLst>
            <a:ext uri="{FF2B5EF4-FFF2-40B4-BE49-F238E27FC236}">
              <a16:creationId xmlns:a16="http://schemas.microsoft.com/office/drawing/2014/main" id="{00000000-0008-0000-0900-000047D40000}"/>
            </a:ext>
          </a:extLst>
        </xdr:cNvPr>
        <xdr:cNvSpPr/>
      </xdr:nvSpPr>
      <xdr:spPr>
        <a:xfrm>
          <a:off x="5663529"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10</xdr:col>
      <xdr:colOff>410338</xdr:colOff>
      <xdr:row>1</xdr:row>
      <xdr:rowOff>79502</xdr:rowOff>
    </xdr:from>
    <xdr:to>
      <xdr:col>12</xdr:col>
      <xdr:colOff>64208</xdr:colOff>
      <xdr:row>1</xdr:row>
      <xdr:rowOff>332222</xdr:rowOff>
    </xdr:to>
    <xdr:sp macro="" textlink="">
      <xdr:nvSpPr>
        <xdr:cNvPr id="54342" name="Rounded Rectangle 10">
          <a:hlinkClick xmlns:r="http://schemas.openxmlformats.org/officeDocument/2006/relationships" r:id="rId10"/>
          <a:extLst>
            <a:ext uri="{FF2B5EF4-FFF2-40B4-BE49-F238E27FC236}">
              <a16:creationId xmlns:a16="http://schemas.microsoft.com/office/drawing/2014/main" id="{00000000-0008-0000-0900-000046D40000}"/>
            </a:ext>
          </a:extLst>
        </xdr:cNvPr>
        <xdr:cNvSpPr/>
      </xdr:nvSpPr>
      <xdr:spPr>
        <a:xfrm>
          <a:off x="4928998"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535596</xdr:colOff>
      <xdr:row>1</xdr:row>
      <xdr:rowOff>79502</xdr:rowOff>
    </xdr:from>
    <xdr:to>
      <xdr:col>10</xdr:col>
      <xdr:colOff>202166</xdr:colOff>
      <xdr:row>1</xdr:row>
      <xdr:rowOff>332222</xdr:rowOff>
    </xdr:to>
    <xdr:sp macro="" textlink="">
      <xdr:nvSpPr>
        <xdr:cNvPr id="61" name="Rounded Rectangle 9">
          <a:hlinkClick xmlns:r="http://schemas.openxmlformats.org/officeDocument/2006/relationships" r:id="rId11"/>
          <a:extLst>
            <a:ext uri="{FF2B5EF4-FFF2-40B4-BE49-F238E27FC236}">
              <a16:creationId xmlns:a16="http://schemas.microsoft.com/office/drawing/2014/main" id="{00000000-0008-0000-0900-00003D000000}"/>
            </a:ext>
          </a:extLst>
        </xdr:cNvPr>
        <xdr:cNvSpPr/>
      </xdr:nvSpPr>
      <xdr:spPr>
        <a:xfrm>
          <a:off x="4185576"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7</xdr:col>
      <xdr:colOff>94779</xdr:colOff>
      <xdr:row>1</xdr:row>
      <xdr:rowOff>79502</xdr:rowOff>
    </xdr:from>
    <xdr:to>
      <xdr:col>8</xdr:col>
      <xdr:colOff>350629</xdr:colOff>
      <xdr:row>1</xdr:row>
      <xdr:rowOff>332222</xdr:rowOff>
    </xdr:to>
    <xdr:sp macro="" textlink="">
      <xdr:nvSpPr>
        <xdr:cNvPr id="54341" name="Rounded Rectangle 8">
          <a:hlinkClick xmlns:r="http://schemas.openxmlformats.org/officeDocument/2006/relationships" r:id="rId12"/>
          <a:extLst>
            <a:ext uri="{FF2B5EF4-FFF2-40B4-BE49-F238E27FC236}">
              <a16:creationId xmlns:a16="http://schemas.microsoft.com/office/drawing/2014/main" id="{00000000-0008-0000-0900-000045D40000}"/>
            </a:ext>
          </a:extLst>
        </xdr:cNvPr>
        <xdr:cNvSpPr/>
      </xdr:nvSpPr>
      <xdr:spPr>
        <a:xfrm>
          <a:off x="3439959"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p>
      </xdr:txBody>
    </xdr:sp>
    <xdr:clientData/>
  </xdr:twoCellAnchor>
  <xdr:twoCellAnchor editAs="oneCell">
    <xdr:from>
      <xdr:col>5</xdr:col>
      <xdr:colOff>2228631</xdr:colOff>
      <xdr:row>1</xdr:row>
      <xdr:rowOff>79502</xdr:rowOff>
    </xdr:from>
    <xdr:to>
      <xdr:col>6</xdr:col>
      <xdr:colOff>465181</xdr:colOff>
      <xdr:row>1</xdr:row>
      <xdr:rowOff>332222</xdr:rowOff>
    </xdr:to>
    <xdr:sp macro="" textlink="">
      <xdr:nvSpPr>
        <xdr:cNvPr id="54340" name="Rounded Rectangle 7">
          <a:hlinkClick xmlns:r="http://schemas.openxmlformats.org/officeDocument/2006/relationships" r:id="rId13"/>
          <a:extLst>
            <a:ext uri="{FF2B5EF4-FFF2-40B4-BE49-F238E27FC236}">
              <a16:creationId xmlns:a16="http://schemas.microsoft.com/office/drawing/2014/main" id="{00000000-0008-0000-0900-000044D40000}"/>
            </a:ext>
          </a:extLst>
        </xdr:cNvPr>
        <xdr:cNvSpPr/>
      </xdr:nvSpPr>
      <xdr:spPr>
        <a:xfrm>
          <a:off x="2685831"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202474</xdr:colOff>
      <xdr:row>0</xdr:row>
      <xdr:rowOff>369062</xdr:rowOff>
    </xdr:from>
    <xdr:to>
      <xdr:col>9</xdr:col>
      <xdr:colOff>170469</xdr:colOff>
      <xdr:row>1</xdr:row>
      <xdr:rowOff>95250</xdr:rowOff>
    </xdr:to>
    <xdr:sp macro="" textlink="">
      <xdr:nvSpPr>
        <xdr:cNvPr id="54339" name="Rounded Rectangle 6" hidden="1">
          <a:hlinkClick xmlns:r="http://schemas.openxmlformats.org/officeDocument/2006/relationships" r:id="rId14"/>
          <a:extLst>
            <a:ext uri="{FF2B5EF4-FFF2-40B4-BE49-F238E27FC236}">
              <a16:creationId xmlns:a16="http://schemas.microsoft.com/office/drawing/2014/main" id="{00000000-0008-0000-0900-000043D40000}"/>
            </a:ext>
          </a:extLst>
        </xdr:cNvPr>
        <xdr:cNvSpPr/>
      </xdr:nvSpPr>
      <xdr:spPr>
        <a:xfrm>
          <a:off x="4469674" y="369062"/>
          <a:ext cx="569976" cy="259588"/>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メイリオ" panose="020B0604030504040204" pitchFamily="50" charset="-128"/>
              <a:ea typeface="メイリオ" panose="020B0604030504040204" pitchFamily="50" charset="-128"/>
              <a:cs typeface="+mn-cs"/>
            </a:rPr>
            <a:t>2-2</a:t>
          </a:r>
          <a:endParaRPr kumimoji="1" lang="ja-JP" altLang="ja-JP" sz="1100">
            <a:solidFill>
              <a:schemeClr val="tx1"/>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5</xdr:col>
      <xdr:colOff>1455565</xdr:colOff>
      <xdr:row>1</xdr:row>
      <xdr:rowOff>79502</xdr:rowOff>
    </xdr:from>
    <xdr:to>
      <xdr:col>5</xdr:col>
      <xdr:colOff>2028915</xdr:colOff>
      <xdr:row>1</xdr:row>
      <xdr:rowOff>332222</xdr:rowOff>
    </xdr:to>
    <xdr:sp macro="" textlink="">
      <xdr:nvSpPr>
        <xdr:cNvPr id="54338" name="Rounded Rectangle 5">
          <a:hlinkClick xmlns:r="http://schemas.openxmlformats.org/officeDocument/2006/relationships" r:id="rId15"/>
          <a:extLst>
            <a:ext uri="{FF2B5EF4-FFF2-40B4-BE49-F238E27FC236}">
              <a16:creationId xmlns:a16="http://schemas.microsoft.com/office/drawing/2014/main" id="{00000000-0008-0000-0900-000042D40000}"/>
            </a:ext>
          </a:extLst>
        </xdr:cNvPr>
        <xdr:cNvSpPr/>
      </xdr:nvSpPr>
      <xdr:spPr>
        <a:xfrm>
          <a:off x="1912765"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２</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1975902</xdr:colOff>
      <xdr:row>0</xdr:row>
      <xdr:rowOff>460502</xdr:rowOff>
    </xdr:from>
    <xdr:to>
      <xdr:col>6</xdr:col>
      <xdr:colOff>217969</xdr:colOff>
      <xdr:row>1</xdr:row>
      <xdr:rowOff>180340</xdr:rowOff>
    </xdr:to>
    <xdr:sp macro="" textlink="">
      <xdr:nvSpPr>
        <xdr:cNvPr id="54337" name="Rounded Rectangle 4" hidden="1">
          <a:hlinkClick xmlns:r="http://schemas.openxmlformats.org/officeDocument/2006/relationships" r:id="rId16"/>
          <a:extLst>
            <a:ext uri="{FF2B5EF4-FFF2-40B4-BE49-F238E27FC236}">
              <a16:creationId xmlns:a16="http://schemas.microsoft.com/office/drawing/2014/main" id="{00000000-0008-0000-0900-000041D40000}"/>
            </a:ext>
          </a:extLst>
        </xdr:cNvPr>
        <xdr:cNvSpPr/>
      </xdr:nvSpPr>
      <xdr:spPr>
        <a:xfrm>
          <a:off x="3050322" y="460502"/>
          <a:ext cx="572516" cy="259588"/>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fPrintsWithSheet="0"/>
  </xdr:twoCellAnchor>
  <xdr:twoCellAnchor editAs="oneCell">
    <xdr:from>
      <xdr:col>5</xdr:col>
      <xdr:colOff>1329091</xdr:colOff>
      <xdr:row>0</xdr:row>
      <xdr:rowOff>460502</xdr:rowOff>
    </xdr:from>
    <xdr:to>
      <xdr:col>5</xdr:col>
      <xdr:colOff>1892971</xdr:colOff>
      <xdr:row>1</xdr:row>
      <xdr:rowOff>180340</xdr:rowOff>
    </xdr:to>
    <xdr:sp macro="" textlink="">
      <xdr:nvSpPr>
        <xdr:cNvPr id="54336" name="Rounded Rectangle 3" hidden="1">
          <a:hlinkClick xmlns:r="http://schemas.openxmlformats.org/officeDocument/2006/relationships" r:id="rId17"/>
          <a:extLst>
            <a:ext uri="{FF2B5EF4-FFF2-40B4-BE49-F238E27FC236}">
              <a16:creationId xmlns:a16="http://schemas.microsoft.com/office/drawing/2014/main" id="{00000000-0008-0000-0900-000040D40000}"/>
            </a:ext>
          </a:extLst>
        </xdr:cNvPr>
        <xdr:cNvSpPr/>
      </xdr:nvSpPr>
      <xdr:spPr>
        <a:xfrm>
          <a:off x="2403511" y="460502"/>
          <a:ext cx="570230" cy="259588"/>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fPrintsWithSheet="0"/>
  </xdr:twoCellAnchor>
  <xdr:twoCellAnchor editAs="oneCell">
    <xdr:from>
      <xdr:col>5</xdr:col>
      <xdr:colOff>771318</xdr:colOff>
      <xdr:row>1</xdr:row>
      <xdr:rowOff>79502</xdr:rowOff>
    </xdr:from>
    <xdr:to>
      <xdr:col>5</xdr:col>
      <xdr:colOff>1344668</xdr:colOff>
      <xdr:row>1</xdr:row>
      <xdr:rowOff>332222</xdr:rowOff>
    </xdr:to>
    <xdr:sp macro="" textlink="">
      <xdr:nvSpPr>
        <xdr:cNvPr id="63" name="Rounded Rectangle 2">
          <a:hlinkClick xmlns:r="http://schemas.openxmlformats.org/officeDocument/2006/relationships" r:id="rId18"/>
          <a:extLst>
            <a:ext uri="{FF2B5EF4-FFF2-40B4-BE49-F238E27FC236}">
              <a16:creationId xmlns:a16="http://schemas.microsoft.com/office/drawing/2014/main" id="{00000000-0008-0000-0900-00003F000000}"/>
            </a:ext>
          </a:extLst>
        </xdr:cNvPr>
        <xdr:cNvSpPr/>
      </xdr:nvSpPr>
      <xdr:spPr>
        <a:xfrm>
          <a:off x="1228518"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２</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41184</xdr:colOff>
      <xdr:row>1</xdr:row>
      <xdr:rowOff>79502</xdr:rowOff>
    </xdr:from>
    <xdr:to>
      <xdr:col>5</xdr:col>
      <xdr:colOff>608184</xdr:colOff>
      <xdr:row>1</xdr:row>
      <xdr:rowOff>332222</xdr:rowOff>
    </xdr:to>
    <xdr:sp macro="" textlink="">
      <xdr:nvSpPr>
        <xdr:cNvPr id="62" name="Rounded Rectangle 1">
          <a:hlinkClick xmlns:r="http://schemas.openxmlformats.org/officeDocument/2006/relationships" r:id="rId19"/>
          <a:extLst>
            <a:ext uri="{FF2B5EF4-FFF2-40B4-BE49-F238E27FC236}">
              <a16:creationId xmlns:a16="http://schemas.microsoft.com/office/drawing/2014/main" id="{00000000-0008-0000-0900-00003E000000}"/>
            </a:ext>
          </a:extLst>
        </xdr:cNvPr>
        <xdr:cNvSpPr/>
      </xdr:nvSpPr>
      <xdr:spPr>
        <a:xfrm>
          <a:off x="498384"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chemeClr val="tx1"/>
              </a:solidFill>
              <a:effectLst/>
              <a:latin typeface="メイリオ" panose="020B0604030504040204" pitchFamily="50" charset="-128"/>
              <a:ea typeface="メイリオ" panose="020B0604030504040204" pitchFamily="50" charset="-128"/>
              <a:cs typeface="+mn-cs"/>
            </a:rPr>
            <a:t>-</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2089150</xdr:colOff>
          <xdr:row>77</xdr:row>
          <xdr:rowOff>266700</xdr:rowOff>
        </xdr:from>
        <xdr:to>
          <xdr:col>7</xdr:col>
          <xdr:colOff>177800</xdr:colOff>
          <xdr:row>78</xdr:row>
          <xdr:rowOff>254000</xdr:rowOff>
        </xdr:to>
        <xdr:sp macro="" textlink="">
          <xdr:nvSpPr>
            <xdr:cNvPr id="54546" name="Option Button_18" hidden="1">
              <a:extLst>
                <a:ext uri="{63B3BB69-23CF-44E3-9099-C40C66FF867C}">
                  <a14:compatExt spid="_x0000_s54546"/>
                </a:ext>
                <a:ext uri="{FF2B5EF4-FFF2-40B4-BE49-F238E27FC236}">
                  <a16:creationId xmlns:a16="http://schemas.microsoft.com/office/drawing/2014/main" id="{00000000-0008-0000-0500-00001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77</xdr:row>
          <xdr:rowOff>266700</xdr:rowOff>
        </xdr:from>
        <xdr:to>
          <xdr:col>5</xdr:col>
          <xdr:colOff>1454150</xdr:colOff>
          <xdr:row>78</xdr:row>
          <xdr:rowOff>234950</xdr:rowOff>
        </xdr:to>
        <xdr:sp macro="" textlink="">
          <xdr:nvSpPr>
            <xdr:cNvPr id="54545" name="Option Button_17" hidden="1">
              <a:extLst>
                <a:ext uri="{63B3BB69-23CF-44E3-9099-C40C66FF867C}">
                  <a14:compatExt spid="_x0000_s54545"/>
                </a:ext>
                <a:ext uri="{FF2B5EF4-FFF2-40B4-BE49-F238E27FC236}">
                  <a16:creationId xmlns:a16="http://schemas.microsoft.com/office/drawing/2014/main" id="{00000000-0008-0000-0500-00001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62</xdr:row>
          <xdr:rowOff>266700</xdr:rowOff>
        </xdr:from>
        <xdr:to>
          <xdr:col>7</xdr:col>
          <xdr:colOff>177800</xdr:colOff>
          <xdr:row>63</xdr:row>
          <xdr:rowOff>254000</xdr:rowOff>
        </xdr:to>
        <xdr:sp macro="" textlink="">
          <xdr:nvSpPr>
            <xdr:cNvPr id="54543" name="Option Button_16" hidden="1">
              <a:extLst>
                <a:ext uri="{63B3BB69-23CF-44E3-9099-C40C66FF867C}">
                  <a14:compatExt spid="_x0000_s54543"/>
                </a:ext>
                <a:ext uri="{FF2B5EF4-FFF2-40B4-BE49-F238E27FC236}">
                  <a16:creationId xmlns:a16="http://schemas.microsoft.com/office/drawing/2014/main" id="{00000000-0008-0000-0500-00000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62</xdr:row>
          <xdr:rowOff>266700</xdr:rowOff>
        </xdr:from>
        <xdr:to>
          <xdr:col>5</xdr:col>
          <xdr:colOff>1454150</xdr:colOff>
          <xdr:row>63</xdr:row>
          <xdr:rowOff>234950</xdr:rowOff>
        </xdr:to>
        <xdr:sp macro="" textlink="">
          <xdr:nvSpPr>
            <xdr:cNvPr id="54542" name="Option Button_15" hidden="1">
              <a:extLst>
                <a:ext uri="{63B3BB69-23CF-44E3-9099-C40C66FF867C}">
                  <a14:compatExt spid="_x0000_s54542"/>
                </a:ext>
                <a:ext uri="{FF2B5EF4-FFF2-40B4-BE49-F238E27FC236}">
                  <a16:creationId xmlns:a16="http://schemas.microsoft.com/office/drawing/2014/main" id="{00000000-0008-0000-0500-00000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11</xdr:row>
          <xdr:rowOff>0</xdr:rowOff>
        </xdr:from>
        <xdr:to>
          <xdr:col>7</xdr:col>
          <xdr:colOff>177800</xdr:colOff>
          <xdr:row>11</xdr:row>
          <xdr:rowOff>234950</xdr:rowOff>
        </xdr:to>
        <xdr:sp macro="" textlink="">
          <xdr:nvSpPr>
            <xdr:cNvPr id="188748" name="Option Button_10" hidden="1">
              <a:extLst>
                <a:ext uri="{63B3BB69-23CF-44E3-9099-C40C66FF867C}">
                  <a14:compatExt spid="_x0000_s188748"/>
                </a:ext>
                <a:ext uri="{FF2B5EF4-FFF2-40B4-BE49-F238E27FC236}">
                  <a16:creationId xmlns:a16="http://schemas.microsoft.com/office/drawing/2014/main" id="{00000000-0008-0000-0500-00004CE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10</xdr:row>
          <xdr:rowOff>273050</xdr:rowOff>
        </xdr:from>
        <xdr:to>
          <xdr:col>5</xdr:col>
          <xdr:colOff>1454150</xdr:colOff>
          <xdr:row>11</xdr:row>
          <xdr:rowOff>254000</xdr:rowOff>
        </xdr:to>
        <xdr:sp macro="" textlink="">
          <xdr:nvSpPr>
            <xdr:cNvPr id="54533" name="Option Button_09" hidden="1">
              <a:extLst>
                <a:ext uri="{63B3BB69-23CF-44E3-9099-C40C66FF867C}">
                  <a14:compatExt spid="_x0000_s54533"/>
                </a:ext>
                <a:ext uri="{FF2B5EF4-FFF2-40B4-BE49-F238E27FC236}">
                  <a16:creationId xmlns:a16="http://schemas.microsoft.com/office/drawing/2014/main" id="{00000000-0008-0000-0500-00000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30</xdr:row>
          <xdr:rowOff>203200</xdr:rowOff>
        </xdr:from>
        <xdr:to>
          <xdr:col>7</xdr:col>
          <xdr:colOff>177800</xdr:colOff>
          <xdr:row>32</xdr:row>
          <xdr:rowOff>0</xdr:rowOff>
        </xdr:to>
        <xdr:sp macro="" textlink="">
          <xdr:nvSpPr>
            <xdr:cNvPr id="54528" name="Option Button_06" hidden="1">
              <a:extLst>
                <a:ext uri="{63B3BB69-23CF-44E3-9099-C40C66FF867C}">
                  <a14:compatExt spid="_x0000_s54528"/>
                </a:ext>
                <a:ext uri="{FF2B5EF4-FFF2-40B4-BE49-F238E27FC236}">
                  <a16:creationId xmlns:a16="http://schemas.microsoft.com/office/drawing/2014/main" id="{00000000-0008-0000-0500-00000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30</xdr:row>
          <xdr:rowOff>203200</xdr:rowOff>
        </xdr:from>
        <xdr:to>
          <xdr:col>5</xdr:col>
          <xdr:colOff>1454150</xdr:colOff>
          <xdr:row>32</xdr:row>
          <xdr:rowOff>0</xdr:rowOff>
        </xdr:to>
        <xdr:sp macro="" textlink="">
          <xdr:nvSpPr>
            <xdr:cNvPr id="54527" name="Option Button_05" hidden="1">
              <a:extLst>
                <a:ext uri="{63B3BB69-23CF-44E3-9099-C40C66FF867C}">
                  <a14:compatExt spid="_x0000_s54527"/>
                </a:ext>
                <a:ext uri="{FF2B5EF4-FFF2-40B4-BE49-F238E27FC236}">
                  <a16:creationId xmlns:a16="http://schemas.microsoft.com/office/drawing/2014/main" id="{00000000-0008-0000-0500-0000F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49</xdr:row>
          <xdr:rowOff>273050</xdr:rowOff>
        </xdr:from>
        <xdr:to>
          <xdr:col>7</xdr:col>
          <xdr:colOff>177800</xdr:colOff>
          <xdr:row>50</xdr:row>
          <xdr:rowOff>254000</xdr:rowOff>
        </xdr:to>
        <xdr:sp macro="" textlink="">
          <xdr:nvSpPr>
            <xdr:cNvPr id="54525" name="Option Button_04" hidden="1">
              <a:extLst>
                <a:ext uri="{63B3BB69-23CF-44E3-9099-C40C66FF867C}">
                  <a14:compatExt spid="_x0000_s54525"/>
                </a:ext>
                <a:ext uri="{FF2B5EF4-FFF2-40B4-BE49-F238E27FC236}">
                  <a16:creationId xmlns:a16="http://schemas.microsoft.com/office/drawing/2014/main" id="{00000000-0008-0000-0500-0000F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49</xdr:row>
          <xdr:rowOff>273050</xdr:rowOff>
        </xdr:from>
        <xdr:to>
          <xdr:col>5</xdr:col>
          <xdr:colOff>1454150</xdr:colOff>
          <xdr:row>50</xdr:row>
          <xdr:rowOff>234950</xdr:rowOff>
        </xdr:to>
        <xdr:sp macro="" textlink="">
          <xdr:nvSpPr>
            <xdr:cNvPr id="54524" name="Option Button_03" hidden="1">
              <a:extLst>
                <a:ext uri="{63B3BB69-23CF-44E3-9099-C40C66FF867C}">
                  <a14:compatExt spid="_x0000_s54524"/>
                </a:ext>
                <a:ext uri="{FF2B5EF4-FFF2-40B4-BE49-F238E27FC236}">
                  <a16:creationId xmlns:a16="http://schemas.microsoft.com/office/drawing/2014/main" id="{00000000-0008-0000-0500-0000F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34</xdr:row>
          <xdr:rowOff>203200</xdr:rowOff>
        </xdr:from>
        <xdr:to>
          <xdr:col>7</xdr:col>
          <xdr:colOff>177800</xdr:colOff>
          <xdr:row>35</xdr:row>
          <xdr:rowOff>215900</xdr:rowOff>
        </xdr:to>
        <xdr:sp macro="" textlink="">
          <xdr:nvSpPr>
            <xdr:cNvPr id="54522" name="Option Button_02" hidden="1">
              <a:extLst>
                <a:ext uri="{63B3BB69-23CF-44E3-9099-C40C66FF867C}">
                  <a14:compatExt spid="_x0000_s54522"/>
                </a:ext>
                <a:ext uri="{FF2B5EF4-FFF2-40B4-BE49-F238E27FC236}">
                  <a16:creationId xmlns:a16="http://schemas.microsoft.com/office/drawing/2014/main" id="{00000000-0008-0000-0500-0000F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34</xdr:row>
          <xdr:rowOff>203200</xdr:rowOff>
        </xdr:from>
        <xdr:to>
          <xdr:col>5</xdr:col>
          <xdr:colOff>1454150</xdr:colOff>
          <xdr:row>35</xdr:row>
          <xdr:rowOff>215900</xdr:rowOff>
        </xdr:to>
        <xdr:sp macro="" textlink="">
          <xdr:nvSpPr>
            <xdr:cNvPr id="54521" name="Option Button_01" hidden="1">
              <a:extLst>
                <a:ext uri="{63B3BB69-23CF-44E3-9099-C40C66FF867C}">
                  <a14:compatExt spid="_x0000_s54521"/>
                </a:ext>
                <a:ext uri="{FF2B5EF4-FFF2-40B4-BE49-F238E27FC236}">
                  <a16:creationId xmlns:a16="http://schemas.microsoft.com/office/drawing/2014/main" id="{00000000-0008-0000-0500-0000F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77</xdr:row>
          <xdr:rowOff>120650</xdr:rowOff>
        </xdr:from>
        <xdr:to>
          <xdr:col>8</xdr:col>
          <xdr:colOff>228600</xdr:colOff>
          <xdr:row>80</xdr:row>
          <xdr:rowOff>158750</xdr:rowOff>
        </xdr:to>
        <xdr:sp macro="" textlink="">
          <xdr:nvSpPr>
            <xdr:cNvPr id="54544" name="Group Box_9" hidden="1">
              <a:extLst>
                <a:ext uri="{63B3BB69-23CF-44E3-9099-C40C66FF867C}">
                  <a14:compatExt spid="_x0000_s54544"/>
                </a:ext>
                <a:ext uri="{FF2B5EF4-FFF2-40B4-BE49-F238E27FC236}">
                  <a16:creationId xmlns:a16="http://schemas.microsoft.com/office/drawing/2014/main" id="{00000000-0008-0000-0500-000010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62</xdr:row>
          <xdr:rowOff>107950</xdr:rowOff>
        </xdr:from>
        <xdr:to>
          <xdr:col>8</xdr:col>
          <xdr:colOff>228600</xdr:colOff>
          <xdr:row>65</xdr:row>
          <xdr:rowOff>152400</xdr:rowOff>
        </xdr:to>
        <xdr:sp macro="" textlink="">
          <xdr:nvSpPr>
            <xdr:cNvPr id="54541" name="Group Box_8" hidden="1">
              <a:extLst>
                <a:ext uri="{63B3BB69-23CF-44E3-9099-C40C66FF867C}">
                  <a14:compatExt spid="_x0000_s54541"/>
                </a:ext>
                <a:ext uri="{FF2B5EF4-FFF2-40B4-BE49-F238E27FC236}">
                  <a16:creationId xmlns:a16="http://schemas.microsoft.com/office/drawing/2014/main" id="{00000000-0008-0000-0500-00000D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425450</xdr:colOff>
          <xdr:row>10</xdr:row>
          <xdr:rowOff>107950</xdr:rowOff>
        </xdr:from>
        <xdr:to>
          <xdr:col>8</xdr:col>
          <xdr:colOff>196850</xdr:colOff>
          <xdr:row>13</xdr:row>
          <xdr:rowOff>152400</xdr:rowOff>
        </xdr:to>
        <xdr:sp macro="" textlink="">
          <xdr:nvSpPr>
            <xdr:cNvPr id="54532" name="Group Box_5" hidden="1">
              <a:extLst>
                <a:ext uri="{63B3BB69-23CF-44E3-9099-C40C66FF867C}">
                  <a14:compatExt spid="_x0000_s54532"/>
                </a:ext>
                <a:ext uri="{FF2B5EF4-FFF2-40B4-BE49-F238E27FC236}">
                  <a16:creationId xmlns:a16="http://schemas.microsoft.com/office/drawing/2014/main" id="{00000000-0008-0000-0500-000004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425450</xdr:colOff>
          <xdr:row>30</xdr:row>
          <xdr:rowOff>127000</xdr:rowOff>
        </xdr:from>
        <xdr:to>
          <xdr:col>8</xdr:col>
          <xdr:colOff>196850</xdr:colOff>
          <xdr:row>34</xdr:row>
          <xdr:rowOff>0</xdr:rowOff>
        </xdr:to>
        <xdr:sp macro="" textlink="">
          <xdr:nvSpPr>
            <xdr:cNvPr id="54526" name="Group Box_3" hidden="1">
              <a:extLst>
                <a:ext uri="{63B3BB69-23CF-44E3-9099-C40C66FF867C}">
                  <a14:compatExt spid="_x0000_s54526"/>
                </a:ext>
                <a:ext uri="{FF2B5EF4-FFF2-40B4-BE49-F238E27FC236}">
                  <a16:creationId xmlns:a16="http://schemas.microsoft.com/office/drawing/2014/main" id="{00000000-0008-0000-0500-0000FE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49</xdr:row>
          <xdr:rowOff>76200</xdr:rowOff>
        </xdr:from>
        <xdr:to>
          <xdr:col>8</xdr:col>
          <xdr:colOff>228600</xdr:colOff>
          <xdr:row>52</xdr:row>
          <xdr:rowOff>120650</xdr:rowOff>
        </xdr:to>
        <xdr:sp macro="" textlink="">
          <xdr:nvSpPr>
            <xdr:cNvPr id="54523" name="Group Box_2" hidden="1">
              <a:extLst>
                <a:ext uri="{63B3BB69-23CF-44E3-9099-C40C66FF867C}">
                  <a14:compatExt spid="_x0000_s54523"/>
                </a:ext>
                <a:ext uri="{FF2B5EF4-FFF2-40B4-BE49-F238E27FC236}">
                  <a16:creationId xmlns:a16="http://schemas.microsoft.com/office/drawing/2014/main" id="{00000000-0008-0000-0500-0000FB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34</xdr:row>
          <xdr:rowOff>139700</xdr:rowOff>
        </xdr:from>
        <xdr:to>
          <xdr:col>8</xdr:col>
          <xdr:colOff>228600</xdr:colOff>
          <xdr:row>38</xdr:row>
          <xdr:rowOff>6350</xdr:rowOff>
        </xdr:to>
        <xdr:sp macro="" textlink="">
          <xdr:nvSpPr>
            <xdr:cNvPr id="54520" name="Group Box_1" hidden="1">
              <a:extLst>
                <a:ext uri="{63B3BB69-23CF-44E3-9099-C40C66FF867C}">
                  <a14:compatExt spid="_x0000_s54520"/>
                </a:ext>
                <a:ext uri="{FF2B5EF4-FFF2-40B4-BE49-F238E27FC236}">
                  <a16:creationId xmlns:a16="http://schemas.microsoft.com/office/drawing/2014/main" id="{00000000-0008-0000-0500-0000F8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129540</xdr:colOff>
          <xdr:row>255</xdr:row>
          <xdr:rowOff>497220</xdr:rowOff>
        </xdr:from>
        <xdr:to>
          <xdr:col>42</xdr:col>
          <xdr:colOff>28396</xdr:colOff>
          <xdr:row>259</xdr:row>
          <xdr:rowOff>692440</xdr:rowOff>
        </xdr:to>
        <xdr:pic>
          <xdr:nvPicPr>
            <xdr:cNvPr id="10" name="図 9">
              <a:extLst>
                <a:ext uri="{FF2B5EF4-FFF2-40B4-BE49-F238E27FC236}">
                  <a16:creationId xmlns:a16="http://schemas.microsoft.com/office/drawing/2014/main" id="{7D2D6590-B66D-44CB-B4CC-CEE88B7547AD}"/>
                </a:ext>
              </a:extLst>
            </xdr:cNvPr>
            <xdr:cNvPicPr>
              <a:picLocks noChangeAspect="1" noChangeArrowheads="1"/>
              <a:extLst>
                <a:ext uri="{84589F7E-364E-4C9E-8A38-B11213B215E9}">
                  <a14:cameraTool cellRange="対策リスト!$J$84:$J$97" spid="_x0000_s503888"/>
                </a:ext>
              </a:extLst>
            </xdr:cNvPicPr>
          </xdr:nvPicPr>
          <xdr:blipFill>
            <a:blip xmlns:r="http://schemas.openxmlformats.org/officeDocument/2006/relationships" r:embed="rId20"/>
            <a:srcRect/>
            <a:stretch>
              <a:fillRect/>
            </a:stretch>
          </xdr:blipFill>
          <xdr:spPr bwMode="auto">
            <a:xfrm>
              <a:off x="12405360" y="97263600"/>
              <a:ext cx="3503116" cy="31441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12</xdr:col>
      <xdr:colOff>58672</xdr:colOff>
      <xdr:row>252</xdr:row>
      <xdr:rowOff>180583</xdr:rowOff>
    </xdr:from>
    <xdr:to>
      <xdr:col>13</xdr:col>
      <xdr:colOff>412719</xdr:colOff>
      <xdr:row>252</xdr:row>
      <xdr:rowOff>792583</xdr:rowOff>
    </xdr:to>
    <xdr:sp macro="" textlink="">
      <xdr:nvSpPr>
        <xdr:cNvPr id="2" name="角丸四角形 3">
          <a:hlinkClick xmlns:r="http://schemas.openxmlformats.org/officeDocument/2006/relationships" r:id="rId1"/>
          <a:extLst>
            <a:ext uri="{FF2B5EF4-FFF2-40B4-BE49-F238E27FC236}">
              <a16:creationId xmlns:a16="http://schemas.microsoft.com/office/drawing/2014/main" id="{5FE06523-9606-92FF-B8C5-61EE4940ABEE}"/>
            </a:ext>
          </a:extLst>
        </xdr:cNvPr>
        <xdr:cNvSpPr/>
      </xdr:nvSpPr>
      <xdr:spPr>
        <a:xfrm>
          <a:off x="6065025" y="95807101"/>
          <a:ext cx="1226238"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15</xdr:col>
      <xdr:colOff>259547</xdr:colOff>
      <xdr:row>261</xdr:row>
      <xdr:rowOff>372884</xdr:rowOff>
    </xdr:from>
    <xdr:to>
      <xdr:col>17</xdr:col>
      <xdr:colOff>7824</xdr:colOff>
      <xdr:row>262</xdr:row>
      <xdr:rowOff>11688</xdr:rowOff>
    </xdr:to>
    <xdr:sp macro="" textlink="">
      <xdr:nvSpPr>
        <xdr:cNvPr id="17" name="角丸四角形 5">
          <a:hlinkClick xmlns:r="http://schemas.openxmlformats.org/officeDocument/2006/relationships" r:id="rId21"/>
          <a:extLst>
            <a:ext uri="{FF2B5EF4-FFF2-40B4-BE49-F238E27FC236}">
              <a16:creationId xmlns:a16="http://schemas.microsoft.com/office/drawing/2014/main" id="{31A61602-07FD-AAC4-A729-AC41297ED734}"/>
            </a:ext>
          </a:extLst>
        </xdr:cNvPr>
        <xdr:cNvSpPr/>
      </xdr:nvSpPr>
      <xdr:spPr>
        <a:xfrm>
          <a:off x="8893007" y="130232924"/>
          <a:ext cx="1500875" cy="645915"/>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15</xdr:col>
      <xdr:colOff>259465</xdr:colOff>
      <xdr:row>256</xdr:row>
      <xdr:rowOff>199271</xdr:rowOff>
    </xdr:from>
    <xdr:to>
      <xdr:col>17</xdr:col>
      <xdr:colOff>7905</xdr:colOff>
      <xdr:row>257</xdr:row>
      <xdr:rowOff>622064</xdr:rowOff>
    </xdr:to>
    <xdr:sp macro="" textlink="">
      <xdr:nvSpPr>
        <xdr:cNvPr id="19" name="角丸四角形 6">
          <a:hlinkClick xmlns:r="http://schemas.openxmlformats.org/officeDocument/2006/relationships" r:id="rId21"/>
          <a:extLst>
            <a:ext uri="{FF2B5EF4-FFF2-40B4-BE49-F238E27FC236}">
              <a16:creationId xmlns:a16="http://schemas.microsoft.com/office/drawing/2014/main" id="{74D78EFD-BFB8-42BA-A5EC-B9A726F1E21E}"/>
            </a:ext>
          </a:extLst>
        </xdr:cNvPr>
        <xdr:cNvSpPr/>
      </xdr:nvSpPr>
      <xdr:spPr>
        <a:xfrm>
          <a:off x="8351905" y="97110431"/>
          <a:ext cx="1501040" cy="651393"/>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93231</xdr:colOff>
          <xdr:row>42</xdr:row>
          <xdr:rowOff>12551</xdr:rowOff>
        </xdr:from>
        <xdr:to>
          <xdr:col>17</xdr:col>
          <xdr:colOff>714559</xdr:colOff>
          <xdr:row>48</xdr:row>
          <xdr:rowOff>1887072</xdr:rowOff>
        </xdr:to>
        <xdr:pic>
          <xdr:nvPicPr>
            <xdr:cNvPr id="6" name="図 5">
              <a:extLst>
                <a:ext uri="{FF2B5EF4-FFF2-40B4-BE49-F238E27FC236}">
                  <a16:creationId xmlns:a16="http://schemas.microsoft.com/office/drawing/2014/main" id="{994B6226-4452-9C72-773D-98451B706EFB}"/>
                </a:ext>
              </a:extLst>
            </xdr:cNvPr>
            <xdr:cNvPicPr>
              <a:picLocks noChangeAspect="1" noChangeArrowheads="1"/>
              <a:extLst>
                <a:ext uri="{84589F7E-364E-4C9E-8A38-B11213B215E9}">
                  <a14:cameraTool cellRange="検索ツール画像3" spid="_x0000_s503889"/>
                </a:ext>
              </a:extLst>
            </xdr:cNvPicPr>
          </xdr:nvPicPr>
          <xdr:blipFill>
            <a:blip xmlns:r="http://schemas.openxmlformats.org/officeDocument/2006/relationships" r:embed="rId22"/>
            <a:srcRect/>
            <a:stretch>
              <a:fillRect/>
            </a:stretch>
          </xdr:blipFill>
          <xdr:spPr bwMode="auto">
            <a:xfrm>
              <a:off x="4611891" y="8615531"/>
              <a:ext cx="5903258" cy="3436621"/>
            </a:xfrm>
            <a:prstGeom prst="rect">
              <a:avLst/>
            </a:prstGeom>
            <a:noFill/>
            <a:ln w="9525">
              <a:noFill/>
              <a:miter lim="800000"/>
              <a:headEnd/>
              <a:tailEnd/>
            </a:ln>
          </xdr:spPr>
        </xdr:pic>
        <xdr:clientData/>
      </xdr:twoCellAnchor>
    </mc:Choice>
    <mc:Fallback/>
  </mc:AlternateContent>
  <xdr:twoCellAnchor editAs="oneCell">
    <xdr:from>
      <xdr:col>6</xdr:col>
      <xdr:colOff>349628</xdr:colOff>
      <xdr:row>244</xdr:row>
      <xdr:rowOff>53788</xdr:rowOff>
    </xdr:from>
    <xdr:to>
      <xdr:col>12</xdr:col>
      <xdr:colOff>542370</xdr:colOff>
      <xdr:row>245</xdr:row>
      <xdr:rowOff>217765</xdr:rowOff>
    </xdr:to>
    <xdr:sp macro="" textlink="">
      <xdr:nvSpPr>
        <xdr:cNvPr id="9" name="四角形: 角を丸くする 8">
          <a:hlinkClick xmlns:r="http://schemas.openxmlformats.org/officeDocument/2006/relationships" r:id="rId23"/>
          <a:extLst>
            <a:ext uri="{FF2B5EF4-FFF2-40B4-BE49-F238E27FC236}">
              <a16:creationId xmlns:a16="http://schemas.microsoft.com/office/drawing/2014/main" id="{8B75A87D-C332-4667-9673-04DC64E674B3}"/>
            </a:ext>
          </a:extLst>
        </xdr:cNvPr>
        <xdr:cNvSpPr/>
      </xdr:nvSpPr>
      <xdr:spPr>
        <a:xfrm>
          <a:off x="3558993" y="120853200"/>
          <a:ext cx="2877670" cy="376516"/>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PrintsWithSheet="0"/>
  </xdr:twoCellAnchor>
  <xdr:twoCellAnchor editAs="oneCell">
    <xdr:from>
      <xdr:col>14</xdr:col>
      <xdr:colOff>244610</xdr:colOff>
      <xdr:row>255</xdr:row>
      <xdr:rowOff>246018</xdr:rowOff>
    </xdr:from>
    <xdr:to>
      <xdr:col>17</xdr:col>
      <xdr:colOff>486659</xdr:colOff>
      <xdr:row>255</xdr:row>
      <xdr:rowOff>616185</xdr:rowOff>
    </xdr:to>
    <xdr:sp macro="" textlink="">
      <xdr:nvSpPr>
        <xdr:cNvPr id="11" name="四角形: 角を丸くする 10">
          <a:hlinkClick xmlns:r="http://schemas.openxmlformats.org/officeDocument/2006/relationships" r:id="rId24"/>
          <a:extLst>
            <a:ext uri="{FF2B5EF4-FFF2-40B4-BE49-F238E27FC236}">
              <a16:creationId xmlns:a16="http://schemas.microsoft.com/office/drawing/2014/main" id="{8F7FA108-8CAB-4FAE-B55E-52DC511114D2}"/>
            </a:ext>
          </a:extLst>
        </xdr:cNvPr>
        <xdr:cNvSpPr/>
      </xdr:nvSpPr>
      <xdr:spPr>
        <a:xfrm>
          <a:off x="7460750" y="96463758"/>
          <a:ext cx="2870949"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PrintsWithSheet="0"/>
  </xdr:twoCellAnchor>
  <xdr:twoCellAnchor editAs="oneCell">
    <xdr:from>
      <xdr:col>10</xdr:col>
      <xdr:colOff>0</xdr:colOff>
      <xdr:row>94</xdr:row>
      <xdr:rowOff>107577</xdr:rowOff>
    </xdr:from>
    <xdr:to>
      <xdr:col>12</xdr:col>
      <xdr:colOff>793003</xdr:colOff>
      <xdr:row>94</xdr:row>
      <xdr:rowOff>448235</xdr:rowOff>
    </xdr:to>
    <xdr:sp macro="" textlink="">
      <xdr:nvSpPr>
        <xdr:cNvPr id="7" name="四角形: 角を丸くする 6">
          <a:hlinkClick xmlns:r="http://schemas.openxmlformats.org/officeDocument/2006/relationships" r:id="rId25"/>
          <a:extLst>
            <a:ext uri="{FF2B5EF4-FFF2-40B4-BE49-F238E27FC236}">
              <a16:creationId xmlns:a16="http://schemas.microsoft.com/office/drawing/2014/main" id="{7CE9AF6A-E71D-4723-9509-C49F9453C86D}"/>
            </a:ext>
          </a:extLst>
        </xdr:cNvPr>
        <xdr:cNvSpPr/>
      </xdr:nvSpPr>
      <xdr:spPr>
        <a:xfrm>
          <a:off x="4948518" y="46284777"/>
          <a:ext cx="1694329" cy="3406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mc:AlternateContent xmlns:mc="http://schemas.openxmlformats.org/markup-compatibility/2006">
    <mc:Choice xmlns:a14="http://schemas.microsoft.com/office/drawing/2010/main" Requires="a14">
      <xdr:twoCellAnchor editAs="oneCell">
        <xdr:from>
          <xdr:col>35</xdr:col>
          <xdr:colOff>60960</xdr:colOff>
          <xdr:row>244</xdr:row>
          <xdr:rowOff>22860</xdr:rowOff>
        </xdr:from>
        <xdr:to>
          <xdr:col>45</xdr:col>
          <xdr:colOff>182880</xdr:colOff>
          <xdr:row>249</xdr:row>
          <xdr:rowOff>29658</xdr:rowOff>
        </xdr:to>
        <xdr:pic>
          <xdr:nvPicPr>
            <xdr:cNvPr id="15" name="図 14">
              <a:extLst>
                <a:ext uri="{FF2B5EF4-FFF2-40B4-BE49-F238E27FC236}">
                  <a16:creationId xmlns:a16="http://schemas.microsoft.com/office/drawing/2014/main" id="{7A5EF5B6-BE83-D228-3179-467759823DBC}"/>
                </a:ext>
              </a:extLst>
            </xdr:cNvPr>
            <xdr:cNvPicPr>
              <a:picLocks noChangeAspect="1" noChangeArrowheads="1"/>
              <a:extLst>
                <a:ext uri="{84589F7E-364E-4C9E-8A38-B11213B215E9}">
                  <a14:cameraTool cellRange="対策リスト!$F$50:$G$59" spid="_x0000_s503890"/>
                </a:ext>
              </a:extLst>
            </xdr:cNvPicPr>
          </xdr:nvPicPr>
          <xdr:blipFill>
            <a:blip xmlns:r="http://schemas.openxmlformats.org/officeDocument/2006/relationships" r:embed="rId26"/>
            <a:srcRect/>
            <a:stretch>
              <a:fillRect/>
            </a:stretch>
          </xdr:blipFill>
          <xdr:spPr bwMode="auto">
            <a:xfrm>
              <a:off x="12321540" y="86182200"/>
              <a:ext cx="5334000" cy="462578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35</xdr:col>
      <xdr:colOff>144780</xdr:colOff>
      <xdr:row>94</xdr:row>
      <xdr:rowOff>83128</xdr:rowOff>
    </xdr:from>
    <xdr:to>
      <xdr:col>47</xdr:col>
      <xdr:colOff>142180</xdr:colOff>
      <xdr:row>119</xdr:row>
      <xdr:rowOff>221439</xdr:rowOff>
    </xdr:to>
    <xdr:pic>
      <xdr:nvPicPr>
        <xdr:cNvPr id="8" name="図 7">
          <a:extLst>
            <a:ext uri="{FF2B5EF4-FFF2-40B4-BE49-F238E27FC236}">
              <a16:creationId xmlns:a16="http://schemas.microsoft.com/office/drawing/2014/main" id="{F8217E6B-D2C7-4B87-B03D-699EE9D94902}"/>
            </a:ext>
          </a:extLst>
        </xdr:cNvPr>
        <xdr:cNvPicPr>
          <a:picLocks noChangeAspect="1"/>
        </xdr:cNvPicPr>
      </xdr:nvPicPr>
      <xdr:blipFill>
        <a:blip xmlns:r="http://schemas.openxmlformats.org/officeDocument/2006/relationships" r:embed="rId27"/>
        <a:stretch>
          <a:fillRect/>
        </a:stretch>
      </xdr:blipFill>
      <xdr:spPr>
        <a:xfrm>
          <a:off x="12420600" y="23186968"/>
          <a:ext cx="6435030" cy="4269621"/>
        </a:xfrm>
        <a:prstGeom prst="rect">
          <a:avLst/>
        </a:prstGeom>
        <a:ln w="4445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20</xdr:col>
      <xdr:colOff>554432</xdr:colOff>
      <xdr:row>0</xdr:row>
      <xdr:rowOff>58782</xdr:rowOff>
    </xdr:from>
    <xdr:ext cx="877163" cy="466165"/>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9058352" y="58782"/>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xdr:from>
      <xdr:col>14</xdr:col>
      <xdr:colOff>21772</xdr:colOff>
      <xdr:row>19</xdr:row>
      <xdr:rowOff>168410</xdr:rowOff>
    </xdr:from>
    <xdr:to>
      <xdr:col>15</xdr:col>
      <xdr:colOff>0</xdr:colOff>
      <xdr:row>43</xdr:row>
      <xdr:rowOff>672</xdr:rowOff>
    </xdr:to>
    <xdr:grpSp>
      <xdr:nvGrpSpPr>
        <xdr:cNvPr id="12" name="グループ化 11">
          <a:extLst>
            <a:ext uri="{FF2B5EF4-FFF2-40B4-BE49-F238E27FC236}">
              <a16:creationId xmlns:a16="http://schemas.microsoft.com/office/drawing/2014/main" id="{33DCEFFA-854F-73D0-37C3-18378083314B}"/>
            </a:ext>
          </a:extLst>
        </xdr:cNvPr>
        <xdr:cNvGrpSpPr/>
      </xdr:nvGrpSpPr>
      <xdr:grpSpPr>
        <a:xfrm>
          <a:off x="7641772" y="4816610"/>
          <a:ext cx="1025978" cy="5528212"/>
          <a:chOff x="7249886" y="4811486"/>
          <a:chExt cx="1012371" cy="5321225"/>
        </a:xfrm>
      </xdr:grpSpPr>
      <xdr:sp macro="" textlink="">
        <xdr:nvSpPr>
          <xdr:cNvPr id="6" name="右中かっこ 5">
            <a:extLst>
              <a:ext uri="{FF2B5EF4-FFF2-40B4-BE49-F238E27FC236}">
                <a16:creationId xmlns:a16="http://schemas.microsoft.com/office/drawing/2014/main" id="{00000000-0008-0000-0A00-000006000000}"/>
              </a:ext>
            </a:extLst>
          </xdr:cNvPr>
          <xdr:cNvSpPr/>
        </xdr:nvSpPr>
        <xdr:spPr>
          <a:xfrm rot="10800000">
            <a:off x="7915003" y="8777539"/>
            <a:ext cx="347254" cy="1355172"/>
          </a:xfrm>
          <a:prstGeom prst="rightBrace">
            <a:avLst>
              <a:gd name="adj1" fmla="val 79299"/>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10" name="直線矢印コネクタ 9">
            <a:extLst>
              <a:ext uri="{FF2B5EF4-FFF2-40B4-BE49-F238E27FC236}">
                <a16:creationId xmlns:a16="http://schemas.microsoft.com/office/drawing/2014/main" id="{00000000-0008-0000-0A00-00000A000000}"/>
              </a:ext>
            </a:extLst>
          </xdr:cNvPr>
          <xdr:cNvCxnSpPr>
            <a:cxnSpLocks/>
            <a:endCxn id="6" idx="1"/>
          </xdr:cNvCxnSpPr>
        </xdr:nvCxnSpPr>
        <xdr:spPr>
          <a:xfrm>
            <a:off x="7266214" y="5008517"/>
            <a:ext cx="648789" cy="4449698"/>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13" name="右中かっこ 12">
            <a:extLst>
              <a:ext uri="{FF2B5EF4-FFF2-40B4-BE49-F238E27FC236}">
                <a16:creationId xmlns:a16="http://schemas.microsoft.com/office/drawing/2014/main" id="{00000000-0008-0000-0A00-00000D000000}"/>
              </a:ext>
            </a:extLst>
          </xdr:cNvPr>
          <xdr:cNvSpPr/>
        </xdr:nvSpPr>
        <xdr:spPr>
          <a:xfrm rot="10800000">
            <a:off x="7978372" y="6313012"/>
            <a:ext cx="270822" cy="1431374"/>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4" name="直線矢印コネクタ 13">
            <a:extLst>
              <a:ext uri="{FF2B5EF4-FFF2-40B4-BE49-F238E27FC236}">
                <a16:creationId xmlns:a16="http://schemas.microsoft.com/office/drawing/2014/main" id="{00000000-0008-0000-0A00-00000E000000}"/>
              </a:ext>
            </a:extLst>
          </xdr:cNvPr>
          <xdr:cNvCxnSpPr>
            <a:cxnSpLocks/>
          </xdr:cNvCxnSpPr>
        </xdr:nvCxnSpPr>
        <xdr:spPr>
          <a:xfrm>
            <a:off x="7249886" y="4811486"/>
            <a:ext cx="761143" cy="2220536"/>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editAs="oneCell">
    <xdr:from>
      <xdr:col>14</xdr:col>
      <xdr:colOff>35859</xdr:colOff>
      <xdr:row>13</xdr:row>
      <xdr:rowOff>98612</xdr:rowOff>
    </xdr:from>
    <xdr:to>
      <xdr:col>15</xdr:col>
      <xdr:colOff>0</xdr:colOff>
      <xdr:row>23</xdr:row>
      <xdr:rowOff>167640</xdr:rowOff>
    </xdr:to>
    <xdr:cxnSp macro="">
      <xdr:nvCxnSpPr>
        <xdr:cNvPr id="42" name="直線矢印コネクタ 41">
          <a:extLst>
            <a:ext uri="{FF2B5EF4-FFF2-40B4-BE49-F238E27FC236}">
              <a16:creationId xmlns:a16="http://schemas.microsoft.com/office/drawing/2014/main" id="{00000000-0008-0000-0A00-00002A000000}"/>
            </a:ext>
          </a:extLst>
        </xdr:cNvPr>
        <xdr:cNvCxnSpPr>
          <a:cxnSpLocks/>
        </xdr:cNvCxnSpPr>
      </xdr:nvCxnSpPr>
      <xdr:spPr>
        <a:xfrm>
          <a:off x="7503459" y="3352800"/>
          <a:ext cx="995082" cy="2471569"/>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clientData/>
  </xdr:twoCellAnchor>
  <xdr:twoCellAnchor editAs="oneCell">
    <xdr:from>
      <xdr:col>13</xdr:col>
      <xdr:colOff>789214</xdr:colOff>
      <xdr:row>17</xdr:row>
      <xdr:rowOff>0</xdr:rowOff>
    </xdr:from>
    <xdr:to>
      <xdr:col>14</xdr:col>
      <xdr:colOff>976994</xdr:colOff>
      <xdr:row>18</xdr:row>
      <xdr:rowOff>183483</xdr:rowOff>
    </xdr:to>
    <xdr:grpSp>
      <xdr:nvGrpSpPr>
        <xdr:cNvPr id="9" name="グループ化 8" hidden="1">
          <a:extLst>
            <a:ext uri="{FF2B5EF4-FFF2-40B4-BE49-F238E27FC236}">
              <a16:creationId xmlns:a16="http://schemas.microsoft.com/office/drawing/2014/main" id="{00000000-0008-0000-0A00-000009000000}"/>
            </a:ext>
          </a:extLst>
        </xdr:cNvPr>
        <xdr:cNvGrpSpPr/>
      </xdr:nvGrpSpPr>
      <xdr:grpSpPr>
        <a:xfrm>
          <a:off x="7621814" y="4171950"/>
          <a:ext cx="978355" cy="418433"/>
          <a:chOff x="8247529" y="13644886"/>
          <a:chExt cx="1050790" cy="430461"/>
        </a:xfrm>
      </xdr:grpSpPr>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8247529" y="13644886"/>
            <a:ext cx="250260" cy="430461"/>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46" name="右中かっこ 45">
            <a:extLst>
              <a:ext uri="{FF2B5EF4-FFF2-40B4-BE49-F238E27FC236}">
                <a16:creationId xmlns:a16="http://schemas.microsoft.com/office/drawing/2014/main" id="{00000000-0008-0000-0A00-00002E000000}"/>
              </a:ext>
            </a:extLst>
          </xdr:cNvPr>
          <xdr:cNvSpPr/>
        </xdr:nvSpPr>
        <xdr:spPr>
          <a:xfrm rot="10800000">
            <a:off x="9041252" y="13662211"/>
            <a:ext cx="257067" cy="409174"/>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47" name="直線矢印コネクタ 46">
            <a:extLst>
              <a:ext uri="{FF2B5EF4-FFF2-40B4-BE49-F238E27FC236}">
                <a16:creationId xmlns:a16="http://schemas.microsoft.com/office/drawing/2014/main" id="{00000000-0008-0000-0A00-00002F000000}"/>
              </a:ext>
            </a:extLst>
          </xdr:cNvPr>
          <xdr:cNvCxnSpPr/>
        </xdr:nvCxnSpPr>
        <xdr:spPr>
          <a:xfrm flipV="1">
            <a:off x="8488824" y="13858390"/>
            <a:ext cx="543464" cy="4951"/>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editAs="oneCell">
    <xdr:from>
      <xdr:col>14</xdr:col>
      <xdr:colOff>26126</xdr:colOff>
      <xdr:row>0</xdr:row>
      <xdr:rowOff>53340</xdr:rowOff>
    </xdr:from>
    <xdr:to>
      <xdr:col>20</xdr:col>
      <xdr:colOff>460466</xdr:colOff>
      <xdr:row>1</xdr:row>
      <xdr:rowOff>165463</xdr:rowOff>
    </xdr:to>
    <xdr:sp macro="" textlink="">
      <xdr:nvSpPr>
        <xdr:cNvPr id="8" name="四角形: 角を丸くする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7280366" y="53340"/>
          <a:ext cx="1463040" cy="44740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oneCellAnchor>
    <xdr:from>
      <xdr:col>14</xdr:col>
      <xdr:colOff>188595</xdr:colOff>
      <xdr:row>0</xdr:row>
      <xdr:rowOff>34290</xdr:rowOff>
    </xdr:from>
    <xdr:ext cx="877163" cy="542456"/>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301615" y="34290"/>
          <a:ext cx="877163" cy="54245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fPrintsWithSheet="0"/>
  </xdr:oneCellAnchor>
  <xdr:twoCellAnchor editAs="oneCell">
    <xdr:from>
      <xdr:col>19</xdr:col>
      <xdr:colOff>0</xdr:colOff>
      <xdr:row>1</xdr:row>
      <xdr:rowOff>0</xdr:rowOff>
    </xdr:from>
    <xdr:to>
      <xdr:col>22</xdr:col>
      <xdr:colOff>297180</xdr:colOff>
      <xdr:row>2</xdr:row>
      <xdr:rowOff>243840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7056120" y="205740"/>
          <a:ext cx="1463040" cy="44958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13</xdr:col>
      <xdr:colOff>260985</xdr:colOff>
      <xdr:row>0</xdr:row>
      <xdr:rowOff>99060</xdr:rowOff>
    </xdr:from>
    <xdr:ext cx="877163" cy="4800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532245" y="99060"/>
          <a:ext cx="877163" cy="4800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公表用</a:t>
          </a:r>
        </a:p>
      </xdr:txBody>
    </xdr:sp>
    <xdr:clientData fPrintsWithSheet="0"/>
  </xdr:oneCellAnchor>
  <xdr:twoCellAnchor editAs="oneCell">
    <xdr:from>
      <xdr:col>17</xdr:col>
      <xdr:colOff>0</xdr:colOff>
      <xdr:row>1</xdr:row>
      <xdr:rowOff>0</xdr:rowOff>
    </xdr:from>
    <xdr:to>
      <xdr:col>20</xdr:col>
      <xdr:colOff>297180</xdr:colOff>
      <xdr:row>2</xdr:row>
      <xdr:rowOff>228600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7985760" y="220980"/>
          <a:ext cx="1463040" cy="44958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lumMod val="60000"/>
            <a:lumOff val="40000"/>
          </a:schemeClr>
        </a:solidFill>
        <a:ln w="6350">
          <a:solidFill>
            <a:sysClr val="windowText" lastClr="000000"/>
          </a:solidFill>
        </a:ln>
      </a:spPr>
      <a:bodyPr vertOverflow="clip" horzOverflow="clip" lIns="0" tIns="0" rIns="0" bIns="0" rtlCol="0" anchor="ctr" anchorCtr="1"/>
      <a:lstStyle>
        <a:defPPr marL="0" marR="0" indent="0" algn="l" defTabSz="914400" eaLnBrk="1" fontAlgn="auto" latinLnBrk="0" hangingPunct="1">
          <a:lnSpc>
            <a:spcPct val="100000"/>
          </a:lnSpc>
          <a:spcBef>
            <a:spcPts val="0"/>
          </a:spcBef>
          <a:spcAft>
            <a:spcPts val="0"/>
          </a:spcAft>
          <a:buClrTx/>
          <a:buSzTx/>
          <a:buFontTx/>
          <a:buNone/>
          <a:tabLst/>
          <a:defRPr kumimoji="1" sz="1100">
            <a:solidFill>
              <a:sysClr val="windowText" lastClr="000000"/>
            </a:solidFill>
            <a:effectLst/>
            <a:latin typeface="メイリオ" panose="020B0604030504040204" pitchFamily="50" charset="-128"/>
            <a:ea typeface="メイリオ" panose="020B0604030504040204" pitchFamily="50" charset="-128"/>
            <a:cs typeface="+mn-cs"/>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rtlCol="0">
        <a:spAutoFit/>
      </a:bodyPr>
      <a:lstStyle>
        <a:defPPr algn="l">
          <a:defRPr kumimoji="1" sz="1100" b="0" i="0" u="none" strike="noStrike">
            <a:solidFill>
              <a:srgbClr val="000000"/>
            </a:solidFill>
            <a:latin typeface="ＭＳ Ｐゴシック"/>
            <a:ea typeface="ＭＳ Ｐゴシック"/>
          </a:defRPr>
        </a:defPPr>
      </a:lstStyle>
    </a:txDef>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7DB8D47-ACB2-4ABD-8544-7B3D4567B062}">
  <we:reference id="wa200003696" version="1.3.0.0" store="ja-JP" storeType="OMEX"/>
  <we:alternateReferences>
    <we:reference id="WA200003696" version="1.3.0.0" store="WA200003696"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printerSettings" Target="../printerSettings/printerSettings3.bin"/><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hyperlink" Target="https://www.city.sendai.jp/ondanka/jigyosha/actionprogram/yoshiki/tokutei.html" TargetMode="Externa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env.go.jp/earth/ondanka/mechanism/carbon_offset.html"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omments" Target="../comments1.xml"/><Relationship Id="rId5" Type="http://schemas.openxmlformats.org/officeDocument/2006/relationships/vmlDrawing" Target="../drawings/vmlDrawing2.v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drawing" Target="../drawings/drawing3.x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3" Type="http://schemas.openxmlformats.org/officeDocument/2006/relationships/printerSettings" Target="../printerSettings/printerSettings4.bin"/><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 Type="http://schemas.openxmlformats.org/officeDocument/2006/relationships/hyperlink" Target="https://www.city.sendai.jp/ondanka/jigyosha/actionprogram/yoshiki/tokutei.html" TargetMode="External"/><Relationship Id="rId16" Type="http://schemas.openxmlformats.org/officeDocument/2006/relationships/ctrlProp" Target="../ctrlProps/ctrlProp30.xml"/><Relationship Id="rId20" Type="http://schemas.openxmlformats.org/officeDocument/2006/relationships/ctrlProp" Target="../ctrlProps/ctrlProp34.xml"/><Relationship Id="rId1" Type="http://schemas.openxmlformats.org/officeDocument/2006/relationships/hyperlink" Target="https://www.env.go.jp/earth/ondanka/mechanism/carbon_offset.html" TargetMode="External"/><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omments" Target="../comments2.xml"/><Relationship Id="rId5" Type="http://schemas.openxmlformats.org/officeDocument/2006/relationships/vmlDrawing" Target="../drawings/vmlDrawing3.vml"/><Relationship Id="rId15" Type="http://schemas.openxmlformats.org/officeDocument/2006/relationships/ctrlProp" Target="../ctrlProps/ctrlProp29.xml"/><Relationship Id="rId23" Type="http://schemas.openxmlformats.org/officeDocument/2006/relationships/ctrlProp" Target="../ctrlProps/ctrlProp37.xml"/><Relationship Id="rId10" Type="http://schemas.openxmlformats.org/officeDocument/2006/relationships/ctrlProp" Target="../ctrlProps/ctrlProp24.xml"/><Relationship Id="rId19" Type="http://schemas.openxmlformats.org/officeDocument/2006/relationships/ctrlProp" Target="../ctrlProps/ctrlProp33.xml"/><Relationship Id="rId4" Type="http://schemas.openxmlformats.org/officeDocument/2006/relationships/drawing" Target="../drawings/drawing4.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printerSettings" Target="../printerSettings/printerSettings5.bin"/><Relationship Id="rId21" Type="http://schemas.openxmlformats.org/officeDocument/2006/relationships/ctrlProp" Target="../ctrlProps/ctrlProp53.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hyperlink" Target="https://www.city.sendai.jp/ondanka/jigyosha/actionprogram/yoshiki/tokutei.html" TargetMode="Externa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hyperlink" Target="https://www.env.go.jp/earth/ondanka/mechanism/carbon_offset.html" TargetMode="External"/><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omments" Target="../comments3.xml"/><Relationship Id="rId5" Type="http://schemas.openxmlformats.org/officeDocument/2006/relationships/vmlDrawing" Target="../drawings/vmlDrawing4.vml"/><Relationship Id="rId15" Type="http://schemas.openxmlformats.org/officeDocument/2006/relationships/ctrlProp" Target="../ctrlProps/ctrlProp47.xml"/><Relationship Id="rId23" Type="http://schemas.openxmlformats.org/officeDocument/2006/relationships/ctrlProp" Target="../ctrlProps/ctrlProp55.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drawing" Target="../drawings/drawing5.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8.xml"/><Relationship Id="rId13" Type="http://schemas.openxmlformats.org/officeDocument/2006/relationships/ctrlProp" Target="../ctrlProps/ctrlProp63.xml"/><Relationship Id="rId18" Type="http://schemas.openxmlformats.org/officeDocument/2006/relationships/ctrlProp" Target="../ctrlProps/ctrlProp68.xml"/><Relationship Id="rId3" Type="http://schemas.openxmlformats.org/officeDocument/2006/relationships/printerSettings" Target="../printerSettings/printerSettings6.bin"/><Relationship Id="rId21" Type="http://schemas.openxmlformats.org/officeDocument/2006/relationships/ctrlProp" Target="../ctrlProps/ctrlProp71.xml"/><Relationship Id="rId7" Type="http://schemas.openxmlformats.org/officeDocument/2006/relationships/ctrlProp" Target="../ctrlProps/ctrlProp57.xml"/><Relationship Id="rId12" Type="http://schemas.openxmlformats.org/officeDocument/2006/relationships/ctrlProp" Target="../ctrlProps/ctrlProp62.xml"/><Relationship Id="rId17" Type="http://schemas.openxmlformats.org/officeDocument/2006/relationships/ctrlProp" Target="../ctrlProps/ctrlProp67.xml"/><Relationship Id="rId2" Type="http://schemas.openxmlformats.org/officeDocument/2006/relationships/hyperlink" Target="https://www.city.sendai.jp/ondanka/jigyosha/actionprogram/yoshiki/tokutei.html" TargetMode="External"/><Relationship Id="rId16" Type="http://schemas.openxmlformats.org/officeDocument/2006/relationships/ctrlProp" Target="../ctrlProps/ctrlProp66.xml"/><Relationship Id="rId20" Type="http://schemas.openxmlformats.org/officeDocument/2006/relationships/ctrlProp" Target="../ctrlProps/ctrlProp70.xml"/><Relationship Id="rId1" Type="http://schemas.openxmlformats.org/officeDocument/2006/relationships/hyperlink" Target="https://www.env.go.jp/earth/ondanka/mechanism/carbon_offset.html" TargetMode="External"/><Relationship Id="rId6" Type="http://schemas.openxmlformats.org/officeDocument/2006/relationships/ctrlProp" Target="../ctrlProps/ctrlProp56.xml"/><Relationship Id="rId11" Type="http://schemas.openxmlformats.org/officeDocument/2006/relationships/ctrlProp" Target="../ctrlProps/ctrlProp61.xml"/><Relationship Id="rId24" Type="http://schemas.openxmlformats.org/officeDocument/2006/relationships/comments" Target="../comments4.xml"/><Relationship Id="rId5" Type="http://schemas.openxmlformats.org/officeDocument/2006/relationships/vmlDrawing" Target="../drawings/vmlDrawing5.vml"/><Relationship Id="rId15" Type="http://schemas.openxmlformats.org/officeDocument/2006/relationships/ctrlProp" Target="../ctrlProps/ctrlProp65.xml"/><Relationship Id="rId23" Type="http://schemas.openxmlformats.org/officeDocument/2006/relationships/ctrlProp" Target="../ctrlProps/ctrlProp73.xml"/><Relationship Id="rId10" Type="http://schemas.openxmlformats.org/officeDocument/2006/relationships/ctrlProp" Target="../ctrlProps/ctrlProp60.xml"/><Relationship Id="rId19" Type="http://schemas.openxmlformats.org/officeDocument/2006/relationships/ctrlProp" Target="../ctrlProps/ctrlProp69.xml"/><Relationship Id="rId4" Type="http://schemas.openxmlformats.org/officeDocument/2006/relationships/drawing" Target="../drawings/drawing6.x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E403-5B39-45A9-A1C2-412BF6B5D6C6}">
  <sheetPr codeName="Sheet3">
    <tabColor theme="0" tint="-0.34998626667073579"/>
    <pageSetUpPr fitToPage="1"/>
  </sheetPr>
  <dimension ref="A1:V31"/>
  <sheetViews>
    <sheetView tabSelected="1" view="pageBreakPreview" zoomScaleNormal="85" zoomScaleSheetLayoutView="100" workbookViewId="0">
      <pane ySplit="1" topLeftCell="A2" activePane="bottomLeft" state="frozen"/>
      <selection activeCell="A9" sqref="A9:A60"/>
      <selection pane="bottomLeft"/>
    </sheetView>
  </sheetViews>
  <sheetFormatPr defaultColWidth="8.90625" defaultRowHeight="17.5"/>
  <cols>
    <col min="1" max="1" width="10.1796875" style="28" customWidth="1"/>
    <col min="2" max="2" width="31.08984375" style="651" customWidth="1"/>
    <col min="3" max="7" width="24.453125" style="28" customWidth="1"/>
    <col min="8" max="8" width="4.36328125" style="14" customWidth="1"/>
    <col min="9" max="9" width="14.36328125" style="14" customWidth="1"/>
    <col min="10" max="10" width="8.90625" style="14" hidden="1" customWidth="1"/>
    <col min="11" max="11" width="15.08984375" style="14" hidden="1" customWidth="1"/>
    <col min="12" max="12" width="8" style="14" hidden="1" customWidth="1"/>
    <col min="13" max="20" width="8.90625" style="14" hidden="1" customWidth="1"/>
    <col min="21" max="21" width="12.81640625" style="24" hidden="1" customWidth="1"/>
    <col min="22" max="22" width="8.90625" style="23" hidden="1" customWidth="1"/>
    <col min="23" max="23" width="8.90625" style="23" customWidth="1"/>
    <col min="24" max="16384" width="8.90625" style="23"/>
  </cols>
  <sheetData>
    <row r="1" spans="1:21" ht="51" customHeight="1">
      <c r="A1" s="646" t="s">
        <v>4246</v>
      </c>
      <c r="B1" s="647"/>
      <c r="C1" s="648"/>
      <c r="D1" s="648"/>
      <c r="E1" s="648"/>
      <c r="F1" s="648"/>
      <c r="G1" s="649"/>
      <c r="H1" s="650"/>
    </row>
    <row r="2" spans="1:21" ht="19">
      <c r="E2" s="652"/>
      <c r="J2" s="14" t="s">
        <v>4226</v>
      </c>
      <c r="K2" s="14">
        <f>K3-1</f>
        <v>0</v>
      </c>
      <c r="L2" s="14" t="s">
        <v>75</v>
      </c>
      <c r="U2" s="523">
        <v>46111</v>
      </c>
    </row>
    <row r="3" spans="1:21">
      <c r="J3" s="14" t="s">
        <v>4297</v>
      </c>
      <c r="K3" s="14">
        <f>基本設定シート!B11</f>
        <v>1</v>
      </c>
      <c r="U3" s="523">
        <v>46112</v>
      </c>
    </row>
    <row r="4" spans="1:21">
      <c r="U4" s="523">
        <v>46113</v>
      </c>
    </row>
    <row r="5" spans="1:21">
      <c r="U5" s="523">
        <v>46143</v>
      </c>
    </row>
    <row r="6" spans="1:21">
      <c r="L6" s="35"/>
      <c r="M6" s="14" t="s">
        <v>4256</v>
      </c>
      <c r="U6" s="523">
        <v>46174</v>
      </c>
    </row>
    <row r="7" spans="1:21">
      <c r="M7" s="14" t="s">
        <v>4255</v>
      </c>
      <c r="U7" s="523">
        <v>46204</v>
      </c>
    </row>
    <row r="8" spans="1:21">
      <c r="U8" s="523">
        <v>46235</v>
      </c>
    </row>
    <row r="9" spans="1:21">
      <c r="U9" s="523">
        <v>46266</v>
      </c>
    </row>
    <row r="10" spans="1:21">
      <c r="U10" s="523">
        <v>46296</v>
      </c>
    </row>
    <row r="11" spans="1:21">
      <c r="U11" s="523">
        <v>46327</v>
      </c>
    </row>
    <row r="12" spans="1:21">
      <c r="U12" s="523">
        <v>46357</v>
      </c>
    </row>
    <row r="13" spans="1:21">
      <c r="U13" s="523">
        <v>46388</v>
      </c>
    </row>
    <row r="14" spans="1:21">
      <c r="U14" s="523">
        <v>46419</v>
      </c>
    </row>
    <row r="15" spans="1:21">
      <c r="M15" s="14" t="str">
        <f>IF(K2=2028,"","■事業所概要の入力　※入力内容に変更があれば修正してください")</f>
        <v>■事業所概要の入力　※入力内容に変更があれば修正してください</v>
      </c>
      <c r="U15" s="523">
        <v>46447</v>
      </c>
    </row>
    <row r="16" spans="1:21">
      <c r="U16" s="523">
        <v>46478</v>
      </c>
    </row>
    <row r="17" spans="8:21">
      <c r="M17" s="14" t="str">
        <f>IF($K$2&gt;2027,"","■第１年度（"&amp;$K$2+1&amp;"年度）におけるエネルギー使用量等の実績値を入力")</f>
        <v>■第１年度（1年度）におけるエネルギー使用量等の実績値を入力</v>
      </c>
      <c r="U17" s="523">
        <v>46508</v>
      </c>
    </row>
    <row r="18" spans="8:21">
      <c r="M18" s="14" t="str">
        <f>IF($K$2&gt;2026,"","■第２年度（"&amp;$K$2+2&amp;"年度）におけるエネルギー使用量等の実績値を入力")</f>
        <v>■第２年度（2年度）におけるエネルギー使用量等の実績値を入力</v>
      </c>
      <c r="U18" s="523">
        <v>46539</v>
      </c>
    </row>
    <row r="19" spans="8:21">
      <c r="M19" s="14" t="str">
        <f>IF($K$2&gt;2025,"","■第３年度（"&amp;$K$2+3&amp;"年度）におけるエネルギー使用量等の実績値を入力")</f>
        <v>■第３年度（3年度）におけるエネルギー使用量等の実績値を入力</v>
      </c>
      <c r="U19" s="523">
        <v>46569</v>
      </c>
    </row>
    <row r="20" spans="8:21">
      <c r="U20" s="523">
        <v>46600</v>
      </c>
    </row>
    <row r="21" spans="8:21">
      <c r="U21" s="523">
        <v>46631</v>
      </c>
    </row>
    <row r="22" spans="8:21">
      <c r="U22" s="523">
        <v>46661</v>
      </c>
    </row>
    <row r="23" spans="8:21">
      <c r="U23" s="523">
        <v>46692</v>
      </c>
    </row>
    <row r="24" spans="8:21">
      <c r="U24" s="523">
        <v>46722</v>
      </c>
    </row>
    <row r="25" spans="8:21">
      <c r="U25" s="523">
        <v>46753</v>
      </c>
    </row>
    <row r="26" spans="8:21">
      <c r="U26" s="523">
        <v>46784</v>
      </c>
    </row>
    <row r="27" spans="8:21">
      <c r="U27" s="523">
        <v>46813</v>
      </c>
    </row>
    <row r="28" spans="8:21">
      <c r="U28" s="523">
        <v>46844</v>
      </c>
    </row>
    <row r="31" spans="8:21">
      <c r="H31" s="39" t="s">
        <v>4532</v>
      </c>
    </row>
  </sheetData>
  <sheetProtection algorithmName="SHA-512" hashValue="/0DTAfI5HV0Yvnb08gkpuopP4VDRqj7ez0xVjPZ+hcUCGloPrtkrVLJyrWFj45N7jVjy4PgCqqsodJq6g6S4Ww==" saltValue="tt9H/ZH/RyI45VgN6NQNag==" spinCount="100000" sheet="1" objects="1" scenarios="1" selectLockedCells="1"/>
  <phoneticPr fontId="1"/>
  <conditionalFormatting sqref="C1">
    <cfRule type="expression" dxfId="313" priority="4">
      <formula>$K$8=1</formula>
    </cfRule>
  </conditionalFormatting>
  <conditionalFormatting sqref="D1">
    <cfRule type="expression" dxfId="312" priority="3">
      <formula>$K$8=2</formula>
    </cfRule>
  </conditionalFormatting>
  <conditionalFormatting sqref="E1">
    <cfRule type="expression" dxfId="311" priority="2">
      <formula>$K$8=3</formula>
    </cfRule>
  </conditionalFormatting>
  <conditionalFormatting sqref="E2">
    <cfRule type="expression" dxfId="310" priority="5">
      <formula>SUM($K$2,$K$8)&gt;=2030</formula>
    </cfRule>
  </conditionalFormatting>
  <conditionalFormatting sqref="F1">
    <cfRule type="expression" dxfId="309" priority="1">
      <formula>$K$8=4</formula>
    </cfRule>
  </conditionalFormatting>
  <dataValidations count="3">
    <dataValidation imeMode="halfAlpha" allowBlank="1" showInputMessage="1" showErrorMessage="1" sqref="K2" xr:uid="{069535BA-593E-4ADB-ABB1-0F047852F0B0}"/>
    <dataValidation type="list" allowBlank="1" showInputMessage="1" showErrorMessage="1" sqref="K8" xr:uid="{8980AFBF-5406-4529-A2C5-88A6B2CA74D1}">
      <formula1>"0,1,2,3,4"</formula1>
    </dataValidation>
    <dataValidation type="list" imeMode="halfAlpha" allowBlank="1" showInputMessage="1" showErrorMessage="1" sqref="L1" xr:uid="{4D3F8A11-891A-4461-A97D-39C94C78C18B}">
      <formula1>"0,1,2"</formula1>
    </dataValidation>
  </dataValidations>
  <pageMargins left="0.70866141732283472" right="0.70866141732283472" top="0.74803149606299213" bottom="0.74803149606299213" header="0.31496062992125984" footer="0.31496062992125984"/>
  <pageSetup paperSize="9" scale="53" orientation="portrait" verticalDpi="0" r:id="rId1"/>
  <headerFooter>
    <oddFooter>&amp;R&amp;"メイリオ,レギュラー"&amp;8（特定事業者（運送事業者）用</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BEE0-F307-4534-B23D-91FE52C5FCC7}">
  <sheetPr codeName="Sheet4">
    <tabColor theme="6" tint="-0.249977111117893"/>
    <pageSetUpPr fitToPage="1"/>
  </sheetPr>
  <dimension ref="A1:AB79"/>
  <sheetViews>
    <sheetView showGridLines="0" view="pageBreakPreview" topLeftCell="C1" zoomScaleNormal="70" zoomScaleSheetLayoutView="100" workbookViewId="0">
      <pane ySplit="2" topLeftCell="A3" activePane="bottomLeft" state="frozen"/>
      <selection activeCell="O16" sqref="O16"/>
      <selection pane="bottomLeft" activeCell="C2" sqref="C2"/>
    </sheetView>
  </sheetViews>
  <sheetFormatPr defaultColWidth="8.90625" defaultRowHeight="17.5"/>
  <cols>
    <col min="1" max="1" width="4.90625" style="26" hidden="1" customWidth="1"/>
    <col min="2" max="2" width="5.08984375" style="27" hidden="1" customWidth="1"/>
    <col min="3" max="3" width="4.453125" style="26" customWidth="1"/>
    <col min="4" max="4" width="5.81640625" style="26" customWidth="1"/>
    <col min="5" max="5" width="9.54296875" style="26" customWidth="1"/>
    <col min="6" max="6" width="12.81640625" style="26" customWidth="1"/>
    <col min="7" max="14" width="9.54296875" style="26" customWidth="1"/>
    <col min="15" max="15" width="15" style="26" customWidth="1"/>
    <col min="16" max="20" width="14.08984375" style="26" hidden="1" customWidth="1"/>
    <col min="21" max="21" width="42.6328125" style="26" customWidth="1"/>
    <col min="22" max="22" width="13.453125" style="26" customWidth="1"/>
    <col min="23" max="25" width="14.81640625" style="26" customWidth="1"/>
    <col min="26" max="27" width="13.453125" style="26" customWidth="1"/>
    <col min="28" max="28" width="12.36328125" style="23" customWidth="1"/>
    <col min="29" max="16384" width="8.90625" style="24"/>
  </cols>
  <sheetData>
    <row r="1" spans="1:27" ht="26.4" customHeight="1">
      <c r="A1" s="299"/>
      <c r="C1" s="300" t="s">
        <v>97</v>
      </c>
      <c r="D1" s="300"/>
      <c r="E1" s="300"/>
      <c r="F1" s="300"/>
      <c r="G1" s="300"/>
      <c r="H1" s="301"/>
      <c r="I1" s="302"/>
      <c r="J1" s="302"/>
      <c r="K1" s="302"/>
      <c r="L1" s="303" t="s">
        <v>4009</v>
      </c>
      <c r="M1" s="1035" t="str">
        <f>"（"&amp;T2&amp;"年度）"</f>
        <v>（1年度）</v>
      </c>
      <c r="N1" s="1035"/>
      <c r="P1" s="304"/>
      <c r="Q1" s="304"/>
      <c r="R1" s="304"/>
      <c r="S1" s="304"/>
      <c r="T1" s="304">
        <f>'入力シート（計画書）'!$K$7</f>
        <v>0</v>
      </c>
      <c r="U1" s="299"/>
      <c r="V1" s="299"/>
      <c r="W1" s="299"/>
      <c r="X1" s="299"/>
      <c r="Y1" s="299"/>
      <c r="Z1" s="299"/>
      <c r="AA1" s="299"/>
    </row>
    <row r="2" spans="1:27" ht="17.399999999999999" customHeight="1">
      <c r="G2" s="47"/>
      <c r="H2" s="47"/>
      <c r="I2" s="47"/>
      <c r="J2" s="47"/>
      <c r="K2" s="47"/>
      <c r="L2" s="47"/>
      <c r="M2" s="47"/>
      <c r="N2" s="47"/>
      <c r="O2" s="49"/>
      <c r="P2" s="49"/>
      <c r="Q2" s="49"/>
      <c r="R2" s="49"/>
      <c r="S2" s="49"/>
      <c r="T2" s="304">
        <f>T1+1</f>
        <v>1</v>
      </c>
    </row>
    <row r="3" spans="1:27" ht="23" thickBot="1">
      <c r="C3" s="60" t="s">
        <v>4500</v>
      </c>
      <c r="D3" s="60"/>
      <c r="E3" s="47"/>
      <c r="I3" s="47"/>
      <c r="J3" s="47"/>
      <c r="K3" s="47"/>
      <c r="L3" s="47"/>
      <c r="M3" s="47"/>
      <c r="N3" s="47"/>
      <c r="O3" s="55"/>
      <c r="P3" s="55"/>
      <c r="Q3" s="55"/>
      <c r="R3" s="55"/>
      <c r="S3" s="55"/>
      <c r="T3" s="55"/>
      <c r="U3" s="60" t="s">
        <v>4500</v>
      </c>
      <c r="X3" s="306"/>
      <c r="Y3" s="306"/>
    </row>
    <row r="4" spans="1:27" ht="19.399999999999999" customHeight="1">
      <c r="C4" s="1077" t="s">
        <v>4214</v>
      </c>
      <c r="D4" s="1078"/>
      <c r="E4" s="1078"/>
      <c r="F4" s="1078"/>
      <c r="G4" s="1078"/>
      <c r="H4" s="1078"/>
      <c r="I4" s="1079"/>
      <c r="J4" s="1079"/>
      <c r="K4" s="1036" t="s">
        <v>89</v>
      </c>
      <c r="L4" s="1038" t="s">
        <v>36</v>
      </c>
      <c r="M4" s="1040" t="s">
        <v>4168</v>
      </c>
      <c r="N4" s="1042" t="s">
        <v>4496</v>
      </c>
      <c r="O4" s="55"/>
      <c r="P4" s="60"/>
      <c r="Q4" s="60"/>
      <c r="R4" s="26">
        <f>IF(V4=0,0,1)</f>
        <v>0</v>
      </c>
      <c r="S4" s="60"/>
      <c r="T4" s="55"/>
      <c r="U4" s="307" t="s">
        <v>90</v>
      </c>
      <c r="V4" s="308">
        <f>SUM(M15,M22)</f>
        <v>0</v>
      </c>
      <c r="W4" s="309" t="s">
        <v>4025</v>
      </c>
    </row>
    <row r="5" spans="1:27" ht="19.399999999999999" customHeight="1">
      <c r="C5" s="1080"/>
      <c r="D5" s="1081"/>
      <c r="E5" s="1081"/>
      <c r="F5" s="1081"/>
      <c r="G5" s="1081"/>
      <c r="H5" s="1081"/>
      <c r="I5" s="1082"/>
      <c r="J5" s="1082"/>
      <c r="K5" s="1037"/>
      <c r="L5" s="1039"/>
      <c r="M5" s="1041"/>
      <c r="N5" s="1043"/>
      <c r="O5" s="55"/>
      <c r="P5" s="310" t="s">
        <v>4380</v>
      </c>
      <c r="Q5" s="310" t="s">
        <v>4381</v>
      </c>
      <c r="R5" s="310" t="s">
        <v>4122</v>
      </c>
      <c r="S5" s="310" t="s">
        <v>4177</v>
      </c>
      <c r="T5" s="55"/>
      <c r="U5" s="311" t="s">
        <v>91</v>
      </c>
      <c r="V5" s="312">
        <f>V4*0.0258</f>
        <v>0</v>
      </c>
      <c r="W5" s="313" t="s">
        <v>92</v>
      </c>
      <c r="X5" s="314"/>
    </row>
    <row r="6" spans="1:27" ht="19.399999999999999" customHeight="1" thickBot="1">
      <c r="C6" s="1084" t="s">
        <v>4408</v>
      </c>
      <c r="D6" s="888"/>
      <c r="E6" s="888"/>
      <c r="F6" s="888"/>
      <c r="G6" s="888"/>
      <c r="H6" s="888"/>
      <c r="I6" s="888"/>
      <c r="J6" s="888"/>
      <c r="K6" s="716" t="str">
        <f>IF('入力シート（第１年度報告書）'!M18="","",'入力シート（第１年度報告書）'!M18)</f>
        <v/>
      </c>
      <c r="L6" s="315" t="s">
        <v>4113</v>
      </c>
      <c r="M6" s="394" t="str">
        <f>IFERROR(IF(K6="","",$K6*R6),"----------")</f>
        <v/>
      </c>
      <c r="N6" s="387" t="str">
        <f>IFERROR(IF(K6="","",$M6*S6*44/12),"----------")</f>
        <v/>
      </c>
      <c r="O6" s="316"/>
      <c r="P6" s="317" t="s">
        <v>4178</v>
      </c>
      <c r="Q6" s="317" t="s">
        <v>4178</v>
      </c>
      <c r="R6" s="317">
        <f t="shared" ref="R6:R13" si="0">VLOOKUP($P6,係数2025,7,0)</f>
        <v>33.4</v>
      </c>
      <c r="S6" s="318">
        <f t="shared" ref="S6:S13" si="1">VLOOKUP($P6,係数2025,9,0)</f>
        <v>1.8700000000000001E-2</v>
      </c>
      <c r="T6" s="316"/>
      <c r="U6" s="319" t="s">
        <v>93</v>
      </c>
      <c r="V6" s="320">
        <f>ROUNDDOWN(SUM(N15,N22),0)</f>
        <v>0</v>
      </c>
      <c r="W6" s="321" t="s">
        <v>4499</v>
      </c>
    </row>
    <row r="7" spans="1:27" ht="19.399999999999999" customHeight="1">
      <c r="C7" s="1083" t="s">
        <v>40</v>
      </c>
      <c r="D7" s="891"/>
      <c r="E7" s="891"/>
      <c r="F7" s="891"/>
      <c r="G7" s="891"/>
      <c r="H7" s="891"/>
      <c r="I7" s="891"/>
      <c r="J7" s="891"/>
      <c r="K7" s="678" t="str">
        <f>IF('入力シート（第１年度報告書）'!M19="","",'入力シート（第１年度報告書）'!M19)</f>
        <v/>
      </c>
      <c r="L7" s="323" t="s">
        <v>4113</v>
      </c>
      <c r="M7" s="395" t="str">
        <f t="shared" ref="M7:M9" si="2">IFERROR(IF(K7="","",$K7*R7),"----------")</f>
        <v/>
      </c>
      <c r="N7" s="388" t="str">
        <f>IFERROR(IF(K7="","",$M7*S7*44/12),"----------")</f>
        <v/>
      </c>
      <c r="O7" s="316"/>
      <c r="P7" s="317" t="s">
        <v>40</v>
      </c>
      <c r="Q7" s="317" t="s">
        <v>40</v>
      </c>
      <c r="R7" s="317">
        <f t="shared" si="0"/>
        <v>38</v>
      </c>
      <c r="S7" s="318">
        <f t="shared" si="1"/>
        <v>1.8800000000000001E-2</v>
      </c>
      <c r="T7" s="316"/>
      <c r="X7" s="27"/>
      <c r="Y7" s="27"/>
      <c r="Z7" s="27"/>
      <c r="AA7" s="27"/>
    </row>
    <row r="8" spans="1:27" ht="19.399999999999999" customHeight="1" thickBot="1">
      <c r="C8" s="1083" t="s">
        <v>4409</v>
      </c>
      <c r="D8" s="891"/>
      <c r="E8" s="891"/>
      <c r="F8" s="891"/>
      <c r="G8" s="891"/>
      <c r="H8" s="891"/>
      <c r="I8" s="891"/>
      <c r="J8" s="891"/>
      <c r="K8" s="678" t="str">
        <f>IF('入力シート（第１年度報告書）'!M20="","",'入力シート（第１年度報告書）'!M20)</f>
        <v/>
      </c>
      <c r="L8" s="323" t="s">
        <v>4112</v>
      </c>
      <c r="M8" s="395" t="str">
        <f t="shared" si="2"/>
        <v/>
      </c>
      <c r="N8" s="388" t="str">
        <f t="shared" ref="N8:N9" si="3">IFERROR(IF(K8="","",$M8*S8*44/12),"----------")</f>
        <v/>
      </c>
      <c r="O8" s="316"/>
      <c r="P8" s="317" t="s">
        <v>4180</v>
      </c>
      <c r="Q8" s="317" t="s">
        <v>4180</v>
      </c>
      <c r="R8" s="317">
        <f t="shared" si="0"/>
        <v>50.1</v>
      </c>
      <c r="S8" s="318">
        <f t="shared" si="1"/>
        <v>1.6299999999999999E-2</v>
      </c>
      <c r="T8" s="316"/>
      <c r="U8" s="60" t="s">
        <v>4501</v>
      </c>
      <c r="X8" s="27"/>
      <c r="Y8" s="27"/>
      <c r="Z8" s="27"/>
      <c r="AA8" s="27"/>
    </row>
    <row r="9" spans="1:27" ht="19.399999999999999" customHeight="1" thickBot="1">
      <c r="C9" s="1083" t="s">
        <v>4410</v>
      </c>
      <c r="D9" s="891"/>
      <c r="E9" s="891"/>
      <c r="F9" s="891"/>
      <c r="G9" s="891"/>
      <c r="H9" s="891"/>
      <c r="I9" s="891"/>
      <c r="J9" s="891"/>
      <c r="K9" s="678" t="str">
        <f>IF('入力シート（第１年度報告書）'!M21="","",'入力シート（第１年度報告書）'!M21)</f>
        <v/>
      </c>
      <c r="L9" s="323" t="s">
        <v>4112</v>
      </c>
      <c r="M9" s="395" t="str">
        <f t="shared" si="2"/>
        <v/>
      </c>
      <c r="N9" s="388" t="str">
        <f t="shared" si="3"/>
        <v/>
      </c>
      <c r="O9" s="316"/>
      <c r="P9" s="317" t="s">
        <v>4182</v>
      </c>
      <c r="Q9" s="317" t="s">
        <v>4182</v>
      </c>
      <c r="R9" s="317">
        <f t="shared" si="0"/>
        <v>54.7</v>
      </c>
      <c r="S9" s="318">
        <f t="shared" si="1"/>
        <v>1.3899999999999999E-2</v>
      </c>
      <c r="T9" s="55" t="s">
        <v>4539</v>
      </c>
      <c r="U9" s="324" t="s">
        <v>93</v>
      </c>
      <c r="V9" s="325">
        <f>SUM(G36)</f>
        <v>0</v>
      </c>
      <c r="W9" s="326" t="s">
        <v>4499</v>
      </c>
      <c r="Y9" s="27"/>
      <c r="Z9" s="27"/>
      <c r="AA9" s="27"/>
    </row>
    <row r="10" spans="1:27" ht="19.399999999999999" customHeight="1">
      <c r="C10" s="1083" t="s">
        <v>4411</v>
      </c>
      <c r="D10" s="891"/>
      <c r="E10" s="891"/>
      <c r="F10" s="891"/>
      <c r="G10" s="891"/>
      <c r="H10" s="891"/>
      <c r="I10" s="891"/>
      <c r="J10" s="891"/>
      <c r="K10" s="678" t="str">
        <f>IF('入力シート（第１年度報告書）'!M22="","",'入力シート（第１年度報告書）'!M22)</f>
        <v/>
      </c>
      <c r="L10" s="323" t="s">
        <v>4412</v>
      </c>
      <c r="M10" s="395" t="str">
        <f t="shared" ref="M10:M12" si="4">IFERROR(IF(K10="","",$K10*R10),"----------")</f>
        <v/>
      </c>
      <c r="N10" s="388" t="str">
        <f>IFERROR(IF(K10="","",$M10*S10*T10*44/12),"----------")</f>
        <v/>
      </c>
      <c r="O10" s="316"/>
      <c r="P10" s="317" t="s">
        <v>4184</v>
      </c>
      <c r="Q10" s="317" t="s">
        <v>4184</v>
      </c>
      <c r="R10" s="317">
        <f t="shared" si="0"/>
        <v>45</v>
      </c>
      <c r="S10" s="318">
        <f t="shared" si="1"/>
        <v>1.4E-2</v>
      </c>
      <c r="T10" s="710">
        <v>0.90400000000000003</v>
      </c>
    </row>
    <row r="11" spans="1:27" ht="19.399999999999999" customHeight="1" thickBot="1">
      <c r="C11" s="1083" t="s">
        <v>4413</v>
      </c>
      <c r="D11" s="891"/>
      <c r="E11" s="891"/>
      <c r="F11" s="891"/>
      <c r="G11" s="891"/>
      <c r="H11" s="891"/>
      <c r="I11" s="891"/>
      <c r="J11" s="891"/>
      <c r="K11" s="678" t="str">
        <f>IF('入力シート（第１年度報告書）'!M23="","",'入力シート（第１年度報告書）'!M23)</f>
        <v/>
      </c>
      <c r="L11" s="327" t="s">
        <v>4112</v>
      </c>
      <c r="M11" s="395" t="str">
        <f t="shared" si="4"/>
        <v/>
      </c>
      <c r="N11" s="389"/>
      <c r="O11" s="316"/>
      <c r="P11" s="317" t="s">
        <v>4215</v>
      </c>
      <c r="Q11" s="317" t="s">
        <v>4215</v>
      </c>
      <c r="R11" s="317">
        <f t="shared" si="0"/>
        <v>142</v>
      </c>
      <c r="S11" s="318" t="str">
        <f t="shared" si="1"/>
        <v>ー</v>
      </c>
      <c r="T11" s="316"/>
      <c r="U11" s="60" t="s">
        <v>99</v>
      </c>
    </row>
    <row r="12" spans="1:27" ht="19.399999999999999" customHeight="1" thickBot="1">
      <c r="C12" s="1083" t="s">
        <v>4512</v>
      </c>
      <c r="D12" s="891"/>
      <c r="E12" s="891"/>
      <c r="F12" s="891"/>
      <c r="G12" s="891"/>
      <c r="H12" s="891"/>
      <c r="I12" s="891"/>
      <c r="J12" s="891"/>
      <c r="K12" s="678" t="str">
        <f>IF('入力シート（第１年度報告書）'!M24="","",'入力シート（第１年度報告書）'!M24)</f>
        <v/>
      </c>
      <c r="L12" s="327" t="s">
        <v>4113</v>
      </c>
      <c r="M12" s="395" t="str">
        <f t="shared" si="4"/>
        <v/>
      </c>
      <c r="N12" s="389"/>
      <c r="O12" s="316"/>
      <c r="P12" s="317" t="s">
        <v>4129</v>
      </c>
      <c r="Q12" s="317" t="s">
        <v>4129</v>
      </c>
      <c r="R12" s="317">
        <f t="shared" si="0"/>
        <v>23.4</v>
      </c>
      <c r="S12" s="318" t="str">
        <f t="shared" si="1"/>
        <v>ー</v>
      </c>
      <c r="T12" s="316"/>
      <c r="U12" s="324" t="s">
        <v>107</v>
      </c>
      <c r="V12" s="325">
        <f>SUM(G49)</f>
        <v>0</v>
      </c>
      <c r="W12" s="326" t="s">
        <v>4499</v>
      </c>
    </row>
    <row r="13" spans="1:27" ht="19.399999999999999" customHeight="1" thickBot="1">
      <c r="C13" s="1083" t="s">
        <v>4513</v>
      </c>
      <c r="D13" s="891"/>
      <c r="E13" s="891"/>
      <c r="F13" s="891"/>
      <c r="G13" s="891"/>
      <c r="H13" s="891"/>
      <c r="I13" s="891"/>
      <c r="J13" s="891"/>
      <c r="K13" s="678" t="str">
        <f>IF('入力シート（第１年度報告書）'!M25="","",'入力シート（第１年度報告書）'!M25)</f>
        <v/>
      </c>
      <c r="L13" s="327" t="s">
        <v>4113</v>
      </c>
      <c r="M13" s="395" t="str">
        <f>IFERROR(IF(K13="","",$K13*R13),"----------")</f>
        <v/>
      </c>
      <c r="N13" s="389"/>
      <c r="O13" s="316"/>
      <c r="P13" s="317" t="s">
        <v>4131</v>
      </c>
      <c r="Q13" s="317" t="s">
        <v>4131</v>
      </c>
      <c r="R13" s="317">
        <f t="shared" si="0"/>
        <v>35.6</v>
      </c>
      <c r="S13" s="318" t="str">
        <f t="shared" si="1"/>
        <v>ー</v>
      </c>
      <c r="T13" s="316"/>
    </row>
    <row r="14" spans="1:27" ht="19.399999999999999" customHeight="1" thickBot="1">
      <c r="C14" s="1085" t="s">
        <v>4229</v>
      </c>
      <c r="D14" s="1086"/>
      <c r="E14" s="1086"/>
      <c r="F14" s="1086"/>
      <c r="G14" s="1086"/>
      <c r="H14" s="1086"/>
      <c r="I14" s="1086"/>
      <c r="J14" s="1086"/>
      <c r="K14" s="678" t="str">
        <f>IF('入力シート（第１年度報告書）'!M26="","",'入力シート（第１年度報告書）'!M26)</f>
        <v/>
      </c>
      <c r="L14" s="323" t="str">
        <f>IF('入力シート（第１年度報告書）'!N26="","",'入力シート（第１年度報告書）'!N26)</f>
        <v/>
      </c>
      <c r="M14" s="395" t="str">
        <f>IF('入力シート（第１年度報告書）'!Q26="","",'入力シート（第１年度報告書）'!Q26)</f>
        <v/>
      </c>
      <c r="N14" s="388" t="str">
        <f>IF('入力シート（第１年度報告書）'!R26="","",'入力シート（第１年度報告書）'!R26)</f>
        <v/>
      </c>
      <c r="O14" s="316"/>
      <c r="P14" s="328"/>
      <c r="Q14" s="328"/>
      <c r="R14" s="328"/>
      <c r="S14" s="329"/>
      <c r="T14" s="316"/>
      <c r="U14" s="330" t="s">
        <v>108</v>
      </c>
      <c r="V14" s="331">
        <f>SUM(V6,V9,-V12)</f>
        <v>0</v>
      </c>
      <c r="W14" s="326" t="s">
        <v>4499</v>
      </c>
    </row>
    <row r="15" spans="1:27" ht="19.399999999999999" customHeight="1" thickTop="1" thickBot="1">
      <c r="C15" s="991" t="s">
        <v>65</v>
      </c>
      <c r="D15" s="992"/>
      <c r="E15" s="992"/>
      <c r="F15" s="992"/>
      <c r="G15" s="992"/>
      <c r="H15" s="992"/>
      <c r="I15" s="992"/>
      <c r="J15" s="992"/>
      <c r="K15" s="717" t="s">
        <v>66</v>
      </c>
      <c r="L15" s="332" t="s">
        <v>66</v>
      </c>
      <c r="M15" s="396">
        <f>SUM(M6:M14)</f>
        <v>0</v>
      </c>
      <c r="N15" s="390">
        <f>SUM(N6:N14)</f>
        <v>0</v>
      </c>
      <c r="O15" s="316"/>
    </row>
    <row r="16" spans="1:27" ht="19.399999999999999" customHeight="1" thickBot="1">
      <c r="M16" s="401"/>
      <c r="N16" s="393"/>
      <c r="O16" s="316"/>
      <c r="P16" s="23"/>
      <c r="Q16" s="23"/>
      <c r="R16" s="23"/>
      <c r="S16" s="23"/>
      <c r="T16" s="316"/>
      <c r="U16" s="60" t="s">
        <v>101</v>
      </c>
    </row>
    <row r="17" spans="1:27" ht="19.399999999999999" customHeight="1" thickBot="1">
      <c r="C17" s="60"/>
      <c r="D17" s="55"/>
      <c r="E17" s="55"/>
      <c r="F17" s="55"/>
      <c r="G17" s="55"/>
      <c r="H17" s="55"/>
      <c r="I17" s="333"/>
      <c r="J17" s="333"/>
      <c r="K17" s="333"/>
      <c r="L17" s="334"/>
      <c r="M17" s="397"/>
      <c r="N17" s="391"/>
      <c r="O17" s="316"/>
      <c r="P17" s="23"/>
      <c r="Q17" s="23"/>
      <c r="R17" s="23"/>
      <c r="S17" s="23"/>
      <c r="T17" s="316"/>
      <c r="U17" s="335" t="s">
        <v>3041</v>
      </c>
      <c r="V17" s="709">
        <f>IF(V14="","",IFERROR(ROUND(V14/G57,3-INT(LOG(V14/G57))),))</f>
        <v>0</v>
      </c>
      <c r="W17" s="1048" t="str">
        <f>"t-CO₂/"&amp;G56</f>
        <v>t-CO₂/</v>
      </c>
      <c r="X17" s="1049"/>
    </row>
    <row r="18" spans="1:27" ht="19.399999999999999" customHeight="1">
      <c r="C18" s="1077" t="s">
        <v>4216</v>
      </c>
      <c r="D18" s="1078"/>
      <c r="E18" s="1078"/>
      <c r="F18" s="1078"/>
      <c r="G18" s="1078"/>
      <c r="H18" s="1078"/>
      <c r="I18" s="1078"/>
      <c r="J18" s="1078"/>
      <c r="K18" s="1036" t="s">
        <v>89</v>
      </c>
      <c r="L18" s="1038" t="s">
        <v>36</v>
      </c>
      <c r="M18" s="1046" t="s">
        <v>4168</v>
      </c>
      <c r="N18" s="1054" t="s">
        <v>4496</v>
      </c>
      <c r="O18" s="316"/>
      <c r="P18" s="23"/>
      <c r="Q18" s="23"/>
      <c r="R18" s="23"/>
      <c r="S18" s="23"/>
      <c r="T18" s="316"/>
      <c r="Y18" s="27"/>
      <c r="Z18" s="27"/>
    </row>
    <row r="19" spans="1:27" ht="19.399999999999999" customHeight="1" thickBot="1">
      <c r="C19" s="1091"/>
      <c r="D19" s="1092"/>
      <c r="E19" s="1092"/>
      <c r="F19" s="1092"/>
      <c r="G19" s="1092"/>
      <c r="H19" s="1092"/>
      <c r="I19" s="1092"/>
      <c r="J19" s="1092"/>
      <c r="K19" s="1037"/>
      <c r="L19" s="1039"/>
      <c r="M19" s="1047"/>
      <c r="N19" s="1055"/>
      <c r="O19" s="316"/>
      <c r="P19" s="23"/>
      <c r="Q19" s="23"/>
      <c r="R19" s="23"/>
      <c r="S19" s="23"/>
      <c r="T19" s="316"/>
      <c r="U19" s="60" t="s">
        <v>4414</v>
      </c>
      <c r="X19" s="23"/>
      <c r="Y19" s="27"/>
      <c r="AA19" s="27"/>
    </row>
    <row r="20" spans="1:27" ht="19.399999999999999" customHeight="1" thickBot="1">
      <c r="C20" s="1089" t="s">
        <v>4217</v>
      </c>
      <c r="D20" s="1090"/>
      <c r="E20" s="1090"/>
      <c r="F20" s="1090"/>
      <c r="G20" s="1090"/>
      <c r="H20" s="1090"/>
      <c r="I20" s="1090"/>
      <c r="J20" s="1090"/>
      <c r="K20" s="690" t="str">
        <f>IF(COUNTBLANK(W28:W32)=5,"",W33)</f>
        <v/>
      </c>
      <c r="L20" s="336" t="s">
        <v>4170</v>
      </c>
      <c r="M20" s="398" t="str">
        <f>IFERROR(IF(K20="","",$K20*R32),"-------------")</f>
        <v/>
      </c>
      <c r="N20" s="388" t="str">
        <f>IF(COUNTBLANK(W28:W32)=5,"",Y33)</f>
        <v/>
      </c>
      <c r="O20" s="316"/>
      <c r="P20" s="23"/>
      <c r="Q20" s="23"/>
      <c r="R20" s="23"/>
      <c r="S20" s="23"/>
      <c r="U20" s="335" t="s">
        <v>4429</v>
      </c>
      <c r="V20" s="701">
        <f>IF(OR(F71=0,F71="",K71=0,K71=""),0,SUM(K63,K66,K69)/F71*100)</f>
        <v>0</v>
      </c>
      <c r="W20" s="326" t="s">
        <v>106</v>
      </c>
      <c r="X20" s="27"/>
      <c r="Y20" s="27"/>
      <c r="AA20" s="27"/>
    </row>
    <row r="21" spans="1:27" ht="19.399999999999999" customHeight="1" thickBot="1">
      <c r="C21" s="1087" t="s">
        <v>4218</v>
      </c>
      <c r="D21" s="1088"/>
      <c r="E21" s="1088"/>
      <c r="F21" s="1088"/>
      <c r="G21" s="1088"/>
      <c r="H21" s="1088"/>
      <c r="I21" s="1088"/>
      <c r="J21" s="1088"/>
      <c r="K21" s="691" t="str">
        <f>IF(COUNTBLANK(W38:W42)=5,"",W43)</f>
        <v/>
      </c>
      <c r="L21" s="339" t="s">
        <v>4170</v>
      </c>
      <c r="M21" s="399" t="str">
        <f>IFERROR(IF(K21="","",$K21*R37),"-------------")</f>
        <v/>
      </c>
      <c r="N21" s="392" t="str">
        <f>IF(K21="","",Y43)</f>
        <v/>
      </c>
      <c r="P21" s="23"/>
      <c r="Q21" s="23"/>
      <c r="R21" s="23"/>
      <c r="S21" s="23"/>
      <c r="X21" s="27"/>
      <c r="Y21" s="27"/>
      <c r="AA21" s="27"/>
    </row>
    <row r="22" spans="1:27" ht="19.399999999999999" customHeight="1" thickTop="1" thickBot="1">
      <c r="C22" s="991" t="s">
        <v>65</v>
      </c>
      <c r="D22" s="992"/>
      <c r="E22" s="992"/>
      <c r="F22" s="992"/>
      <c r="G22" s="992"/>
      <c r="H22" s="992"/>
      <c r="I22" s="992"/>
      <c r="J22" s="992"/>
      <c r="K22" s="718">
        <f>SUM(K20,K21)</f>
        <v>0</v>
      </c>
      <c r="L22" s="340" t="s">
        <v>4223</v>
      </c>
      <c r="M22" s="400">
        <f>SUM(M20,M21)</f>
        <v>0</v>
      </c>
      <c r="N22" s="390">
        <f>SUM(N20,N21)</f>
        <v>0</v>
      </c>
      <c r="P22" s="23"/>
      <c r="Q22" s="23"/>
      <c r="R22" s="23"/>
      <c r="S22" s="23"/>
      <c r="U22" s="23"/>
      <c r="V22" s="23"/>
      <c r="W22" s="23"/>
      <c r="X22" s="23"/>
      <c r="Y22" s="341"/>
      <c r="AA22" s="27"/>
    </row>
    <row r="23" spans="1:27">
      <c r="C23" s="375"/>
      <c r="D23" s="375"/>
      <c r="E23" s="375"/>
      <c r="F23" s="375"/>
      <c r="G23" s="375"/>
      <c r="H23" s="375"/>
      <c r="I23" s="375"/>
      <c r="J23" s="375"/>
      <c r="K23" s="342"/>
      <c r="L23" s="342"/>
      <c r="M23" s="342"/>
      <c r="N23" s="342"/>
      <c r="P23" s="23"/>
      <c r="Q23" s="23"/>
      <c r="R23" s="23"/>
      <c r="S23" s="23"/>
      <c r="U23" s="1050" t="s">
        <v>4428</v>
      </c>
      <c r="V23" s="1051"/>
      <c r="W23" s="343" t="s">
        <v>74</v>
      </c>
      <c r="X23" s="343" t="s">
        <v>82</v>
      </c>
      <c r="Y23" s="341"/>
      <c r="AA23" s="10"/>
    </row>
    <row r="24" spans="1:27" ht="19.399999999999999" customHeight="1">
      <c r="A24" s="26">
        <v>1</v>
      </c>
      <c r="C24" s="60"/>
      <c r="D24" s="59"/>
      <c r="E24" s="59"/>
      <c r="F24" s="59"/>
      <c r="G24" s="59"/>
      <c r="H24" s="59"/>
      <c r="I24" s="59"/>
      <c r="J24" s="59"/>
      <c r="K24" s="59"/>
      <c r="L24" s="59"/>
      <c r="M24" s="59"/>
      <c r="N24" s="59"/>
      <c r="P24" s="23"/>
      <c r="Q24" s="23"/>
      <c r="R24" s="23"/>
      <c r="S24" s="23"/>
      <c r="U24" s="1044" t="str">
        <f>IF('入力シート（第１年度報告書）'!G26="","",'入力シート（第１年度報告書）'!G26)</f>
        <v/>
      </c>
      <c r="V24" s="1045"/>
      <c r="W24" s="344" t="str">
        <f>IF('入力シート（第１年度報告書）'!O26="","",'入力シート（第１年度報告書）'!O26)</f>
        <v/>
      </c>
      <c r="X24" s="682" t="str">
        <f>IF('入力シート（第１年度報告書）'!P26="","",'入力シート（第１年度報告書）'!P26)</f>
        <v/>
      </c>
      <c r="AA24" s="10"/>
    </row>
    <row r="25" spans="1:27" ht="19.399999999999999" customHeight="1" thickBot="1">
      <c r="A25" s="26">
        <v>1</v>
      </c>
      <c r="C25" s="60" t="s">
        <v>4501</v>
      </c>
      <c r="D25" s="60"/>
      <c r="I25" s="59"/>
      <c r="J25" s="59"/>
      <c r="K25" s="59"/>
      <c r="L25" s="59"/>
      <c r="M25" s="59"/>
      <c r="N25" s="59"/>
      <c r="P25" s="23"/>
      <c r="Q25" s="23"/>
      <c r="R25" s="23"/>
      <c r="S25" s="23"/>
      <c r="U25" s="23"/>
      <c r="X25" s="27"/>
      <c r="Y25" s="341"/>
      <c r="Z25" s="10"/>
    </row>
    <row r="26" spans="1:27" ht="19.399999999999999" customHeight="1">
      <c r="C26" s="1077" t="s">
        <v>4220</v>
      </c>
      <c r="D26" s="1078"/>
      <c r="E26" s="1078"/>
      <c r="F26" s="1184"/>
      <c r="G26" s="1007" t="s">
        <v>4496</v>
      </c>
      <c r="H26" s="1008"/>
      <c r="I26" s="24"/>
      <c r="J26" s="24"/>
      <c r="K26" s="24"/>
      <c r="L26" s="24"/>
      <c r="M26" s="24"/>
      <c r="N26" s="24"/>
      <c r="P26" s="23"/>
      <c r="Q26" s="23"/>
      <c r="R26" s="23"/>
      <c r="S26" s="23"/>
      <c r="U26" s="1056" t="s">
        <v>4117</v>
      </c>
      <c r="V26" s="1057"/>
      <c r="W26" s="1052" t="s">
        <v>4228</v>
      </c>
      <c r="X26" s="1052" t="s">
        <v>4541</v>
      </c>
      <c r="Y26" s="1052" t="s">
        <v>4495</v>
      </c>
      <c r="Z26" s="10"/>
    </row>
    <row r="27" spans="1:27" ht="19.399999999999999" customHeight="1">
      <c r="C27" s="1091"/>
      <c r="D27" s="1092"/>
      <c r="E27" s="1092"/>
      <c r="F27" s="1185"/>
      <c r="G27" s="1022"/>
      <c r="H27" s="1023"/>
      <c r="I27" s="24"/>
      <c r="J27" s="24"/>
      <c r="K27" s="24"/>
      <c r="L27" s="24"/>
      <c r="M27" s="24"/>
      <c r="N27" s="24"/>
      <c r="P27" s="23"/>
      <c r="Q27" s="23"/>
      <c r="R27" s="23"/>
      <c r="S27" s="23"/>
      <c r="T27" s="316"/>
      <c r="U27" s="1058"/>
      <c r="V27" s="1059"/>
      <c r="W27" s="1053"/>
      <c r="X27" s="1053"/>
      <c r="Y27" s="1053"/>
      <c r="Z27" s="10"/>
      <c r="AA27" s="345"/>
    </row>
    <row r="28" spans="1:27" ht="19.399999999999999" customHeight="1" thickBot="1">
      <c r="A28" s="26">
        <v>1</v>
      </c>
      <c r="C28" s="1186"/>
      <c r="D28" s="1187"/>
      <c r="E28" s="1187"/>
      <c r="F28" s="1188"/>
      <c r="G28" s="1009"/>
      <c r="H28" s="1010"/>
      <c r="I28" s="24"/>
      <c r="J28" s="24"/>
      <c r="K28" s="24"/>
      <c r="L28" s="24"/>
      <c r="M28" s="24"/>
      <c r="N28" s="24"/>
      <c r="O28" s="316"/>
      <c r="P28" s="23"/>
      <c r="Q28" s="23"/>
      <c r="R28" s="23"/>
      <c r="S28" s="23"/>
      <c r="T28" s="316"/>
      <c r="U28" s="1071" t="str">
        <f>'入力シート（第１年度報告書）'!F44&amp;""</f>
        <v/>
      </c>
      <c r="V28" s="1072"/>
      <c r="W28" s="687" t="str">
        <f>IF('入力シート（第１年度報告書）'!G44="","",'入力シート（第１年度報告書）'!G44)</f>
        <v/>
      </c>
      <c r="X28" s="683" t="str">
        <f>IF('入力シート（第１年度報告書）'!I44="","",'入力シート（第１年度報告書）'!I44)</f>
        <v/>
      </c>
      <c r="Y28" s="685" t="str">
        <f>IF(W28="","",X28*W28)</f>
        <v/>
      </c>
      <c r="Z28" s="346"/>
      <c r="AA28" s="345"/>
    </row>
    <row r="29" spans="1:27" ht="19.399999999999999" customHeight="1">
      <c r="C29" s="347" t="s">
        <v>4498</v>
      </c>
      <c r="D29" s="347"/>
      <c r="E29" s="348"/>
      <c r="F29" s="348"/>
      <c r="G29" s="1028" t="str">
        <f>IF('入力シート（第１年度報告書）'!G68="","",'入力シート（第１年度報告書）'!G68)</f>
        <v/>
      </c>
      <c r="H29" s="1029"/>
      <c r="I29" s="24"/>
      <c r="J29" s="24"/>
      <c r="K29" s="24"/>
      <c r="L29" s="24"/>
      <c r="M29" s="24"/>
      <c r="N29" s="24"/>
      <c r="O29" s="316"/>
      <c r="P29" s="23"/>
      <c r="Q29" s="23"/>
      <c r="R29" s="23"/>
      <c r="S29" s="23"/>
      <c r="U29" s="1071" t="str">
        <f>'入力シート（第１年度報告書）'!F45&amp;""</f>
        <v/>
      </c>
      <c r="V29" s="1072"/>
      <c r="W29" s="687" t="str">
        <f>IF('入力シート（第１年度報告書）'!G45="","",'入力シート（第１年度報告書）'!G45)</f>
        <v/>
      </c>
      <c r="X29" s="683" t="str">
        <f>IF('入力シート（第１年度報告書）'!I45="","",'入力シート（第１年度報告書）'!I45)</f>
        <v/>
      </c>
      <c r="Y29" s="685" t="str">
        <f>IF(W29="","",X29*W29)</f>
        <v/>
      </c>
      <c r="Z29" s="346"/>
      <c r="AA29" s="23"/>
    </row>
    <row r="30" spans="1:27" ht="19.399999999999999" customHeight="1">
      <c r="C30" s="63" t="s">
        <v>4171</v>
      </c>
      <c r="D30" s="63"/>
      <c r="E30" s="349"/>
      <c r="F30" s="349"/>
      <c r="G30" s="983" t="str">
        <f>IF('入力シート（第１年度報告書）'!G69="","",'入力シート（第１年度報告書）'!G69)</f>
        <v/>
      </c>
      <c r="H30" s="984"/>
      <c r="I30" s="24"/>
      <c r="J30" s="24"/>
      <c r="K30" s="24"/>
      <c r="L30" s="24"/>
      <c r="M30" s="24"/>
      <c r="N30" s="24"/>
      <c r="P30" s="23"/>
      <c r="Q30" s="23"/>
      <c r="R30" s="23"/>
      <c r="S30" s="23"/>
      <c r="U30" s="1071" t="str">
        <f>'入力シート（第１年度報告書）'!F46&amp;""</f>
        <v/>
      </c>
      <c r="V30" s="1072"/>
      <c r="W30" s="687" t="str">
        <f>IF('入力シート（第１年度報告書）'!G46="","",'入力シート（第１年度報告書）'!G46)</f>
        <v/>
      </c>
      <c r="X30" s="683" t="str">
        <f>IF('入力シート（第１年度報告書）'!I46="","",'入力シート（第１年度報告書）'!I46)</f>
        <v/>
      </c>
      <c r="Y30" s="685" t="str">
        <f>IF(W30="","",X30*W30)</f>
        <v/>
      </c>
      <c r="Z30" s="50"/>
      <c r="AA30" s="23"/>
    </row>
    <row r="31" spans="1:27" ht="19.399999999999999" customHeight="1">
      <c r="C31" s="63" t="s">
        <v>4172</v>
      </c>
      <c r="D31" s="63"/>
      <c r="E31" s="349"/>
      <c r="F31" s="349"/>
      <c r="G31" s="983" t="str">
        <f>IF('入力シート（第１年度報告書）'!G70="","",'入力シート（第１年度報告書）'!G70)</f>
        <v/>
      </c>
      <c r="H31" s="984"/>
      <c r="I31" s="24"/>
      <c r="J31" s="24"/>
      <c r="K31" s="24"/>
      <c r="L31" s="24"/>
      <c r="M31" s="24"/>
      <c r="N31" s="24"/>
      <c r="P31" s="310" t="s">
        <v>4380</v>
      </c>
      <c r="Q31" s="310" t="s">
        <v>4381</v>
      </c>
      <c r="R31" s="310" t="s">
        <v>4122</v>
      </c>
      <c r="S31" s="310" t="s">
        <v>4177</v>
      </c>
      <c r="U31" s="1075" t="str">
        <f>'入力シート（第１年度報告書）'!F47&amp;""</f>
        <v/>
      </c>
      <c r="V31" s="1076"/>
      <c r="W31" s="687" t="str">
        <f>IF('入力シート（第１年度報告書）'!G47="","",'入力シート（第１年度報告書）'!G47)</f>
        <v/>
      </c>
      <c r="X31" s="683" t="str">
        <f>IF('入力シート（第１年度報告書）'!I47="","",'入力シート（第１年度報告書）'!I47)</f>
        <v/>
      </c>
      <c r="Y31" s="685" t="str">
        <f>IF(W31="","",X31*W31)</f>
        <v/>
      </c>
      <c r="Z31" s="50"/>
      <c r="AA31" s="23"/>
    </row>
    <row r="32" spans="1:27" ht="19.399999999999999" customHeight="1" thickBot="1">
      <c r="C32" s="63" t="s">
        <v>95</v>
      </c>
      <c r="D32" s="63"/>
      <c r="E32" s="349"/>
      <c r="F32" s="349"/>
      <c r="G32" s="983" t="str">
        <f>IF('入力シート（第１年度報告書）'!G71="","",'入力シート（第１年度報告書）'!G71)</f>
        <v/>
      </c>
      <c r="H32" s="984"/>
      <c r="I32" s="24"/>
      <c r="J32" s="24"/>
      <c r="K32" s="24"/>
      <c r="L32" s="24"/>
      <c r="M32" s="24"/>
      <c r="N32" s="24"/>
      <c r="P32" s="350" t="s">
        <v>4388</v>
      </c>
      <c r="Q32" s="350"/>
      <c r="R32" s="350">
        <f>VLOOKUP($P32,係数2025,7,0)</f>
        <v>8.64</v>
      </c>
      <c r="S32" s="350" t="str">
        <f>VLOOKUP($P32,係数2025,9,0)</f>
        <v>ー</v>
      </c>
      <c r="U32" s="1073" t="str">
        <f>'入力シート（第１年度報告書）'!F48&amp;""</f>
        <v/>
      </c>
      <c r="V32" s="1074"/>
      <c r="W32" s="687" t="str">
        <f>IF('入力シート（第１年度報告書）'!G48="","",'入力シート（第１年度報告書）'!G48)</f>
        <v/>
      </c>
      <c r="X32" s="683" t="str">
        <f>IF('入力シート（第１年度報告書）'!I48="","",'入力シート（第１年度報告書）'!I48)</f>
        <v/>
      </c>
      <c r="Y32" s="685" t="str">
        <f>IF(W32="","",X32*W32)</f>
        <v/>
      </c>
      <c r="Z32" s="50"/>
      <c r="AA32" s="23"/>
    </row>
    <row r="33" spans="1:27" ht="19.399999999999999" customHeight="1" thickTop="1">
      <c r="C33" s="63" t="s">
        <v>96</v>
      </c>
      <c r="D33" s="63"/>
      <c r="E33" s="349"/>
      <c r="F33" s="349"/>
      <c r="G33" s="983" t="str">
        <f>IF('入力シート（第１年度報告書）'!G72="","",'入力シート（第１年度報告書）'!G72)</f>
        <v/>
      </c>
      <c r="H33" s="984"/>
      <c r="I33" s="24"/>
      <c r="J33" s="24"/>
      <c r="K33" s="24"/>
      <c r="L33" s="24"/>
      <c r="M33" s="24"/>
      <c r="N33" s="24"/>
      <c r="P33" s="350" t="s">
        <v>4388</v>
      </c>
      <c r="Q33" s="350"/>
      <c r="R33" s="350">
        <f>VLOOKUP($P33,係数2025,7,0)</f>
        <v>8.64</v>
      </c>
      <c r="S33" s="350" t="str">
        <f>VLOOKUP($P33,係数2025,9,0)</f>
        <v>ー</v>
      </c>
      <c r="U33" s="1060" t="s">
        <v>81</v>
      </c>
      <c r="V33" s="1061"/>
      <c r="W33" s="688" t="str">
        <f>IF(COUNTBLANK(W28:W32)=5,"",SUM(W28:W32))</f>
        <v/>
      </c>
      <c r="X33" s="351"/>
      <c r="Y33" s="686" t="str">
        <f>IF(COUNTBLANK(U28:U32)=5,"",SUM(Y28:Y32))</f>
        <v/>
      </c>
      <c r="Z33" s="50"/>
      <c r="AA33" s="23"/>
    </row>
    <row r="34" spans="1:27" ht="19.399999999999999" customHeight="1">
      <c r="C34" s="63" t="s">
        <v>4173</v>
      </c>
      <c r="D34" s="63"/>
      <c r="E34" s="349"/>
      <c r="F34" s="349"/>
      <c r="G34" s="983" t="str">
        <f>IF('入力シート（第１年度報告書）'!G73="","",'入力シート（第１年度報告書）'!G73)</f>
        <v/>
      </c>
      <c r="H34" s="984"/>
      <c r="I34" s="24"/>
      <c r="J34" s="24"/>
      <c r="K34" s="24"/>
      <c r="L34" s="24"/>
      <c r="M34" s="24"/>
      <c r="N34" s="24"/>
      <c r="P34" s="350"/>
      <c r="Q34" s="350"/>
      <c r="R34" s="350"/>
      <c r="S34" s="350"/>
      <c r="U34" s="352"/>
      <c r="V34" s="50"/>
      <c r="W34" s="50"/>
      <c r="X34" s="353"/>
      <c r="Y34" s="50"/>
      <c r="Z34" s="50"/>
      <c r="AA34" s="23"/>
    </row>
    <row r="35" spans="1:27" ht="19.399999999999999" customHeight="1" thickBot="1">
      <c r="C35" s="337" t="s">
        <v>4174</v>
      </c>
      <c r="D35" s="337"/>
      <c r="E35" s="338"/>
      <c r="F35" s="338"/>
      <c r="G35" s="1016" t="str">
        <f>IF('入力シート（第１年度報告書）'!G74="","",'入力シート（第１年度報告書）'!G74)</f>
        <v/>
      </c>
      <c r="H35" s="1017"/>
      <c r="I35" s="24"/>
      <c r="J35" s="24"/>
      <c r="K35" s="24"/>
      <c r="L35" s="24"/>
      <c r="M35" s="24"/>
      <c r="N35" s="24"/>
      <c r="P35" s="350" t="s">
        <v>4378</v>
      </c>
      <c r="Q35" s="350"/>
      <c r="R35" s="350">
        <f>VLOOKUP($P35,係数2025,7,0)</f>
        <v>8.64</v>
      </c>
      <c r="S35" s="350" t="str">
        <f>VLOOKUP($P35,係数2025,9,0)</f>
        <v>ー</v>
      </c>
      <c r="U35" s="352"/>
      <c r="V35" s="50"/>
      <c r="W35" s="50"/>
      <c r="X35" s="27"/>
      <c r="Y35" s="27"/>
      <c r="Z35" s="354"/>
      <c r="AA35" s="23"/>
    </row>
    <row r="36" spans="1:27" ht="19.399999999999999" customHeight="1" thickTop="1" thickBot="1">
      <c r="C36" s="991" t="s">
        <v>98</v>
      </c>
      <c r="D36" s="992"/>
      <c r="E36" s="992"/>
      <c r="F36" s="993"/>
      <c r="G36" s="1014" t="str">
        <f>IF(COUNTBLANK(G29:G35)=7,"",SUM(G29:G35))</f>
        <v/>
      </c>
      <c r="H36" s="1015"/>
      <c r="I36" s="24"/>
      <c r="J36" s="24"/>
      <c r="K36" s="24"/>
      <c r="L36" s="24"/>
      <c r="M36" s="24"/>
      <c r="N36" s="24"/>
      <c r="P36" s="355" t="s">
        <v>4389</v>
      </c>
      <c r="Q36" s="355"/>
      <c r="R36" s="350" t="str">
        <f>VLOOKUP($P36,係数2025,7,0)</f>
        <v>ー</v>
      </c>
      <c r="S36" s="350" t="str">
        <f>VLOOKUP($P36,係数2025,9,0)</f>
        <v>ー</v>
      </c>
      <c r="U36" s="1067" t="s">
        <v>4382</v>
      </c>
      <c r="V36" s="1068"/>
      <c r="W36" s="1052" t="s">
        <v>3045</v>
      </c>
      <c r="X36" s="1052" t="s">
        <v>4541</v>
      </c>
      <c r="Y36" s="1052" t="s">
        <v>4495</v>
      </c>
      <c r="Z36" s="354"/>
      <c r="AA36" s="23"/>
    </row>
    <row r="37" spans="1:27" ht="19.399999999999999" customHeight="1">
      <c r="C37" s="55"/>
      <c r="D37" s="55"/>
      <c r="E37" s="55"/>
      <c r="F37" s="55"/>
      <c r="G37" s="67"/>
      <c r="H37" s="67"/>
      <c r="P37" s="355" t="s">
        <v>4379</v>
      </c>
      <c r="Q37" s="355"/>
      <c r="R37" s="350">
        <f>VLOOKUP($P37,係数2025,7,0)</f>
        <v>8.64</v>
      </c>
      <c r="S37" s="350" t="str">
        <f>VLOOKUP($P37,係数2025,9,0)</f>
        <v>ー</v>
      </c>
      <c r="U37" s="1069"/>
      <c r="V37" s="1070"/>
      <c r="W37" s="1053"/>
      <c r="X37" s="1053"/>
      <c r="Y37" s="1053"/>
      <c r="Z37" s="356"/>
      <c r="AA37" s="354"/>
    </row>
    <row r="38" spans="1:27" ht="19.399999999999999" customHeight="1">
      <c r="P38" s="350"/>
      <c r="Q38" s="350"/>
      <c r="R38" s="350"/>
      <c r="S38" s="350"/>
      <c r="U38" s="1064" t="str">
        <f>IF('入力シート（第１年度報告書）'!F55="","",'入力シート（第１年度報告書）'!F55)</f>
        <v/>
      </c>
      <c r="V38" s="1065"/>
      <c r="W38" s="687" t="str">
        <f>IF('入力シート（第１年度報告書）'!G55="","",'入力シート（第１年度報告書）'!G55)</f>
        <v/>
      </c>
      <c r="X38" s="684" t="str">
        <f>IF('入力シート（第１年度報告書）'!I55="","",'入力シート（第１年度報告書）'!I55)</f>
        <v/>
      </c>
      <c r="Y38" s="685" t="str">
        <f>IF(W38="","",W38*X38)</f>
        <v/>
      </c>
      <c r="Z38" s="23"/>
      <c r="AA38" s="356"/>
    </row>
    <row r="39" spans="1:27" ht="19.399999999999999" customHeight="1" thickBot="1">
      <c r="C39" s="60" t="s">
        <v>99</v>
      </c>
      <c r="D39" s="60"/>
      <c r="P39" s="357"/>
      <c r="Q39" s="357"/>
      <c r="R39" s="357"/>
      <c r="S39" s="357"/>
      <c r="U39" s="1064" t="str">
        <f>IF('入力シート（第１年度報告書）'!F56="","",'入力シート（第１年度報告書）'!F56)</f>
        <v/>
      </c>
      <c r="V39" s="1065"/>
      <c r="W39" s="687" t="str">
        <f>IF('入力シート（第１年度報告書）'!G56="","",'入力シート（第１年度報告書）'!G56)</f>
        <v/>
      </c>
      <c r="X39" s="683" t="str">
        <f>IF('入力シート（第１年度報告書）'!I56="","",'入力シート（第１年度報告書）'!I56)</f>
        <v/>
      </c>
      <c r="Y39" s="685" t="str">
        <f>IF(W39="","",W39*X39)</f>
        <v/>
      </c>
      <c r="Z39" s="23"/>
      <c r="AA39" s="23"/>
    </row>
    <row r="40" spans="1:27" ht="19.399999999999999" customHeight="1">
      <c r="C40" s="999" t="s">
        <v>4221</v>
      </c>
      <c r="D40" s="1000"/>
      <c r="E40" s="1000"/>
      <c r="F40" s="1005"/>
      <c r="G40" s="1007" t="s">
        <v>4534</v>
      </c>
      <c r="H40" s="1008"/>
      <c r="U40" s="1064" t="str">
        <f>IF('入力シート（第１年度報告書）'!F57="","",'入力シート（第１年度報告書）'!F57)</f>
        <v/>
      </c>
      <c r="V40" s="1065"/>
      <c r="W40" s="689" t="str">
        <f>IF('入力シート（第１年度報告書）'!G57="","",'入力シート（第１年度報告書）'!G57)</f>
        <v/>
      </c>
      <c r="X40" s="684" t="str">
        <f>IF('入力シート（第１年度報告書）'!I57="","",'入力シート（第１年度報告書）'!I57)</f>
        <v/>
      </c>
      <c r="Y40" s="685" t="str">
        <f>IF(W40="","",W40*X40)</f>
        <v/>
      </c>
      <c r="Z40" s="23"/>
      <c r="AA40" s="23"/>
    </row>
    <row r="41" spans="1:27" ht="19.399999999999999" customHeight="1" thickBot="1">
      <c r="C41" s="1002"/>
      <c r="D41" s="1003"/>
      <c r="E41" s="1003"/>
      <c r="F41" s="1006"/>
      <c r="G41" s="1009"/>
      <c r="H41" s="1010"/>
      <c r="U41" s="1064" t="str">
        <f>IF('入力シート（第１年度報告書）'!F58="","",'入力シート（第１年度報告書）'!F58)</f>
        <v/>
      </c>
      <c r="V41" s="1065"/>
      <c r="W41" s="689" t="str">
        <f>IF('入力シート（第１年度報告書）'!G58="","",'入力シート（第１年度報告書）'!G58)</f>
        <v/>
      </c>
      <c r="X41" s="683" t="str">
        <f>IF('入力シート（第１年度報告書）'!I58="","",'入力シート（第１年度報告書）'!I58)</f>
        <v/>
      </c>
      <c r="Y41" s="685" t="str">
        <f>IF(W41="","",W41*X41)</f>
        <v/>
      </c>
      <c r="Z41" s="23"/>
      <c r="AA41" s="23"/>
    </row>
    <row r="42" spans="1:27" ht="19.399999999999999" customHeight="1" thickBot="1">
      <c r="C42" s="980" t="str">
        <f>IF('入力シート（第１年度報告書）'!E85="","",'入力シート（第１年度報告書）'!E85)</f>
        <v/>
      </c>
      <c r="D42" s="981"/>
      <c r="E42" s="981"/>
      <c r="F42" s="982"/>
      <c r="G42" s="1028" t="str">
        <f>IF('入力シート（第１年度報告書）'!G85="","",'入力シート（第１年度報告書）'!G85)</f>
        <v/>
      </c>
      <c r="H42" s="1029"/>
      <c r="U42" s="1062" t="str">
        <f>IF('入力シート（第１年度報告書）'!F59="","",'入力シート（第１年度報告書）'!F59)</f>
        <v/>
      </c>
      <c r="V42" s="1063"/>
      <c r="W42" s="692" t="str">
        <f>IF('入力シート（第１年度報告書）'!G59="","",'入力シート（第１年度報告書）'!G59)</f>
        <v/>
      </c>
      <c r="X42" s="693" t="str">
        <f>IF('入力シート（第１年度報告書）'!I59="","",'入力シート（第１年度報告書）'!I59)</f>
        <v/>
      </c>
      <c r="Y42" s="694" t="str">
        <f>IF(W42="","",W42*X42)</f>
        <v/>
      </c>
      <c r="Z42" s="23"/>
      <c r="AA42" s="23"/>
    </row>
    <row r="43" spans="1:27" ht="19.399999999999999" customHeight="1" thickTop="1">
      <c r="C43" s="977" t="str">
        <f>IF('入力シート（第１年度報告書）'!E86="","",'入力シート（第１年度報告書）'!E86)</f>
        <v/>
      </c>
      <c r="D43" s="978"/>
      <c r="E43" s="978"/>
      <c r="F43" s="979"/>
      <c r="G43" s="983" t="str">
        <f>IF('入力シート（第１年度報告書）'!G86="","",'入力シート（第１年度報告書）'!G86)</f>
        <v/>
      </c>
      <c r="H43" s="984"/>
      <c r="U43" s="1060" t="s">
        <v>81</v>
      </c>
      <c r="V43" s="1066"/>
      <c r="W43" s="688" t="str">
        <f>IF(COUNTBLANK(W38:W42)=5,"",SUM(W38:W42))</f>
        <v/>
      </c>
      <c r="X43" s="695"/>
      <c r="Y43" s="686" t="str">
        <f>IF(W43="","",SUM(Y38:Y42))</f>
        <v/>
      </c>
      <c r="Z43" s="23"/>
      <c r="AA43" s="23"/>
    </row>
    <row r="44" spans="1:27" ht="19.399999999999999" customHeight="1">
      <c r="C44" s="977" t="str">
        <f>IF('入力シート（第１年度報告書）'!E87="","",'入力シート（第１年度報告書）'!E87)</f>
        <v/>
      </c>
      <c r="D44" s="978"/>
      <c r="E44" s="978"/>
      <c r="F44" s="979"/>
      <c r="G44" s="983" t="str">
        <f>IF('入力シート（第１年度報告書）'!G87="","",'入力シート（第１年度報告書）'!G87)</f>
        <v/>
      </c>
      <c r="H44" s="984"/>
      <c r="U44" s="27"/>
      <c r="V44" s="27"/>
      <c r="W44" s="27"/>
      <c r="X44" s="27"/>
      <c r="Y44" s="356"/>
      <c r="Z44" s="23"/>
      <c r="AA44" s="23"/>
    </row>
    <row r="45" spans="1:27" ht="19.399999999999999" customHeight="1">
      <c r="C45" s="977" t="str">
        <f>IF('入力シート（第１年度報告書）'!E88="","",'入力シート（第１年度報告書）'!E88)</f>
        <v/>
      </c>
      <c r="D45" s="978"/>
      <c r="E45" s="978"/>
      <c r="F45" s="979"/>
      <c r="G45" s="983" t="str">
        <f>IF('入力シート（第１年度報告書）'!G88="","",'入力シート（第１年度報告書）'!G88)</f>
        <v/>
      </c>
      <c r="H45" s="984"/>
      <c r="U45" s="23"/>
      <c r="V45" s="23"/>
      <c r="W45" s="23"/>
      <c r="X45" s="23"/>
      <c r="Y45" s="23"/>
      <c r="Z45" s="23"/>
      <c r="AA45" s="23"/>
    </row>
    <row r="46" spans="1:27" ht="19.399999999999999" customHeight="1">
      <c r="A46" s="59"/>
      <c r="C46" s="977" t="str">
        <f>IF('入力シート（第１年度報告書）'!E89="","",'入力シート（第１年度報告書）'!E89)</f>
        <v/>
      </c>
      <c r="D46" s="978"/>
      <c r="E46" s="978"/>
      <c r="F46" s="979"/>
      <c r="G46" s="983" t="str">
        <f>IF('入力シート（第１年度報告書）'!G89="","",'入力シート（第１年度報告書）'!G89)</f>
        <v/>
      </c>
      <c r="H46" s="984"/>
      <c r="U46" s="23"/>
      <c r="V46" s="23"/>
      <c r="W46" s="23"/>
      <c r="X46" s="23"/>
      <c r="Y46" s="23"/>
      <c r="Z46" s="23"/>
      <c r="AA46" s="23"/>
    </row>
    <row r="47" spans="1:27" ht="19.399999999999999" customHeight="1">
      <c r="A47" s="59"/>
      <c r="B47" s="59"/>
      <c r="C47" s="977" t="str">
        <f>IF('入力シート（第１年度報告書）'!E90="","",'入力シート（第１年度報告書）'!E90)</f>
        <v/>
      </c>
      <c r="D47" s="978"/>
      <c r="E47" s="978"/>
      <c r="F47" s="979"/>
      <c r="G47" s="983" t="str">
        <f>IF('入力シート（第１年度報告書）'!G90="","",'入力シート（第１年度報告書）'!G90)</f>
        <v/>
      </c>
      <c r="H47" s="984"/>
      <c r="U47" s="23"/>
      <c r="V47" s="23"/>
      <c r="W47" s="23"/>
      <c r="X47" s="23"/>
      <c r="Y47" s="23"/>
      <c r="Z47" s="23"/>
      <c r="AA47" s="23"/>
    </row>
    <row r="48" spans="1:27" ht="19.399999999999999" customHeight="1" thickBot="1">
      <c r="B48" s="59"/>
      <c r="C48" s="1011" t="str">
        <f>IF('入力シート（第１年度報告書）'!E91="","",'入力シート（第１年度報告書）'!E91)</f>
        <v/>
      </c>
      <c r="D48" s="1012"/>
      <c r="E48" s="1012"/>
      <c r="F48" s="1013"/>
      <c r="G48" s="1016" t="str">
        <f>IF('入力シート（第１年度報告書）'!G91="","",'入力シート（第１年度報告書）'!G91)</f>
        <v/>
      </c>
      <c r="H48" s="1017"/>
      <c r="U48" s="23"/>
      <c r="V48" s="23"/>
      <c r="W48" s="23"/>
      <c r="X48" s="23"/>
      <c r="Y48" s="23"/>
      <c r="Z48" s="23"/>
      <c r="AA48" s="23"/>
    </row>
    <row r="49" spans="2:28" ht="19.399999999999999" customHeight="1" thickTop="1" thickBot="1">
      <c r="C49" s="991" t="s">
        <v>98</v>
      </c>
      <c r="D49" s="992"/>
      <c r="E49" s="992"/>
      <c r="F49" s="993"/>
      <c r="G49" s="1014" t="str">
        <f>IF(COUNTBLANK(G42:G48)=7,"",SUM(G42:G48))</f>
        <v/>
      </c>
      <c r="H49" s="1015"/>
      <c r="U49" s="23"/>
      <c r="V49" s="23"/>
      <c r="W49" s="23"/>
      <c r="X49" s="23"/>
      <c r="Y49" s="23"/>
      <c r="Z49" s="27"/>
      <c r="AA49" s="23"/>
    </row>
    <row r="50" spans="2:28" ht="19.399999999999999" customHeight="1">
      <c r="U50" s="23"/>
      <c r="V50" s="23"/>
      <c r="W50" s="23"/>
      <c r="X50" s="23"/>
      <c r="Y50" s="23"/>
      <c r="Z50" s="23"/>
      <c r="AA50" s="27"/>
    </row>
    <row r="51" spans="2:28" ht="19.399999999999999" customHeight="1">
      <c r="U51" s="23"/>
      <c r="V51" s="23"/>
      <c r="W51" s="23"/>
      <c r="X51" s="23"/>
      <c r="Y51" s="23"/>
      <c r="Z51" s="23"/>
      <c r="AA51" s="23"/>
    </row>
    <row r="52" spans="2:28" ht="19.399999999999999" customHeight="1" thickBot="1">
      <c r="C52" s="60" t="s">
        <v>101</v>
      </c>
      <c r="D52" s="60"/>
      <c r="U52" s="23"/>
      <c r="V52" s="23"/>
      <c r="W52" s="23"/>
      <c r="X52" s="23"/>
      <c r="Y52" s="23"/>
      <c r="Z52" s="23"/>
      <c r="AA52" s="23"/>
    </row>
    <row r="53" spans="2:28" ht="19.399999999999999" customHeight="1">
      <c r="C53" s="999" t="s">
        <v>100</v>
      </c>
      <c r="D53" s="1000"/>
      <c r="E53" s="1000"/>
      <c r="F53" s="1000"/>
      <c r="G53" s="1000"/>
      <c r="H53" s="1001"/>
      <c r="U53" s="23"/>
      <c r="V53" s="23"/>
      <c r="W53" s="23"/>
      <c r="X53" s="23"/>
      <c r="Y53" s="23"/>
      <c r="Z53" s="23"/>
      <c r="AA53" s="23"/>
    </row>
    <row r="54" spans="2:28" ht="19.399999999999999" customHeight="1" thickBot="1">
      <c r="C54" s="1002"/>
      <c r="D54" s="1003"/>
      <c r="E54" s="1003"/>
      <c r="F54" s="1003"/>
      <c r="G54" s="1003"/>
      <c r="H54" s="1004"/>
      <c r="U54" s="23"/>
      <c r="V54" s="23"/>
      <c r="W54" s="23"/>
      <c r="X54" s="23"/>
      <c r="Y54" s="23"/>
      <c r="Z54" s="23"/>
      <c r="AA54" s="23"/>
    </row>
    <row r="55" spans="2:28" ht="19.399999999999999" customHeight="1">
      <c r="C55" s="996" t="s">
        <v>67</v>
      </c>
      <c r="D55" s="997"/>
      <c r="E55" s="997"/>
      <c r="F55" s="998"/>
      <c r="G55" s="1026" t="str">
        <f>IF('P1'!G55="","",'P1'!G55)</f>
        <v/>
      </c>
      <c r="H55" s="1027"/>
      <c r="U55" s="23"/>
      <c r="V55" s="23"/>
      <c r="W55" s="23"/>
      <c r="X55" s="28"/>
      <c r="Y55" s="23"/>
      <c r="Z55" s="23"/>
      <c r="AA55" s="23"/>
    </row>
    <row r="56" spans="2:28" s="26" customFormat="1" ht="19.399999999999999" customHeight="1">
      <c r="B56" s="27"/>
      <c r="C56" s="994" t="s">
        <v>103</v>
      </c>
      <c r="D56" s="949"/>
      <c r="E56" s="949"/>
      <c r="F56" s="995"/>
      <c r="G56" s="945" t="str">
        <f>IF('P1'!G56="","",'P1'!G56)</f>
        <v/>
      </c>
      <c r="H56" s="1183"/>
      <c r="U56" s="23"/>
      <c r="V56" s="23"/>
      <c r="W56" s="23"/>
      <c r="X56" s="28"/>
      <c r="Y56" s="23"/>
      <c r="Z56" s="23"/>
      <c r="AA56" s="23"/>
      <c r="AB56" s="23"/>
    </row>
    <row r="57" spans="2:28" s="26" customFormat="1" ht="19.399999999999999" customHeight="1" thickBot="1">
      <c r="B57" s="27"/>
      <c r="C57" s="1032" t="s">
        <v>102</v>
      </c>
      <c r="D57" s="1033"/>
      <c r="E57" s="1033"/>
      <c r="F57" s="1034"/>
      <c r="G57" s="1024" t="str">
        <f>IF('入力シート（第１年度報告書）'!G98="","",'入力シート（第１年度報告書）'!G98)</f>
        <v/>
      </c>
      <c r="H57" s="1025"/>
      <c r="I57" s="47"/>
      <c r="U57" s="27"/>
      <c r="V57" s="27"/>
      <c r="W57" s="27"/>
      <c r="X57" s="32"/>
      <c r="Y57" s="27"/>
      <c r="Z57" s="23"/>
      <c r="AA57" s="23"/>
      <c r="AB57" s="23"/>
    </row>
    <row r="58" spans="2:28" s="26" customFormat="1" ht="19.399999999999999" customHeight="1">
      <c r="B58" s="27"/>
      <c r="H58" s="47"/>
      <c r="U58" s="27"/>
      <c r="V58" s="27"/>
      <c r="W58" s="27"/>
      <c r="X58" s="27"/>
      <c r="Y58" s="27"/>
      <c r="Z58" s="23"/>
      <c r="AA58" s="23"/>
      <c r="AB58" s="23"/>
    </row>
    <row r="59" spans="2:28" s="26" customFormat="1" ht="19.399999999999999" customHeight="1">
      <c r="B59" s="27"/>
      <c r="U59" s="27"/>
      <c r="V59" s="27"/>
      <c r="W59" s="27"/>
      <c r="X59" s="27"/>
      <c r="Y59" s="27"/>
      <c r="Z59" s="23"/>
      <c r="AA59" s="23"/>
      <c r="AB59" s="23"/>
    </row>
    <row r="60" spans="2:28" s="26" customFormat="1" ht="19.399999999999999" customHeight="1" thickBot="1">
      <c r="B60" s="27"/>
      <c r="C60" s="60" t="s">
        <v>4415</v>
      </c>
      <c r="U60" s="27"/>
      <c r="V60" s="27"/>
      <c r="W60" s="27"/>
      <c r="X60" s="27"/>
      <c r="Y60" s="27"/>
      <c r="Z60" s="23"/>
      <c r="AA60" s="23"/>
      <c r="AB60" s="23"/>
    </row>
    <row r="61" spans="2:28" s="26" customFormat="1" ht="19.399999999999999" customHeight="1">
      <c r="B61" s="27"/>
      <c r="C61" s="1176" t="s">
        <v>4422</v>
      </c>
      <c r="D61" s="1179"/>
      <c r="E61" s="1179"/>
      <c r="F61" s="1181" t="s">
        <v>4416</v>
      </c>
      <c r="G61" s="1175" t="s">
        <v>4417</v>
      </c>
      <c r="H61" s="1175"/>
      <c r="I61" s="1175"/>
      <c r="J61" s="1176"/>
      <c r="K61" s="1181" t="s">
        <v>4418</v>
      </c>
      <c r="L61" s="10"/>
      <c r="U61" s="27"/>
      <c r="V61" s="27"/>
      <c r="W61" s="27"/>
      <c r="X61" s="27"/>
      <c r="Y61" s="27"/>
      <c r="Z61" s="27"/>
      <c r="AA61" s="23"/>
      <c r="AB61" s="23"/>
    </row>
    <row r="62" spans="2:28" s="26" customFormat="1" ht="19.399999999999999" customHeight="1" thickBot="1">
      <c r="B62" s="27"/>
      <c r="C62" s="1178"/>
      <c r="D62" s="1180"/>
      <c r="E62" s="1180"/>
      <c r="F62" s="1182"/>
      <c r="G62" s="1177"/>
      <c r="H62" s="1177"/>
      <c r="I62" s="1177"/>
      <c r="J62" s="1178"/>
      <c r="K62" s="1182"/>
      <c r="L62" s="10"/>
      <c r="U62" s="27"/>
      <c r="V62" s="27"/>
      <c r="W62" s="27"/>
      <c r="X62" s="27"/>
      <c r="Y62" s="27"/>
      <c r="Z62" s="27"/>
      <c r="AA62" s="27"/>
      <c r="AB62" s="23"/>
    </row>
    <row r="63" spans="2:28" s="26" customFormat="1" ht="19.399999999999999" customHeight="1">
      <c r="B63" s="27"/>
      <c r="C63" s="989" t="s">
        <v>4423</v>
      </c>
      <c r="D63" s="990"/>
      <c r="E63" s="990"/>
      <c r="F63" s="970" t="str">
        <f>IF('入力シート（第１年度報告書）'!G113="","",'入力シート（第１年度報告書）'!G113)</f>
        <v/>
      </c>
      <c r="G63" s="359" t="s">
        <v>4419</v>
      </c>
      <c r="H63" s="360"/>
      <c r="I63" s="360"/>
      <c r="J63" s="361"/>
      <c r="K63" s="724" t="str">
        <f>IF('入力シート（第１年度報告書）'!N113="","",'入力シート（第１年度報告書）'!N113)</f>
        <v/>
      </c>
      <c r="Z63" s="27"/>
      <c r="AA63" s="27"/>
      <c r="AB63" s="23"/>
    </row>
    <row r="64" spans="2:28" s="26" customFormat="1" ht="19.399999999999999" customHeight="1">
      <c r="B64" s="27"/>
      <c r="C64" s="987"/>
      <c r="D64" s="988"/>
      <c r="E64" s="988"/>
      <c r="F64" s="969"/>
      <c r="G64" s="362" t="s">
        <v>4420</v>
      </c>
      <c r="H64" s="363"/>
      <c r="I64" s="363"/>
      <c r="J64" s="364"/>
      <c r="K64" s="725" t="str">
        <f>IF('入力シート（第１年度報告書）'!N114="","",'入力シート（第１年度報告書）'!N114)</f>
        <v/>
      </c>
      <c r="Z64" s="27"/>
      <c r="AA64" s="27"/>
      <c r="AB64" s="23"/>
    </row>
    <row r="65" spans="2:28" s="26" customFormat="1" ht="19.399999999999999" customHeight="1">
      <c r="B65" s="27"/>
      <c r="C65" s="987"/>
      <c r="D65" s="988"/>
      <c r="E65" s="988"/>
      <c r="F65" s="969"/>
      <c r="G65" s="365" t="s">
        <v>4421</v>
      </c>
      <c r="H65" s="366"/>
      <c r="I65" s="366"/>
      <c r="J65" s="367"/>
      <c r="K65" s="726" t="str">
        <f>IF('入力シート（第１年度報告書）'!N115="","",'入力シート（第１年度報告書）'!N115)</f>
        <v/>
      </c>
      <c r="Z65" s="27"/>
      <c r="AA65" s="27"/>
      <c r="AB65" s="23"/>
    </row>
    <row r="66" spans="2:28" s="26" customFormat="1" ht="19.399999999999999" customHeight="1">
      <c r="B66" s="27"/>
      <c r="C66" s="987" t="s">
        <v>4424</v>
      </c>
      <c r="D66" s="988"/>
      <c r="E66" s="988"/>
      <c r="F66" s="969" t="str">
        <f>IF('入力シート（第１年度報告書）'!G116="","",'入力シート（第１年度報告書）'!G116)</f>
        <v/>
      </c>
      <c r="G66" s="368" t="s">
        <v>4419</v>
      </c>
      <c r="H66" s="369"/>
      <c r="I66" s="369"/>
      <c r="J66" s="370"/>
      <c r="K66" s="727" t="str">
        <f>IF('入力シート（第１年度報告書）'!N116="","",'入力シート（第１年度報告書）'!N116)</f>
        <v/>
      </c>
      <c r="Z66" s="27"/>
      <c r="AA66" s="27"/>
      <c r="AB66" s="23"/>
    </row>
    <row r="67" spans="2:28" s="26" customFormat="1" ht="19.399999999999999" customHeight="1">
      <c r="B67" s="27"/>
      <c r="C67" s="987"/>
      <c r="D67" s="988"/>
      <c r="E67" s="988"/>
      <c r="F67" s="969"/>
      <c r="G67" s="362" t="s">
        <v>4420</v>
      </c>
      <c r="H67" s="363"/>
      <c r="I67" s="363"/>
      <c r="J67" s="364"/>
      <c r="K67" s="725" t="str">
        <f>IF('入力シート（第１年度報告書）'!N117="","",'入力シート（第１年度報告書）'!N117)</f>
        <v/>
      </c>
      <c r="AA67" s="27"/>
      <c r="AB67" s="23"/>
    </row>
    <row r="68" spans="2:28" s="26" customFormat="1" ht="19.399999999999999" customHeight="1">
      <c r="B68" s="27"/>
      <c r="C68" s="987"/>
      <c r="D68" s="988"/>
      <c r="E68" s="988"/>
      <c r="F68" s="969"/>
      <c r="G68" s="365" t="s">
        <v>4421</v>
      </c>
      <c r="H68" s="366"/>
      <c r="I68" s="366"/>
      <c r="J68" s="367"/>
      <c r="K68" s="726" t="str">
        <f>IF('入力シート（第１年度報告書）'!N118="","",'入力シート（第１年度報告書）'!N118)</f>
        <v/>
      </c>
      <c r="Z68" s="345"/>
      <c r="AB68" s="23"/>
    </row>
    <row r="69" spans="2:28" s="26" customFormat="1" ht="19.399999999999999" customHeight="1">
      <c r="B69" s="27"/>
      <c r="C69" s="987" t="s">
        <v>4425</v>
      </c>
      <c r="D69" s="988"/>
      <c r="E69" s="988"/>
      <c r="F69" s="969" t="str">
        <f>IF('入力シート（第１年度報告書）'!G119="","",'入力シート（第１年度報告書）'!G119)</f>
        <v/>
      </c>
      <c r="G69" s="368" t="s">
        <v>4419</v>
      </c>
      <c r="H69" s="369"/>
      <c r="I69" s="369"/>
      <c r="J69" s="370"/>
      <c r="K69" s="727" t="str">
        <f>IF('入力シート（第１年度報告書）'!N119="","",'入力シート（第１年度報告書）'!N119)</f>
        <v/>
      </c>
      <c r="Z69" s="345"/>
      <c r="AB69" s="23"/>
    </row>
    <row r="70" spans="2:28" s="26" customFormat="1" ht="18.649999999999999" customHeight="1" thickBot="1">
      <c r="B70" s="27"/>
      <c r="C70" s="987"/>
      <c r="D70" s="988"/>
      <c r="E70" s="988"/>
      <c r="F70" s="969"/>
      <c r="G70" s="365" t="s">
        <v>4420</v>
      </c>
      <c r="H70" s="366"/>
      <c r="I70" s="366"/>
      <c r="J70" s="367"/>
      <c r="K70" s="726" t="str">
        <f>IF('入力シート（第１年度報告書）'!N120="","",'入力シート（第１年度報告書）'!N120)</f>
        <v/>
      </c>
      <c r="T70" s="24"/>
      <c r="U70" s="24"/>
      <c r="V70" s="24"/>
      <c r="W70" s="24"/>
      <c r="Z70" s="24"/>
      <c r="AB70" s="23"/>
    </row>
    <row r="71" spans="2:28" s="26" customFormat="1" ht="18.5" thickTop="1" thickBot="1">
      <c r="B71" s="27"/>
      <c r="C71" s="985" t="s">
        <v>4426</v>
      </c>
      <c r="D71" s="986"/>
      <c r="E71" s="986"/>
      <c r="F71" s="723" t="str">
        <f>IF(COUNTBLANK(F63:F70)=8,"",SUM(F63,F66,F69))</f>
        <v/>
      </c>
      <c r="G71" s="371" t="s">
        <v>4427</v>
      </c>
      <c r="H71" s="372"/>
      <c r="I71" s="373"/>
      <c r="J71" s="374"/>
      <c r="K71" s="723" t="str">
        <f>IF(COUNTBLANK(K63:K70)=8,"",SUM(K63:K70))</f>
        <v/>
      </c>
      <c r="O71" s="24"/>
      <c r="T71" s="24"/>
      <c r="Z71" s="24"/>
      <c r="AB71" s="23"/>
    </row>
    <row r="72" spans="2:28">
      <c r="O72" s="24"/>
      <c r="T72" s="24"/>
      <c r="Z72" s="24"/>
    </row>
    <row r="73" spans="2:28" s="26" customFormat="1">
      <c r="B73" s="27"/>
      <c r="O73" s="24"/>
      <c r="AB73" s="23"/>
    </row>
    <row r="77" spans="2:28">
      <c r="P77" s="24"/>
      <c r="Q77" s="24"/>
      <c r="R77" s="24"/>
      <c r="S77" s="24"/>
    </row>
    <row r="78" spans="2:28">
      <c r="P78" s="24"/>
      <c r="Q78" s="24"/>
      <c r="R78" s="24"/>
      <c r="S78" s="24"/>
    </row>
    <row r="79" spans="2:28">
      <c r="P79" s="24"/>
      <c r="Q79" s="24"/>
      <c r="R79" s="24"/>
      <c r="S79" s="24"/>
    </row>
  </sheetData>
  <sheetProtection algorithmName="SHA-512" hashValue="CpX3gwXzIKyNeZU8tV6ohkRSLlymXqo6hL3tsSi/F5zth3+kYoQ46BzAw8dpmnDCTa0xntCZTI8Bf9OmnO03ww==" saltValue="3qVouUDOvt0HsF77XXRiWQ==" spinCount="100000" sheet="1" objects="1" scenarios="1" selectLockedCells="1"/>
  <mergeCells count="94">
    <mergeCell ref="C20:J20"/>
    <mergeCell ref="C21:J21"/>
    <mergeCell ref="C22:J22"/>
    <mergeCell ref="C11:J11"/>
    <mergeCell ref="C12:J12"/>
    <mergeCell ref="C13:J13"/>
    <mergeCell ref="C14:J14"/>
    <mergeCell ref="C15:J15"/>
    <mergeCell ref="C6:J6"/>
    <mergeCell ref="C7:J7"/>
    <mergeCell ref="C8:J8"/>
    <mergeCell ref="C9:J9"/>
    <mergeCell ref="C10:J10"/>
    <mergeCell ref="W17:X17"/>
    <mergeCell ref="K18:K19"/>
    <mergeCell ref="L18:L19"/>
    <mergeCell ref="M18:M19"/>
    <mergeCell ref="C18:J19"/>
    <mergeCell ref="M1:N1"/>
    <mergeCell ref="K4:K5"/>
    <mergeCell ref="L4:L5"/>
    <mergeCell ref="M4:M5"/>
    <mergeCell ref="N4:N5"/>
    <mergeCell ref="C4:J5"/>
    <mergeCell ref="Y26:Y27"/>
    <mergeCell ref="W36:W37"/>
    <mergeCell ref="X36:X37"/>
    <mergeCell ref="Y36:Y37"/>
    <mergeCell ref="N18:N19"/>
    <mergeCell ref="W26:W27"/>
    <mergeCell ref="X26:X27"/>
    <mergeCell ref="U26:V27"/>
    <mergeCell ref="U33:V33"/>
    <mergeCell ref="U32:V32"/>
    <mergeCell ref="U31:V31"/>
    <mergeCell ref="U30:V30"/>
    <mergeCell ref="U29:V29"/>
    <mergeCell ref="U28:V28"/>
    <mergeCell ref="U24:V24"/>
    <mergeCell ref="U43:V43"/>
    <mergeCell ref="G34:H34"/>
    <mergeCell ref="U42:V42"/>
    <mergeCell ref="U41:V41"/>
    <mergeCell ref="U36:V37"/>
    <mergeCell ref="U23:V23"/>
    <mergeCell ref="U40:V40"/>
    <mergeCell ref="U39:V39"/>
    <mergeCell ref="U38:V38"/>
    <mergeCell ref="C26:F28"/>
    <mergeCell ref="G26:H28"/>
    <mergeCell ref="G29:H29"/>
    <mergeCell ref="G30:H30"/>
    <mergeCell ref="G31:H31"/>
    <mergeCell ref="G32:H32"/>
    <mergeCell ref="G33:H33"/>
    <mergeCell ref="C47:F47"/>
    <mergeCell ref="G47:H47"/>
    <mergeCell ref="G45:H45"/>
    <mergeCell ref="C46:F46"/>
    <mergeCell ref="G46:H46"/>
    <mergeCell ref="C48:F48"/>
    <mergeCell ref="G48:H48"/>
    <mergeCell ref="C49:F49"/>
    <mergeCell ref="G49:H49"/>
    <mergeCell ref="C53:H54"/>
    <mergeCell ref="C55:F55"/>
    <mergeCell ref="G55:H55"/>
    <mergeCell ref="K61:K62"/>
    <mergeCell ref="G35:H35"/>
    <mergeCell ref="C36:F36"/>
    <mergeCell ref="G36:H36"/>
    <mergeCell ref="C40:F41"/>
    <mergeCell ref="G40:H41"/>
    <mergeCell ref="C42:F42"/>
    <mergeCell ref="G42:H42"/>
    <mergeCell ref="C43:F43"/>
    <mergeCell ref="G43:H43"/>
    <mergeCell ref="C44:F44"/>
    <mergeCell ref="G44:H44"/>
    <mergeCell ref="C45:F45"/>
    <mergeCell ref="G56:H56"/>
    <mergeCell ref="C56:F56"/>
    <mergeCell ref="G61:J62"/>
    <mergeCell ref="C57:F57"/>
    <mergeCell ref="G57:H57"/>
    <mergeCell ref="C71:E71"/>
    <mergeCell ref="C69:E70"/>
    <mergeCell ref="C66:E68"/>
    <mergeCell ref="C63:E65"/>
    <mergeCell ref="F69:F70"/>
    <mergeCell ref="F66:F68"/>
    <mergeCell ref="F63:F65"/>
    <mergeCell ref="C61:E62"/>
    <mergeCell ref="F61:F62"/>
  </mergeCells>
  <phoneticPr fontId="10"/>
  <conditionalFormatting sqref="G29:H35">
    <cfRule type="expression" dxfId="74" priority="2">
      <formula>G29&lt;&gt;""</formula>
    </cfRule>
  </conditionalFormatting>
  <conditionalFormatting sqref="G57:H57">
    <cfRule type="expression" dxfId="73" priority="1">
      <formula>MOD($G$57,1)&lt;&gt;0</formula>
    </cfRule>
  </conditionalFormatting>
  <dataValidations count="2">
    <dataValidation imeMode="hiragana" allowBlank="1" showInputMessage="1" showErrorMessage="1" sqref="C42:C48 U36 G55:G57 U28:U32 U24" xr:uid="{F0F5EAD0-3C9F-4FC6-8D20-7EBD23C5E24E}"/>
    <dataValidation imeMode="halfAlpha" allowBlank="1" showInputMessage="1" showErrorMessage="1" sqref="X40 G42:G48 G29:G35 W38:W42 W28:X32 X38 I17:J17" xr:uid="{D3EF57F4-7802-429C-B603-BEB49D2260EB}"/>
  </dataValidations>
  <printOptions horizontalCentered="1"/>
  <pageMargins left="0.70866141732283472" right="0.55118110236220474" top="0.74803149606299213" bottom="0.74803149606299213" header="0.31496062992125984" footer="0.31496062992125984"/>
  <pageSetup paperSize="9" scale="40" orientation="portrait" r:id="rId1"/>
  <headerFooter>
    <oddHeader>&amp;L&amp;"メイリオ,レギュラー"様式第２号</oddHeader>
    <oddFooter>&amp;R&amp;"メイリオ,レギュラー"&amp;8（特定事業者（運送事業者）用</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F00EB-FC42-492A-B2E9-45D0845E6C33}">
  <sheetPr codeName="Sheet6">
    <tabColor theme="9" tint="-0.249977111117893"/>
    <pageSetUpPr fitToPage="1"/>
  </sheetPr>
  <dimension ref="A1:AC79"/>
  <sheetViews>
    <sheetView showGridLines="0" view="pageBreakPreview" topLeftCell="C1" zoomScaleNormal="85" zoomScaleSheetLayoutView="100" workbookViewId="0">
      <pane ySplit="2" topLeftCell="A3" activePane="bottomLeft" state="frozen"/>
      <selection activeCell="U22" sqref="U22"/>
      <selection pane="bottomLeft" activeCell="C2" sqref="C2"/>
    </sheetView>
  </sheetViews>
  <sheetFormatPr defaultColWidth="8.90625" defaultRowHeight="17.5"/>
  <cols>
    <col min="1" max="1" width="4.90625" style="26" hidden="1" customWidth="1"/>
    <col min="2" max="2" width="5.08984375" style="27" hidden="1" customWidth="1"/>
    <col min="3" max="3" width="4.453125" style="26" customWidth="1"/>
    <col min="4" max="4" width="5.81640625" style="26" customWidth="1"/>
    <col min="5" max="5" width="9.54296875" style="26" customWidth="1"/>
    <col min="6" max="6" width="12.81640625" style="26" customWidth="1"/>
    <col min="7" max="14" width="9.54296875" style="26" customWidth="1"/>
    <col min="15" max="15" width="15" style="26" customWidth="1"/>
    <col min="16" max="19" width="14.08984375" style="26" hidden="1" customWidth="1"/>
    <col min="20" max="20" width="16" style="26" hidden="1" customWidth="1"/>
    <col min="21" max="21" width="42.6328125" style="26" customWidth="1"/>
    <col min="22" max="22" width="13.453125" style="26" customWidth="1"/>
    <col min="23" max="25" width="14.81640625" style="26" customWidth="1"/>
    <col min="26" max="27" width="13.453125" style="26" customWidth="1"/>
    <col min="28" max="28" width="12.36328125" style="23" customWidth="1"/>
    <col min="29" max="29" width="9.90625" style="23" customWidth="1"/>
    <col min="30" max="16384" width="8.90625" style="24"/>
  </cols>
  <sheetData>
    <row r="1" spans="1:27" ht="26.4" customHeight="1">
      <c r="A1" s="299"/>
      <c r="C1" s="300" t="s">
        <v>97</v>
      </c>
      <c r="D1" s="300"/>
      <c r="E1" s="300"/>
      <c r="F1" s="300"/>
      <c r="G1" s="300"/>
      <c r="H1" s="301"/>
      <c r="I1" s="302"/>
      <c r="J1" s="302"/>
      <c r="K1" s="302"/>
      <c r="L1" s="303" t="s">
        <v>4014</v>
      </c>
      <c r="M1" s="1035" t="str">
        <f>"（"&amp;T2&amp;"年度）"</f>
        <v>（2年度）</v>
      </c>
      <c r="N1" s="1035"/>
      <c r="P1" s="304"/>
      <c r="Q1" s="304"/>
      <c r="R1" s="304"/>
      <c r="S1" s="304"/>
      <c r="T1" s="304">
        <f>'入力シート（計画書）'!$K$7</f>
        <v>0</v>
      </c>
      <c r="U1" s="299"/>
      <c r="V1" s="299"/>
      <c r="W1" s="299"/>
      <c r="X1" s="299"/>
      <c r="Y1" s="299"/>
      <c r="Z1" s="299"/>
      <c r="AA1" s="299"/>
    </row>
    <row r="2" spans="1:27" ht="17.399999999999999" customHeight="1">
      <c r="G2" s="47"/>
      <c r="H2" s="47"/>
      <c r="I2" s="47"/>
      <c r="J2" s="47"/>
      <c r="K2" s="47"/>
      <c r="L2" s="47"/>
      <c r="M2" s="47"/>
      <c r="N2" s="47"/>
      <c r="O2" s="49"/>
      <c r="P2" s="49"/>
      <c r="Q2" s="49"/>
      <c r="R2" s="49"/>
      <c r="S2" s="49"/>
      <c r="T2" s="304">
        <f>T1+2</f>
        <v>2</v>
      </c>
    </row>
    <row r="3" spans="1:27" ht="23" thickBot="1">
      <c r="C3" s="60" t="s">
        <v>4500</v>
      </c>
      <c r="D3" s="60"/>
      <c r="E3" s="47"/>
      <c r="I3" s="47"/>
      <c r="J3" s="47"/>
      <c r="K3" s="47"/>
      <c r="L3" s="47"/>
      <c r="M3" s="47"/>
      <c r="N3" s="47"/>
      <c r="O3" s="55"/>
      <c r="P3" s="55"/>
      <c r="Q3" s="55"/>
      <c r="R3" s="55"/>
      <c r="S3" s="55"/>
      <c r="T3" s="55"/>
      <c r="U3" s="60" t="s">
        <v>4500</v>
      </c>
      <c r="X3" s="306"/>
      <c r="Y3" s="306"/>
    </row>
    <row r="4" spans="1:27" ht="19.399999999999999" customHeight="1">
      <c r="C4" s="1077" t="s">
        <v>4214</v>
      </c>
      <c r="D4" s="1078"/>
      <c r="E4" s="1078"/>
      <c r="F4" s="1078"/>
      <c r="G4" s="1078"/>
      <c r="H4" s="1078"/>
      <c r="I4" s="1079"/>
      <c r="J4" s="1079"/>
      <c r="K4" s="1036" t="s">
        <v>89</v>
      </c>
      <c r="L4" s="1038" t="s">
        <v>36</v>
      </c>
      <c r="M4" s="1040" t="s">
        <v>4168</v>
      </c>
      <c r="N4" s="1042" t="s">
        <v>4496</v>
      </c>
      <c r="O4" s="55"/>
      <c r="P4" s="60"/>
      <c r="Q4" s="60"/>
      <c r="R4" s="26">
        <f>IF(V4=0,0,1)</f>
        <v>0</v>
      </c>
      <c r="S4" s="60"/>
      <c r="T4" s="55"/>
      <c r="U4" s="307" t="s">
        <v>90</v>
      </c>
      <c r="V4" s="308">
        <f>SUM(M15,M22)</f>
        <v>0</v>
      </c>
      <c r="W4" s="309" t="s">
        <v>4025</v>
      </c>
    </row>
    <row r="5" spans="1:27" ht="19.399999999999999" customHeight="1">
      <c r="C5" s="1080"/>
      <c r="D5" s="1081"/>
      <c r="E5" s="1081"/>
      <c r="F5" s="1081"/>
      <c r="G5" s="1081"/>
      <c r="H5" s="1081"/>
      <c r="I5" s="1082"/>
      <c r="J5" s="1082"/>
      <c r="K5" s="1037"/>
      <c r="L5" s="1039"/>
      <c r="M5" s="1041"/>
      <c r="N5" s="1043"/>
      <c r="O5" s="55"/>
      <c r="P5" s="310" t="s">
        <v>4380</v>
      </c>
      <c r="Q5" s="310" t="s">
        <v>4381</v>
      </c>
      <c r="R5" s="310" t="s">
        <v>4122</v>
      </c>
      <c r="S5" s="310" t="s">
        <v>4177</v>
      </c>
      <c r="T5" s="55"/>
      <c r="U5" s="311" t="s">
        <v>91</v>
      </c>
      <c r="V5" s="312">
        <f>V4*0.0258</f>
        <v>0</v>
      </c>
      <c r="W5" s="313" t="s">
        <v>92</v>
      </c>
      <c r="X5" s="314"/>
    </row>
    <row r="6" spans="1:27" ht="19.399999999999999" customHeight="1" thickBot="1">
      <c r="C6" s="1084" t="s">
        <v>4408</v>
      </c>
      <c r="D6" s="888"/>
      <c r="E6" s="888"/>
      <c r="F6" s="888"/>
      <c r="G6" s="888"/>
      <c r="H6" s="888"/>
      <c r="I6" s="888"/>
      <c r="J6" s="888"/>
      <c r="K6" s="716" t="str">
        <f>IF('入力シート（第２年度報告書）'!M18="","",'入力シート（第２年度報告書）'!M18)</f>
        <v/>
      </c>
      <c r="L6" s="315" t="s">
        <v>4113</v>
      </c>
      <c r="M6" s="394" t="str">
        <f>IFERROR(IF(K6="","",$K6*R6),"----------")</f>
        <v/>
      </c>
      <c r="N6" s="387" t="str">
        <f>IFERROR(IF(K6="","",$M6*S6*44/12),"----------")</f>
        <v/>
      </c>
      <c r="O6" s="316"/>
      <c r="P6" s="317" t="s">
        <v>4178</v>
      </c>
      <c r="Q6" s="317" t="s">
        <v>4178</v>
      </c>
      <c r="R6" s="317">
        <f t="shared" ref="R6:R13" si="0">VLOOKUP($P6,係数2025,7,0)</f>
        <v>33.4</v>
      </c>
      <c r="S6" s="318">
        <f t="shared" ref="S6:S13" si="1">VLOOKUP($P6,係数2025,9,0)</f>
        <v>1.8700000000000001E-2</v>
      </c>
      <c r="T6" s="316"/>
      <c r="U6" s="319" t="s">
        <v>93</v>
      </c>
      <c r="V6" s="320">
        <f>ROUNDDOWN(SUM(N15,N22),0)</f>
        <v>0</v>
      </c>
      <c r="W6" s="321" t="s">
        <v>4499</v>
      </c>
    </row>
    <row r="7" spans="1:27" ht="19.399999999999999" customHeight="1">
      <c r="C7" s="1083" t="s">
        <v>40</v>
      </c>
      <c r="D7" s="891"/>
      <c r="E7" s="891"/>
      <c r="F7" s="891"/>
      <c r="G7" s="891"/>
      <c r="H7" s="891"/>
      <c r="I7" s="891"/>
      <c r="J7" s="891"/>
      <c r="K7" s="678" t="str">
        <f>IF('入力シート（第２年度報告書）'!M19="","",'入力シート（第２年度報告書）'!M19)</f>
        <v/>
      </c>
      <c r="L7" s="323" t="s">
        <v>4113</v>
      </c>
      <c r="M7" s="395" t="str">
        <f t="shared" ref="M7:M9" si="2">IFERROR(IF(K7="","",$K7*R7),"----------")</f>
        <v/>
      </c>
      <c r="N7" s="388" t="str">
        <f>IFERROR(IF(K7="","",$M7*S7*44/12),"----------")</f>
        <v/>
      </c>
      <c r="O7" s="316"/>
      <c r="P7" s="317" t="s">
        <v>40</v>
      </c>
      <c r="Q7" s="317" t="s">
        <v>40</v>
      </c>
      <c r="R7" s="317">
        <f t="shared" si="0"/>
        <v>38</v>
      </c>
      <c r="S7" s="318">
        <f t="shared" si="1"/>
        <v>1.8800000000000001E-2</v>
      </c>
      <c r="T7" s="316"/>
      <c r="X7" s="27"/>
      <c r="Y7" s="27"/>
      <c r="Z7" s="27"/>
      <c r="AA7" s="27"/>
    </row>
    <row r="8" spans="1:27" ht="19.399999999999999" customHeight="1" thickBot="1">
      <c r="C8" s="1083" t="s">
        <v>4409</v>
      </c>
      <c r="D8" s="891"/>
      <c r="E8" s="891"/>
      <c r="F8" s="891"/>
      <c r="G8" s="891"/>
      <c r="H8" s="891"/>
      <c r="I8" s="891"/>
      <c r="J8" s="891"/>
      <c r="K8" s="678" t="str">
        <f>IF('入力シート（第２年度報告書）'!M20="","",'入力シート（第２年度報告書）'!M20)</f>
        <v/>
      </c>
      <c r="L8" s="323" t="s">
        <v>4112</v>
      </c>
      <c r="M8" s="395" t="str">
        <f t="shared" si="2"/>
        <v/>
      </c>
      <c r="N8" s="388" t="str">
        <f t="shared" ref="N8:N9" si="3">IFERROR(IF(K8="","",$M8*S8*44/12),"----------")</f>
        <v/>
      </c>
      <c r="O8" s="316"/>
      <c r="P8" s="317" t="s">
        <v>4180</v>
      </c>
      <c r="Q8" s="317" t="s">
        <v>4180</v>
      </c>
      <c r="R8" s="317">
        <f t="shared" si="0"/>
        <v>50.1</v>
      </c>
      <c r="S8" s="318">
        <f t="shared" si="1"/>
        <v>1.6299999999999999E-2</v>
      </c>
      <c r="T8" s="316"/>
      <c r="U8" s="60" t="s">
        <v>4501</v>
      </c>
      <c r="X8" s="27"/>
      <c r="Y8" s="27"/>
      <c r="Z8" s="27"/>
      <c r="AA8" s="27"/>
    </row>
    <row r="9" spans="1:27" ht="19.399999999999999" customHeight="1" thickBot="1">
      <c r="C9" s="1083" t="s">
        <v>4410</v>
      </c>
      <c r="D9" s="891"/>
      <c r="E9" s="891"/>
      <c r="F9" s="891"/>
      <c r="G9" s="891"/>
      <c r="H9" s="891"/>
      <c r="I9" s="891"/>
      <c r="J9" s="891"/>
      <c r="K9" s="678" t="str">
        <f>IF('入力シート（第２年度報告書）'!M21="","",'入力シート（第２年度報告書）'!M21)</f>
        <v/>
      </c>
      <c r="L9" s="323" t="s">
        <v>4112</v>
      </c>
      <c r="M9" s="395" t="str">
        <f t="shared" si="2"/>
        <v/>
      </c>
      <c r="N9" s="388" t="str">
        <f t="shared" si="3"/>
        <v/>
      </c>
      <c r="O9" s="316"/>
      <c r="P9" s="317" t="s">
        <v>4182</v>
      </c>
      <c r="Q9" s="317" t="s">
        <v>4182</v>
      </c>
      <c r="R9" s="317">
        <f t="shared" si="0"/>
        <v>54.7</v>
      </c>
      <c r="S9" s="318">
        <f t="shared" si="1"/>
        <v>1.3899999999999999E-2</v>
      </c>
      <c r="T9" s="55" t="s">
        <v>4539</v>
      </c>
      <c r="U9" s="324" t="s">
        <v>93</v>
      </c>
      <c r="V9" s="325">
        <f>SUM(G36)</f>
        <v>0</v>
      </c>
      <c r="W9" s="326" t="s">
        <v>4499</v>
      </c>
      <c r="X9" s="27"/>
      <c r="Y9" s="27"/>
      <c r="Z9" s="27"/>
      <c r="AA9" s="27"/>
    </row>
    <row r="10" spans="1:27" ht="19.399999999999999" customHeight="1">
      <c r="C10" s="1083" t="s">
        <v>4411</v>
      </c>
      <c r="D10" s="891"/>
      <c r="E10" s="891"/>
      <c r="F10" s="891"/>
      <c r="G10" s="891"/>
      <c r="H10" s="891"/>
      <c r="I10" s="891"/>
      <c r="J10" s="891"/>
      <c r="K10" s="678" t="str">
        <f>IF('入力シート（第２年度報告書）'!M22="","",'入力シート（第２年度報告書）'!M22)</f>
        <v/>
      </c>
      <c r="L10" s="323" t="s">
        <v>4412</v>
      </c>
      <c r="M10" s="395" t="str">
        <f t="shared" ref="M10:M12" si="4">IFERROR(IF(K10="","",$K10*R10),"----------")</f>
        <v/>
      </c>
      <c r="N10" s="388" t="str">
        <f>IFERROR(IF(K10="","",$M10*S10*T10*44/12),"----------")</f>
        <v/>
      </c>
      <c r="O10" s="316"/>
      <c r="P10" s="317" t="s">
        <v>4184</v>
      </c>
      <c r="Q10" s="317" t="s">
        <v>4184</v>
      </c>
      <c r="R10" s="317">
        <f t="shared" si="0"/>
        <v>45</v>
      </c>
      <c r="S10" s="318">
        <f t="shared" si="1"/>
        <v>1.4E-2</v>
      </c>
      <c r="T10" s="710">
        <v>0.90400000000000003</v>
      </c>
      <c r="Y10" s="27"/>
      <c r="Z10" s="27"/>
      <c r="AA10" s="27"/>
    </row>
    <row r="11" spans="1:27" ht="19.399999999999999" customHeight="1" thickBot="1">
      <c r="C11" s="1083" t="s">
        <v>4413</v>
      </c>
      <c r="D11" s="891"/>
      <c r="E11" s="891"/>
      <c r="F11" s="891"/>
      <c r="G11" s="891"/>
      <c r="H11" s="891"/>
      <c r="I11" s="891"/>
      <c r="J11" s="891"/>
      <c r="K11" s="678" t="str">
        <f>IF('入力シート（第２年度報告書）'!M23="","",'入力シート（第２年度報告書）'!M23)</f>
        <v/>
      </c>
      <c r="L11" s="327" t="s">
        <v>4112</v>
      </c>
      <c r="M11" s="395" t="str">
        <f t="shared" si="4"/>
        <v/>
      </c>
      <c r="N11" s="389"/>
      <c r="O11" s="316"/>
      <c r="P11" s="317" t="s">
        <v>4215</v>
      </c>
      <c r="Q11" s="317" t="s">
        <v>4215</v>
      </c>
      <c r="R11" s="317">
        <f t="shared" si="0"/>
        <v>142</v>
      </c>
      <c r="S11" s="318" t="str">
        <f t="shared" si="1"/>
        <v>ー</v>
      </c>
      <c r="T11" s="316"/>
      <c r="U11" s="60" t="s">
        <v>99</v>
      </c>
      <c r="X11" s="27"/>
      <c r="Y11" s="27"/>
      <c r="Z11" s="27"/>
      <c r="AA11" s="27"/>
    </row>
    <row r="12" spans="1:27" ht="19.399999999999999" customHeight="1" thickBot="1">
      <c r="C12" s="1083" t="s">
        <v>4512</v>
      </c>
      <c r="D12" s="891"/>
      <c r="E12" s="891"/>
      <c r="F12" s="891"/>
      <c r="G12" s="891"/>
      <c r="H12" s="891"/>
      <c r="I12" s="891"/>
      <c r="J12" s="891"/>
      <c r="K12" s="678" t="str">
        <f>IF('入力シート（第２年度報告書）'!M24="","",'入力シート（第２年度報告書）'!M24)</f>
        <v/>
      </c>
      <c r="L12" s="327" t="s">
        <v>4113</v>
      </c>
      <c r="M12" s="395" t="str">
        <f t="shared" si="4"/>
        <v/>
      </c>
      <c r="N12" s="389"/>
      <c r="O12" s="316"/>
      <c r="P12" s="317" t="s">
        <v>4129</v>
      </c>
      <c r="Q12" s="317" t="s">
        <v>4129</v>
      </c>
      <c r="R12" s="317">
        <f t="shared" si="0"/>
        <v>23.4</v>
      </c>
      <c r="S12" s="318" t="str">
        <f t="shared" si="1"/>
        <v>ー</v>
      </c>
      <c r="T12" s="316"/>
      <c r="U12" s="324" t="s">
        <v>107</v>
      </c>
      <c r="V12" s="325">
        <f>SUM(G49)</f>
        <v>0</v>
      </c>
      <c r="W12" s="326" t="s">
        <v>4499</v>
      </c>
    </row>
    <row r="13" spans="1:27" ht="19.399999999999999" customHeight="1" thickBot="1">
      <c r="C13" s="1083" t="s">
        <v>4513</v>
      </c>
      <c r="D13" s="891"/>
      <c r="E13" s="891"/>
      <c r="F13" s="891"/>
      <c r="G13" s="891"/>
      <c r="H13" s="891"/>
      <c r="I13" s="891"/>
      <c r="J13" s="891"/>
      <c r="K13" s="678" t="str">
        <f>IF('入力シート（第２年度報告書）'!M25="","",'入力シート（第２年度報告書）'!M25)</f>
        <v/>
      </c>
      <c r="L13" s="327" t="s">
        <v>4113</v>
      </c>
      <c r="M13" s="395" t="str">
        <f>IFERROR(IF(K13="","",$K13*R13),"----------")</f>
        <v/>
      </c>
      <c r="N13" s="389"/>
      <c r="O13" s="316"/>
      <c r="P13" s="317" t="s">
        <v>4131</v>
      </c>
      <c r="Q13" s="317" t="s">
        <v>4131</v>
      </c>
      <c r="R13" s="317">
        <f t="shared" si="0"/>
        <v>35.6</v>
      </c>
      <c r="S13" s="318" t="str">
        <f t="shared" si="1"/>
        <v>ー</v>
      </c>
      <c r="T13" s="316"/>
    </row>
    <row r="14" spans="1:27" ht="19.399999999999999" customHeight="1" thickBot="1">
      <c r="C14" s="1085" t="s">
        <v>4229</v>
      </c>
      <c r="D14" s="1086"/>
      <c r="E14" s="1086"/>
      <c r="F14" s="1086"/>
      <c r="G14" s="1086"/>
      <c r="H14" s="1086"/>
      <c r="I14" s="1086"/>
      <c r="J14" s="1086"/>
      <c r="K14" s="719" t="str">
        <f>IF('入力シート（第２年度報告書）'!M26="","",'入力シート（第２年度報告書）'!M26)</f>
        <v/>
      </c>
      <c r="L14" s="323" t="str">
        <f>IF('入力シート（第２年度報告書）'!N26="","",'入力シート（第２年度報告書）'!N26)</f>
        <v/>
      </c>
      <c r="M14" s="395" t="str">
        <f>IF('入力シート（第２年度報告書）'!Q26="","",'入力シート（第２年度報告書）'!Q26)</f>
        <v/>
      </c>
      <c r="N14" s="388" t="str">
        <f>IF('入力シート（第２年度報告書）'!R26="","",'入力シート（第２年度報告書）'!R26)</f>
        <v/>
      </c>
      <c r="O14" s="316"/>
      <c r="P14" s="328"/>
      <c r="Q14" s="328"/>
      <c r="R14" s="328"/>
      <c r="S14" s="329"/>
      <c r="T14" s="316"/>
      <c r="U14" s="330" t="s">
        <v>108</v>
      </c>
      <c r="V14" s="331">
        <f>SUM(V6,V9,-V12)</f>
        <v>0</v>
      </c>
      <c r="W14" s="326" t="s">
        <v>4499</v>
      </c>
    </row>
    <row r="15" spans="1:27" ht="19.399999999999999" customHeight="1" thickTop="1" thickBot="1">
      <c r="C15" s="991" t="s">
        <v>65</v>
      </c>
      <c r="D15" s="992"/>
      <c r="E15" s="992"/>
      <c r="F15" s="992"/>
      <c r="G15" s="992"/>
      <c r="H15" s="992"/>
      <c r="I15" s="992"/>
      <c r="J15" s="992"/>
      <c r="K15" s="717" t="s">
        <v>66</v>
      </c>
      <c r="L15" s="332" t="s">
        <v>66</v>
      </c>
      <c r="M15" s="396">
        <f>SUM(M6:M14)</f>
        <v>0</v>
      </c>
      <c r="N15" s="390">
        <f>SUM(N6:N14)</f>
        <v>0</v>
      </c>
      <c r="O15" s="316"/>
      <c r="P15" s="23"/>
      <c r="Q15" s="23"/>
      <c r="R15" s="23"/>
      <c r="S15" s="23"/>
      <c r="T15" s="316"/>
    </row>
    <row r="16" spans="1:27" ht="19.399999999999999" customHeight="1" thickBot="1">
      <c r="M16" s="401"/>
      <c r="N16" s="393"/>
      <c r="O16" s="316"/>
      <c r="P16" s="23"/>
      <c r="Q16" s="23"/>
      <c r="R16" s="23"/>
      <c r="S16" s="23"/>
      <c r="T16" s="316"/>
      <c r="U16" s="60" t="s">
        <v>101</v>
      </c>
    </row>
    <row r="17" spans="1:27" ht="19.399999999999999" customHeight="1" thickBot="1">
      <c r="C17" s="60"/>
      <c r="D17" s="55"/>
      <c r="E17" s="55"/>
      <c r="F17" s="55"/>
      <c r="G17" s="55"/>
      <c r="H17" s="55"/>
      <c r="I17" s="333"/>
      <c r="J17" s="333"/>
      <c r="K17" s="333"/>
      <c r="L17" s="334"/>
      <c r="M17" s="397"/>
      <c r="N17" s="391"/>
      <c r="O17" s="316"/>
      <c r="P17" s="23"/>
      <c r="Q17" s="23"/>
      <c r="R17" s="23"/>
      <c r="S17" s="23"/>
      <c r="T17" s="316"/>
      <c r="U17" s="335" t="s">
        <v>3041</v>
      </c>
      <c r="V17" s="709">
        <f>IF(V14="","",IFERROR(ROUND(V14/G57,3-INT(LOG(V14/G57))),))</f>
        <v>0</v>
      </c>
      <c r="W17" s="1048" t="str">
        <f>"t-CO₂/"&amp;G56</f>
        <v>t-CO₂/</v>
      </c>
      <c r="X17" s="1049"/>
    </row>
    <row r="18" spans="1:27" ht="19.399999999999999" customHeight="1">
      <c r="C18" s="1077" t="s">
        <v>4216</v>
      </c>
      <c r="D18" s="1078"/>
      <c r="E18" s="1078"/>
      <c r="F18" s="1078"/>
      <c r="G18" s="1078"/>
      <c r="H18" s="1078"/>
      <c r="I18" s="1078"/>
      <c r="J18" s="1078"/>
      <c r="K18" s="1036" t="s">
        <v>89</v>
      </c>
      <c r="L18" s="1038" t="s">
        <v>36</v>
      </c>
      <c r="M18" s="1046" t="s">
        <v>4168</v>
      </c>
      <c r="N18" s="1054" t="s">
        <v>4496</v>
      </c>
      <c r="O18" s="316"/>
      <c r="P18" s="23"/>
      <c r="Q18" s="23"/>
      <c r="R18" s="23"/>
      <c r="S18" s="23"/>
      <c r="T18" s="316"/>
    </row>
    <row r="19" spans="1:27" ht="19.399999999999999" customHeight="1" thickBot="1">
      <c r="C19" s="1091"/>
      <c r="D19" s="1092"/>
      <c r="E19" s="1092"/>
      <c r="F19" s="1092"/>
      <c r="G19" s="1092"/>
      <c r="H19" s="1092"/>
      <c r="I19" s="1092"/>
      <c r="J19" s="1092"/>
      <c r="K19" s="1037"/>
      <c r="L19" s="1039"/>
      <c r="M19" s="1047"/>
      <c r="N19" s="1055"/>
      <c r="O19" s="316"/>
      <c r="P19" s="23"/>
      <c r="Q19" s="23"/>
      <c r="R19" s="23"/>
      <c r="S19" s="23"/>
      <c r="T19" s="316"/>
      <c r="U19" s="60" t="s">
        <v>4414</v>
      </c>
      <c r="X19" s="23"/>
      <c r="Y19" s="27"/>
    </row>
    <row r="20" spans="1:27" ht="19.399999999999999" customHeight="1" thickBot="1">
      <c r="C20" s="1089" t="s">
        <v>4217</v>
      </c>
      <c r="D20" s="1090"/>
      <c r="E20" s="1090"/>
      <c r="F20" s="1090"/>
      <c r="G20" s="1090"/>
      <c r="H20" s="1090"/>
      <c r="I20" s="1090"/>
      <c r="J20" s="1090"/>
      <c r="K20" s="690" t="str">
        <f>IF(COUNTBLANK(W28:W32)=5,"",W33)</f>
        <v/>
      </c>
      <c r="L20" s="336" t="s">
        <v>4170</v>
      </c>
      <c r="M20" s="398" t="str">
        <f>IFERROR(IF(K20="","",$K20*R32),"-------------")</f>
        <v/>
      </c>
      <c r="N20" s="388" t="str">
        <f>IF(COUNTBLANK(W28:W32)=5,"",Y33)</f>
        <v/>
      </c>
      <c r="O20" s="316"/>
      <c r="P20" s="23"/>
      <c r="Q20" s="23"/>
      <c r="R20" s="23"/>
      <c r="S20" s="23"/>
      <c r="U20" s="335" t="s">
        <v>4429</v>
      </c>
      <c r="V20" s="701">
        <f>IF(OR(F71=0,F71="",K71=0,K71=""),0,SUM(K63,K66,K69)/F71*100)</f>
        <v>0</v>
      </c>
      <c r="W20" s="326" t="s">
        <v>106</v>
      </c>
      <c r="X20" s="27"/>
      <c r="Y20" s="27"/>
    </row>
    <row r="21" spans="1:27" ht="19.399999999999999" customHeight="1" thickBot="1">
      <c r="C21" s="1087" t="s">
        <v>4218</v>
      </c>
      <c r="D21" s="1088"/>
      <c r="E21" s="1088"/>
      <c r="F21" s="1088"/>
      <c r="G21" s="1088"/>
      <c r="H21" s="1088"/>
      <c r="I21" s="1088"/>
      <c r="J21" s="1088"/>
      <c r="K21" s="691" t="str">
        <f>IF(COUNTBLANK(W38:W42)=5,"",W43)</f>
        <v/>
      </c>
      <c r="L21" s="339" t="s">
        <v>4170</v>
      </c>
      <c r="M21" s="399" t="str">
        <f>IFERROR(IF(K21="","",$K21*R37),"-------------")</f>
        <v/>
      </c>
      <c r="N21" s="392" t="str">
        <f>IF(K21="","",Y43)</f>
        <v/>
      </c>
      <c r="P21" s="23"/>
      <c r="Q21" s="23"/>
      <c r="R21" s="23"/>
      <c r="S21" s="23"/>
      <c r="X21" s="27"/>
      <c r="Y21" s="27"/>
    </row>
    <row r="22" spans="1:27" ht="19.399999999999999" customHeight="1" thickTop="1" thickBot="1">
      <c r="C22" s="991" t="s">
        <v>65</v>
      </c>
      <c r="D22" s="992"/>
      <c r="E22" s="992"/>
      <c r="F22" s="992"/>
      <c r="G22" s="992"/>
      <c r="H22" s="992"/>
      <c r="I22" s="992"/>
      <c r="J22" s="992"/>
      <c r="K22" s="718">
        <f>SUM(K20,K21)</f>
        <v>0</v>
      </c>
      <c r="L22" s="340" t="s">
        <v>4223</v>
      </c>
      <c r="M22" s="400">
        <f>SUM(M20,M21)</f>
        <v>0</v>
      </c>
      <c r="N22" s="390">
        <f>SUM(N20,N21)</f>
        <v>0</v>
      </c>
      <c r="P22" s="23"/>
      <c r="Q22" s="23"/>
      <c r="R22" s="23"/>
      <c r="S22" s="23"/>
      <c r="U22" s="23"/>
      <c r="V22" s="23"/>
      <c r="W22" s="23"/>
      <c r="X22" s="23"/>
      <c r="Y22" s="341"/>
    </row>
    <row r="23" spans="1:27">
      <c r="C23" s="342"/>
      <c r="D23" s="342"/>
      <c r="E23" s="342"/>
      <c r="F23" s="342"/>
      <c r="G23" s="342"/>
      <c r="H23" s="342"/>
      <c r="I23" s="342"/>
      <c r="J23" s="342"/>
      <c r="K23" s="342"/>
      <c r="L23" s="342"/>
      <c r="M23" s="342"/>
      <c r="N23" s="342"/>
      <c r="P23" s="23"/>
      <c r="Q23" s="23"/>
      <c r="R23" s="23"/>
      <c r="S23" s="23"/>
      <c r="U23" s="1050" t="s">
        <v>4428</v>
      </c>
      <c r="V23" s="1051"/>
      <c r="W23" s="343" t="s">
        <v>74</v>
      </c>
      <c r="X23" s="343" t="s">
        <v>82</v>
      </c>
      <c r="Y23" s="341"/>
      <c r="AA23" s="10"/>
    </row>
    <row r="24" spans="1:27" ht="19.399999999999999" customHeight="1">
      <c r="A24" s="26">
        <v>1</v>
      </c>
      <c r="C24" s="60"/>
      <c r="D24" s="59"/>
      <c r="E24" s="59"/>
      <c r="F24" s="59"/>
      <c r="G24" s="59"/>
      <c r="H24" s="59"/>
      <c r="I24" s="59"/>
      <c r="J24" s="59"/>
      <c r="K24" s="59"/>
      <c r="L24" s="59"/>
      <c r="M24" s="59"/>
      <c r="N24" s="59"/>
      <c r="P24" s="23"/>
      <c r="Q24" s="23"/>
      <c r="R24" s="23"/>
      <c r="S24" s="23"/>
      <c r="U24" s="1044" t="str">
        <f>IF('入力シート（第２年度報告書）'!G26="","",'入力シート（第２年度報告書）'!G26)</f>
        <v/>
      </c>
      <c r="V24" s="1045"/>
      <c r="W24" s="344" t="str">
        <f>IF('入力シート（第２年度報告書）'!O26="","",'入力シート（第２年度報告書）'!O26)</f>
        <v/>
      </c>
      <c r="X24" s="682" t="str">
        <f>IF('入力シート（第２年度報告書）'!P26="","",'入力シート（第２年度報告書）'!P26)</f>
        <v/>
      </c>
      <c r="AA24" s="10"/>
    </row>
    <row r="25" spans="1:27" ht="19.399999999999999" customHeight="1" thickBot="1">
      <c r="A25" s="26">
        <v>1</v>
      </c>
      <c r="C25" s="60" t="s">
        <v>4501</v>
      </c>
      <c r="D25" s="60"/>
      <c r="I25" s="59"/>
      <c r="J25" s="59"/>
      <c r="K25" s="59"/>
      <c r="L25" s="59"/>
      <c r="M25" s="59"/>
      <c r="N25" s="59"/>
      <c r="P25" s="23"/>
      <c r="Q25" s="23"/>
      <c r="R25" s="23"/>
      <c r="S25" s="23"/>
      <c r="U25" s="23"/>
      <c r="X25" s="27"/>
      <c r="Y25" s="341"/>
      <c r="Z25" s="10"/>
    </row>
    <row r="26" spans="1:27" ht="19.399999999999999" customHeight="1">
      <c r="C26" s="1077" t="s">
        <v>4220</v>
      </c>
      <c r="D26" s="1078"/>
      <c r="E26" s="1078"/>
      <c r="F26" s="1184"/>
      <c r="G26" s="1007" t="s">
        <v>4496</v>
      </c>
      <c r="H26" s="1008"/>
      <c r="I26" s="24"/>
      <c r="J26" s="24"/>
      <c r="K26" s="24"/>
      <c r="L26" s="24"/>
      <c r="M26" s="24"/>
      <c r="N26" s="24"/>
      <c r="P26" s="23"/>
      <c r="Q26" s="23"/>
      <c r="R26" s="23"/>
      <c r="S26" s="23"/>
      <c r="U26" s="1056" t="s">
        <v>4117</v>
      </c>
      <c r="V26" s="1057"/>
      <c r="W26" s="1052" t="s">
        <v>4228</v>
      </c>
      <c r="X26" s="1052" t="s">
        <v>4541</v>
      </c>
      <c r="Y26" s="1052" t="s">
        <v>4495</v>
      </c>
      <c r="Z26" s="10"/>
    </row>
    <row r="27" spans="1:27" ht="19.399999999999999" customHeight="1">
      <c r="C27" s="1091"/>
      <c r="D27" s="1092"/>
      <c r="E27" s="1092"/>
      <c r="F27" s="1185"/>
      <c r="G27" s="1022"/>
      <c r="H27" s="1023"/>
      <c r="I27" s="24"/>
      <c r="J27" s="24"/>
      <c r="K27" s="24"/>
      <c r="L27" s="24"/>
      <c r="M27" s="24"/>
      <c r="N27" s="24"/>
      <c r="P27" s="23"/>
      <c r="Q27" s="23"/>
      <c r="R27" s="23"/>
      <c r="S27" s="23"/>
      <c r="T27" s="316"/>
      <c r="U27" s="1058"/>
      <c r="V27" s="1059"/>
      <c r="W27" s="1053"/>
      <c r="X27" s="1053"/>
      <c r="Y27" s="1053"/>
      <c r="Z27" s="10"/>
      <c r="AA27" s="345"/>
    </row>
    <row r="28" spans="1:27" ht="19.399999999999999" customHeight="1" thickBot="1">
      <c r="A28" s="26">
        <v>1</v>
      </c>
      <c r="C28" s="1186"/>
      <c r="D28" s="1187"/>
      <c r="E28" s="1187"/>
      <c r="F28" s="1188"/>
      <c r="G28" s="1009"/>
      <c r="H28" s="1010"/>
      <c r="I28" s="24"/>
      <c r="J28" s="24"/>
      <c r="K28" s="24"/>
      <c r="L28" s="24"/>
      <c r="M28" s="24"/>
      <c r="N28" s="24"/>
      <c r="O28" s="316"/>
      <c r="P28" s="23"/>
      <c r="Q28" s="23"/>
      <c r="R28" s="23"/>
      <c r="S28" s="23"/>
      <c r="T28" s="316"/>
      <c r="U28" s="1071" t="str">
        <f>'入力シート（第２年度報告書）'!F44&amp;""</f>
        <v/>
      </c>
      <c r="V28" s="1072"/>
      <c r="W28" s="687" t="str">
        <f>IF('入力シート（第２年度報告書）'!G44="","",'入力シート（第２年度報告書）'!G44)</f>
        <v/>
      </c>
      <c r="X28" s="683" t="str">
        <f>IF('入力シート（第２年度報告書）'!I44="","",'入力シート（第２年度報告書）'!I44)</f>
        <v/>
      </c>
      <c r="Y28" s="685" t="str">
        <f>IF(W28="","",X28*W28)</f>
        <v/>
      </c>
      <c r="Z28" s="346"/>
      <c r="AA28" s="345"/>
    </row>
    <row r="29" spans="1:27" ht="19.399999999999999" customHeight="1">
      <c r="C29" s="347" t="s">
        <v>4498</v>
      </c>
      <c r="D29" s="347"/>
      <c r="E29" s="348"/>
      <c r="F29" s="348"/>
      <c r="G29" s="1028" t="str">
        <f>IF('入力シート（第２年度報告書）'!G68="","",'入力シート（第２年度報告書）'!G68)</f>
        <v/>
      </c>
      <c r="H29" s="1029"/>
      <c r="I29" s="24"/>
      <c r="J29" s="24"/>
      <c r="K29" s="24"/>
      <c r="L29" s="24"/>
      <c r="M29" s="24"/>
      <c r="N29" s="24"/>
      <c r="O29" s="316"/>
      <c r="P29" s="23"/>
      <c r="Q29" s="23"/>
      <c r="R29" s="23"/>
      <c r="S29" s="23"/>
      <c r="U29" s="1071" t="str">
        <f>'入力シート（第２年度報告書）'!F45&amp;""</f>
        <v/>
      </c>
      <c r="V29" s="1072"/>
      <c r="W29" s="687" t="str">
        <f>IF('入力シート（第２年度報告書）'!G45="","",'入力シート（第２年度報告書）'!G45)</f>
        <v/>
      </c>
      <c r="X29" s="683" t="str">
        <f>IF('入力シート（第２年度報告書）'!I45="","",'入力シート（第２年度報告書）'!I45)</f>
        <v/>
      </c>
      <c r="Y29" s="685" t="str">
        <f>IF(W29="","",X29*W29)</f>
        <v/>
      </c>
      <c r="Z29" s="346"/>
      <c r="AA29" s="23"/>
    </row>
    <row r="30" spans="1:27" ht="19.399999999999999" customHeight="1">
      <c r="C30" s="63" t="s">
        <v>4171</v>
      </c>
      <c r="D30" s="63"/>
      <c r="E30" s="349"/>
      <c r="F30" s="349"/>
      <c r="G30" s="983" t="str">
        <f>IF('入力シート（第２年度報告書）'!G69="","",'入力シート（第２年度報告書）'!G69)</f>
        <v/>
      </c>
      <c r="H30" s="984"/>
      <c r="I30" s="24"/>
      <c r="J30" s="24"/>
      <c r="K30" s="24"/>
      <c r="L30" s="24"/>
      <c r="M30" s="24"/>
      <c r="N30" s="24"/>
      <c r="P30" s="23"/>
      <c r="Q30" s="23"/>
      <c r="R30" s="23"/>
      <c r="S30" s="23"/>
      <c r="U30" s="1071" t="str">
        <f>'入力シート（第２年度報告書）'!F46&amp;""</f>
        <v/>
      </c>
      <c r="V30" s="1072"/>
      <c r="W30" s="687" t="str">
        <f>IF('入力シート（第２年度報告書）'!G46="","",'入力シート（第２年度報告書）'!G46)</f>
        <v/>
      </c>
      <c r="X30" s="683" t="str">
        <f>IF('入力シート（第２年度報告書）'!I46="","",'入力シート（第２年度報告書）'!I46)</f>
        <v/>
      </c>
      <c r="Y30" s="685" t="str">
        <f>IF(W30="","",X30*W30)</f>
        <v/>
      </c>
      <c r="Z30" s="50"/>
      <c r="AA30" s="23"/>
    </row>
    <row r="31" spans="1:27" ht="19.399999999999999" customHeight="1">
      <c r="C31" s="63" t="s">
        <v>4172</v>
      </c>
      <c r="D31" s="63"/>
      <c r="E31" s="349"/>
      <c r="F31" s="349"/>
      <c r="G31" s="983" t="str">
        <f>IF('入力シート（第２年度報告書）'!G70="","",'入力シート（第２年度報告書）'!G70)</f>
        <v/>
      </c>
      <c r="H31" s="984"/>
      <c r="I31" s="24"/>
      <c r="J31" s="24"/>
      <c r="K31" s="24"/>
      <c r="L31" s="24"/>
      <c r="M31" s="24"/>
      <c r="N31" s="24"/>
      <c r="P31" s="310" t="s">
        <v>4380</v>
      </c>
      <c r="Q31" s="310" t="s">
        <v>4381</v>
      </c>
      <c r="R31" s="310" t="s">
        <v>4122</v>
      </c>
      <c r="S31" s="310" t="s">
        <v>4177</v>
      </c>
      <c r="U31" s="1075" t="str">
        <f>'入力シート（第２年度報告書）'!F47&amp;""</f>
        <v/>
      </c>
      <c r="V31" s="1076"/>
      <c r="W31" s="687" t="str">
        <f>IF('入力シート（第２年度報告書）'!G47="","",'入力シート（第２年度報告書）'!G47)</f>
        <v/>
      </c>
      <c r="X31" s="683" t="str">
        <f>IF('入力シート（第２年度報告書）'!I47="","",'入力シート（第２年度報告書）'!I47)</f>
        <v/>
      </c>
      <c r="Y31" s="685" t="str">
        <f>IF(W31="","",X31*W31)</f>
        <v/>
      </c>
      <c r="Z31" s="50"/>
      <c r="AA31" s="23"/>
    </row>
    <row r="32" spans="1:27" ht="19.399999999999999" customHeight="1" thickBot="1">
      <c r="C32" s="63" t="s">
        <v>95</v>
      </c>
      <c r="D32" s="63"/>
      <c r="E32" s="349"/>
      <c r="F32" s="349"/>
      <c r="G32" s="983" t="str">
        <f>IF('入力シート（第２年度報告書）'!G71="","",'入力シート（第２年度報告書）'!G71)</f>
        <v/>
      </c>
      <c r="H32" s="984"/>
      <c r="I32" s="24"/>
      <c r="J32" s="24"/>
      <c r="K32" s="24"/>
      <c r="L32" s="24"/>
      <c r="M32" s="24"/>
      <c r="N32" s="24"/>
      <c r="P32" s="350" t="s">
        <v>4388</v>
      </c>
      <c r="Q32" s="350"/>
      <c r="R32" s="350">
        <f>VLOOKUP($P32,係数2025,7,0)</f>
        <v>8.64</v>
      </c>
      <c r="S32" s="350" t="str">
        <f>VLOOKUP($P32,係数2025,9,0)</f>
        <v>ー</v>
      </c>
      <c r="U32" s="1073" t="str">
        <f>'入力シート（第２年度報告書）'!F48&amp;""</f>
        <v/>
      </c>
      <c r="V32" s="1074"/>
      <c r="W32" s="687" t="str">
        <f>IF('入力シート（第２年度報告書）'!G48="","",'入力シート（第２年度報告書）'!G48)</f>
        <v/>
      </c>
      <c r="X32" s="683" t="str">
        <f>IF('入力シート（第２年度報告書）'!I48="","",'入力シート（第２年度報告書）'!I48)</f>
        <v/>
      </c>
      <c r="Y32" s="685" t="str">
        <f>IF(W32="","",X32*W32)</f>
        <v/>
      </c>
      <c r="Z32" s="50"/>
      <c r="AA32" s="23"/>
    </row>
    <row r="33" spans="1:27" ht="19.399999999999999" customHeight="1" thickTop="1">
      <c r="C33" s="63" t="s">
        <v>96</v>
      </c>
      <c r="D33" s="63"/>
      <c r="E33" s="349"/>
      <c r="F33" s="349"/>
      <c r="G33" s="983" t="str">
        <f>IF('入力シート（第２年度報告書）'!G72="","",'入力シート（第２年度報告書）'!G72)</f>
        <v/>
      </c>
      <c r="H33" s="984"/>
      <c r="I33" s="24"/>
      <c r="J33" s="24"/>
      <c r="K33" s="24"/>
      <c r="L33" s="24"/>
      <c r="M33" s="24"/>
      <c r="N33" s="24"/>
      <c r="P33" s="350" t="s">
        <v>4388</v>
      </c>
      <c r="Q33" s="350"/>
      <c r="R33" s="350">
        <f>VLOOKUP($P33,係数2025,7,0)</f>
        <v>8.64</v>
      </c>
      <c r="S33" s="350" t="str">
        <f>VLOOKUP($P33,係数2025,9,0)</f>
        <v>ー</v>
      </c>
      <c r="U33" s="1060" t="s">
        <v>81</v>
      </c>
      <c r="V33" s="1061"/>
      <c r="W33" s="688" t="str">
        <f>IF(COUNTBLANK(W28:W32)=5,"",SUM(W28:W32))</f>
        <v/>
      </c>
      <c r="X33" s="351"/>
      <c r="Y33" s="686" t="str">
        <f>IF(COUNTBLANK(U28:U32)=5,"",SUM(Y28:Y32))</f>
        <v/>
      </c>
      <c r="Z33" s="50"/>
      <c r="AA33" s="23"/>
    </row>
    <row r="34" spans="1:27" ht="19.399999999999999" customHeight="1">
      <c r="C34" s="63" t="s">
        <v>4173</v>
      </c>
      <c r="D34" s="63"/>
      <c r="E34" s="349"/>
      <c r="F34" s="349"/>
      <c r="G34" s="983" t="str">
        <f>IF('入力シート（第２年度報告書）'!G73="","",'入力シート（第２年度報告書）'!G73)</f>
        <v/>
      </c>
      <c r="H34" s="984"/>
      <c r="I34" s="24"/>
      <c r="J34" s="24"/>
      <c r="K34" s="24"/>
      <c r="L34" s="24"/>
      <c r="M34" s="24"/>
      <c r="N34" s="24"/>
      <c r="P34" s="350"/>
      <c r="Q34" s="350"/>
      <c r="R34" s="350"/>
      <c r="S34" s="350"/>
      <c r="U34" s="352"/>
      <c r="V34" s="50"/>
      <c r="W34" s="50"/>
      <c r="X34" s="353"/>
      <c r="Y34" s="50"/>
      <c r="Z34" s="50"/>
      <c r="AA34" s="23"/>
    </row>
    <row r="35" spans="1:27" ht="19.399999999999999" customHeight="1" thickBot="1">
      <c r="C35" s="337" t="s">
        <v>4174</v>
      </c>
      <c r="D35" s="337"/>
      <c r="E35" s="338"/>
      <c r="F35" s="338"/>
      <c r="G35" s="1016" t="str">
        <f>IF('入力シート（第２年度報告書）'!G74="","",'入力シート（第２年度報告書）'!G74)</f>
        <v/>
      </c>
      <c r="H35" s="1017"/>
      <c r="I35" s="24"/>
      <c r="J35" s="24"/>
      <c r="K35" s="24"/>
      <c r="L35" s="24"/>
      <c r="M35" s="24"/>
      <c r="N35" s="24"/>
      <c r="P35" s="350" t="s">
        <v>4378</v>
      </c>
      <c r="Q35" s="350"/>
      <c r="R35" s="350">
        <f>VLOOKUP($P35,係数2025,7,0)</f>
        <v>8.64</v>
      </c>
      <c r="S35" s="350" t="str">
        <f>VLOOKUP($P35,係数2025,9,0)</f>
        <v>ー</v>
      </c>
      <c r="U35" s="352"/>
      <c r="V35" s="50"/>
      <c r="W35" s="50"/>
      <c r="X35" s="27"/>
      <c r="Y35" s="27"/>
      <c r="Z35" s="354"/>
      <c r="AA35" s="23"/>
    </row>
    <row r="36" spans="1:27" ht="19.399999999999999" customHeight="1" thickTop="1" thickBot="1">
      <c r="C36" s="991" t="s">
        <v>98</v>
      </c>
      <c r="D36" s="992"/>
      <c r="E36" s="992"/>
      <c r="F36" s="993"/>
      <c r="G36" s="1014" t="str">
        <f>IF(COUNTBLANK(G29:G35)=7,"",SUM(G29:G35))</f>
        <v/>
      </c>
      <c r="H36" s="1015"/>
      <c r="I36" s="24"/>
      <c r="J36" s="24"/>
      <c r="K36" s="24"/>
      <c r="L36" s="24"/>
      <c r="M36" s="24"/>
      <c r="N36" s="24"/>
      <c r="P36" s="355" t="s">
        <v>4389</v>
      </c>
      <c r="Q36" s="355"/>
      <c r="R36" s="350" t="str">
        <f>VLOOKUP($P36,係数2025,7,0)</f>
        <v>ー</v>
      </c>
      <c r="S36" s="350" t="str">
        <f>VLOOKUP($P36,係数2025,9,0)</f>
        <v>ー</v>
      </c>
      <c r="U36" s="1067" t="s">
        <v>4382</v>
      </c>
      <c r="V36" s="1068"/>
      <c r="W36" s="1052" t="s">
        <v>3045</v>
      </c>
      <c r="X36" s="1052" t="s">
        <v>4541</v>
      </c>
      <c r="Y36" s="1052" t="s">
        <v>4495</v>
      </c>
      <c r="Z36" s="354"/>
      <c r="AA36" s="23"/>
    </row>
    <row r="37" spans="1:27" ht="19.399999999999999" customHeight="1">
      <c r="C37" s="55"/>
      <c r="D37" s="55"/>
      <c r="E37" s="55"/>
      <c r="F37" s="55"/>
      <c r="G37" s="67"/>
      <c r="H37" s="67"/>
      <c r="P37" s="355" t="s">
        <v>4379</v>
      </c>
      <c r="Q37" s="355"/>
      <c r="R37" s="350">
        <f>VLOOKUP($P37,係数2025,7,0)</f>
        <v>8.64</v>
      </c>
      <c r="S37" s="350" t="str">
        <f>VLOOKUP($P37,係数2025,9,0)</f>
        <v>ー</v>
      </c>
      <c r="U37" s="1069"/>
      <c r="V37" s="1070"/>
      <c r="W37" s="1053"/>
      <c r="X37" s="1053"/>
      <c r="Y37" s="1053"/>
      <c r="Z37" s="356"/>
      <c r="AA37" s="354"/>
    </row>
    <row r="38" spans="1:27" ht="19.399999999999999" customHeight="1">
      <c r="P38" s="350"/>
      <c r="Q38" s="350"/>
      <c r="R38" s="350"/>
      <c r="S38" s="350"/>
      <c r="U38" s="1064" t="str">
        <f>IF('入力シート（第２年度報告書）'!F55="","",'入力シート（第２年度報告書）'!F55)</f>
        <v/>
      </c>
      <c r="V38" s="1065"/>
      <c r="W38" s="687" t="str">
        <f>IF('入力シート（第２年度報告書）'!G55="","",'入力シート（第２年度報告書）'!G55)</f>
        <v/>
      </c>
      <c r="X38" s="684" t="str">
        <f>IF('入力シート（第２年度報告書）'!I55="","",'入力シート（第２年度報告書）'!I55)</f>
        <v/>
      </c>
      <c r="Y38" s="685" t="str">
        <f>IF(W38="","",W38*X38)</f>
        <v/>
      </c>
      <c r="Z38" s="23"/>
      <c r="AA38" s="356"/>
    </row>
    <row r="39" spans="1:27" ht="19.399999999999999" customHeight="1" thickBot="1">
      <c r="C39" s="60" t="s">
        <v>99</v>
      </c>
      <c r="D39" s="60"/>
      <c r="P39" s="357"/>
      <c r="Q39" s="357"/>
      <c r="R39" s="357"/>
      <c r="S39" s="357"/>
      <c r="U39" s="1064" t="str">
        <f>IF('入力シート（第２年度報告書）'!F56="","",'入力シート（第２年度報告書）'!F56)</f>
        <v/>
      </c>
      <c r="V39" s="1065"/>
      <c r="W39" s="687" t="str">
        <f>IF('入力シート（第２年度報告書）'!G56="","",'入力シート（第２年度報告書）'!G56)</f>
        <v/>
      </c>
      <c r="X39" s="683" t="str">
        <f>IF('入力シート（第２年度報告書）'!I56="","",'入力シート（第２年度報告書）'!I56)</f>
        <v/>
      </c>
      <c r="Y39" s="685" t="str">
        <f>IF(W39="","",W39*X39)</f>
        <v/>
      </c>
      <c r="Z39" s="23"/>
      <c r="AA39" s="23"/>
    </row>
    <row r="40" spans="1:27" ht="19.399999999999999" customHeight="1">
      <c r="C40" s="999" t="s">
        <v>4221</v>
      </c>
      <c r="D40" s="1000"/>
      <c r="E40" s="1000"/>
      <c r="F40" s="1005"/>
      <c r="G40" s="1007" t="s">
        <v>4534</v>
      </c>
      <c r="H40" s="1008"/>
      <c r="U40" s="1064" t="str">
        <f>IF('入力シート（第２年度報告書）'!F57="","",'入力シート（第２年度報告書）'!F57)</f>
        <v/>
      </c>
      <c r="V40" s="1065"/>
      <c r="W40" s="689" t="str">
        <f>IF('入力シート（第２年度報告書）'!G57="","",'入力シート（第２年度報告書）'!G57)</f>
        <v/>
      </c>
      <c r="X40" s="684" t="str">
        <f>IF('入力シート（第２年度報告書）'!I57="","",'入力シート（第２年度報告書）'!I57)</f>
        <v/>
      </c>
      <c r="Y40" s="685" t="str">
        <f>IF(W40="","",W40*X40)</f>
        <v/>
      </c>
      <c r="Z40" s="23"/>
      <c r="AA40" s="23"/>
    </row>
    <row r="41" spans="1:27" ht="19.399999999999999" customHeight="1" thickBot="1">
      <c r="C41" s="1002"/>
      <c r="D41" s="1003"/>
      <c r="E41" s="1003"/>
      <c r="F41" s="1006"/>
      <c r="G41" s="1009"/>
      <c r="H41" s="1010"/>
      <c r="U41" s="1064" t="str">
        <f>IF('入力シート（第２年度報告書）'!F58="","",'入力シート（第２年度報告書）'!F58)</f>
        <v/>
      </c>
      <c r="V41" s="1065"/>
      <c r="W41" s="689" t="str">
        <f>IF('入力シート（第２年度報告書）'!G58="","",'入力シート（第２年度報告書）'!G58)</f>
        <v/>
      </c>
      <c r="X41" s="683" t="str">
        <f>IF('入力シート（第２年度報告書）'!I58="","",'入力シート（第２年度報告書）'!I58)</f>
        <v/>
      </c>
      <c r="Y41" s="685" t="str">
        <f>IF(W41="","",W41*X41)</f>
        <v/>
      </c>
      <c r="Z41" s="23"/>
      <c r="AA41" s="23"/>
    </row>
    <row r="42" spans="1:27" ht="19.399999999999999" customHeight="1" thickBot="1">
      <c r="C42" s="980" t="str">
        <f>IF('入力シート（第２年度報告書）'!E85="","",'入力シート（第２年度報告書）'!E85)</f>
        <v/>
      </c>
      <c r="D42" s="981"/>
      <c r="E42" s="981" t="str">
        <f>IF('入力シート（第２年度報告書）'!E85="","",'入力シート（第２年度報告書）'!E85)</f>
        <v/>
      </c>
      <c r="F42" s="982"/>
      <c r="G42" s="1028" t="str">
        <f>IF('入力シート（第２年度報告書）'!G85="","",'入力シート（第２年度報告書）'!G85)</f>
        <v/>
      </c>
      <c r="H42" s="1029"/>
      <c r="U42" s="1062" t="str">
        <f>IF('入力シート（第２年度報告書）'!F59="","",'入力シート（第２年度報告書）'!F59)</f>
        <v/>
      </c>
      <c r="V42" s="1063"/>
      <c r="W42" s="692" t="str">
        <f>IF('入力シート（第２年度報告書）'!G59="","",'入力シート（第２年度報告書）'!G59)</f>
        <v/>
      </c>
      <c r="X42" s="693" t="str">
        <f>IF('入力シート（第２年度報告書）'!I59="","",'入力シート（第２年度報告書）'!I59)</f>
        <v/>
      </c>
      <c r="Y42" s="694" t="str">
        <f>IF(W42="","",W42*X42)</f>
        <v/>
      </c>
      <c r="Z42" s="23"/>
      <c r="AA42" s="23"/>
    </row>
    <row r="43" spans="1:27" ht="19.399999999999999" customHeight="1" thickTop="1">
      <c r="C43" s="977" t="str">
        <f>IF('入力シート（第２年度報告書）'!E86="","",'入力シート（第２年度報告書）'!E86)</f>
        <v/>
      </c>
      <c r="D43" s="978"/>
      <c r="E43" s="978" t="str">
        <f>IF('入力シート（第２年度報告書）'!E86="","",'入力シート（第２年度報告書）'!E86)</f>
        <v/>
      </c>
      <c r="F43" s="979"/>
      <c r="G43" s="983" t="str">
        <f>IF('入力シート（第２年度報告書）'!G86="","",'入力シート（第２年度報告書）'!G86)</f>
        <v/>
      </c>
      <c r="H43" s="984"/>
      <c r="U43" s="1060" t="s">
        <v>81</v>
      </c>
      <c r="V43" s="1066"/>
      <c r="W43" s="688" t="str">
        <f>IF(COUNTBLANK(W38:W42)=5,"",SUM(W38:W42))</f>
        <v/>
      </c>
      <c r="X43" s="695"/>
      <c r="Y43" s="686" t="str">
        <f>IF(W43="","",SUM(Y38:Y42))</f>
        <v/>
      </c>
      <c r="Z43" s="23"/>
      <c r="AA43" s="23"/>
    </row>
    <row r="44" spans="1:27" ht="19.399999999999999" customHeight="1">
      <c r="C44" s="977" t="str">
        <f>IF('入力シート（第２年度報告書）'!E87="","",'入力シート（第２年度報告書）'!E87)</f>
        <v/>
      </c>
      <c r="D44" s="978"/>
      <c r="E44" s="978" t="str">
        <f>IF('入力シート（第２年度報告書）'!E87="","",'入力シート（第２年度報告書）'!E87)</f>
        <v/>
      </c>
      <c r="F44" s="979"/>
      <c r="G44" s="983" t="str">
        <f>IF('入力シート（第２年度報告書）'!G87="","",'入力シート（第２年度報告書）'!G87)</f>
        <v/>
      </c>
      <c r="H44" s="984"/>
      <c r="U44" s="27"/>
      <c r="V44" s="27"/>
      <c r="W44" s="27"/>
      <c r="X44" s="27"/>
      <c r="Y44" s="356"/>
      <c r="Z44" s="23"/>
      <c r="AA44" s="23"/>
    </row>
    <row r="45" spans="1:27" ht="19.399999999999999" customHeight="1">
      <c r="C45" s="977" t="str">
        <f>IF('入力シート（第２年度報告書）'!E88="","",'入力シート（第２年度報告書）'!E88)</f>
        <v/>
      </c>
      <c r="D45" s="978"/>
      <c r="E45" s="978" t="str">
        <f>IF('入力シート（第２年度報告書）'!E88="","",'入力シート（第２年度報告書）'!E88)</f>
        <v/>
      </c>
      <c r="F45" s="979"/>
      <c r="G45" s="983" t="str">
        <f>IF('入力シート（第２年度報告書）'!G88="","",'入力シート（第２年度報告書）'!G88)</f>
        <v/>
      </c>
      <c r="H45" s="984"/>
      <c r="U45" s="23"/>
      <c r="V45" s="23"/>
      <c r="W45" s="23"/>
      <c r="X45" s="23"/>
      <c r="Y45" s="23"/>
      <c r="Z45" s="23"/>
      <c r="AA45" s="23"/>
    </row>
    <row r="46" spans="1:27" ht="19.399999999999999" customHeight="1">
      <c r="A46" s="59"/>
      <c r="C46" s="977" t="str">
        <f>IF('入力シート（第２年度報告書）'!E89="","",'入力シート（第２年度報告書）'!E89)</f>
        <v/>
      </c>
      <c r="D46" s="978"/>
      <c r="E46" s="978" t="str">
        <f>IF('入力シート（第２年度報告書）'!E89="","",'入力シート（第２年度報告書）'!E89)</f>
        <v/>
      </c>
      <c r="F46" s="979"/>
      <c r="G46" s="983" t="str">
        <f>IF('入力シート（第２年度報告書）'!G89="","",'入力シート（第２年度報告書）'!G89)</f>
        <v/>
      </c>
      <c r="H46" s="984"/>
      <c r="U46" s="23"/>
      <c r="V46" s="23"/>
      <c r="W46" s="23"/>
      <c r="X46" s="23"/>
      <c r="Y46" s="23"/>
      <c r="Z46" s="23"/>
      <c r="AA46" s="23"/>
    </row>
    <row r="47" spans="1:27" ht="19.399999999999999" customHeight="1">
      <c r="A47" s="59"/>
      <c r="B47" s="59"/>
      <c r="C47" s="977" t="str">
        <f>IF('入力シート（第２年度報告書）'!E90="","",'入力シート（第２年度報告書）'!E90)</f>
        <v/>
      </c>
      <c r="D47" s="978"/>
      <c r="E47" s="978" t="str">
        <f>IF('入力シート（第２年度報告書）'!E90="","",'入力シート（第２年度報告書）'!E90)</f>
        <v/>
      </c>
      <c r="F47" s="979"/>
      <c r="G47" s="983" t="str">
        <f>IF('入力シート（第２年度報告書）'!G90="","",'入力シート（第２年度報告書）'!G90)</f>
        <v/>
      </c>
      <c r="H47" s="984"/>
      <c r="U47" s="23"/>
      <c r="V47" s="23"/>
      <c r="W47" s="23"/>
      <c r="X47" s="23"/>
      <c r="Y47" s="23"/>
      <c r="Z47" s="23"/>
      <c r="AA47" s="23"/>
    </row>
    <row r="48" spans="1:27" ht="19.399999999999999" customHeight="1" thickBot="1">
      <c r="B48" s="59"/>
      <c r="C48" s="1011" t="str">
        <f>IF('入力シート（第２年度報告書）'!E91="","",'入力シート（第２年度報告書）'!E91)</f>
        <v/>
      </c>
      <c r="D48" s="1012"/>
      <c r="E48" s="1012" t="str">
        <f>IF('入力シート（第２年度報告書）'!E91="","",'入力シート（第２年度報告書）'!E91)</f>
        <v/>
      </c>
      <c r="F48" s="1013"/>
      <c r="G48" s="1016" t="str">
        <f>IF('入力シート（第２年度報告書）'!G91="","",'入力シート（第２年度報告書）'!G91)</f>
        <v/>
      </c>
      <c r="H48" s="1017"/>
      <c r="U48" s="23"/>
      <c r="V48" s="23"/>
      <c r="W48" s="23"/>
      <c r="X48" s="23"/>
      <c r="Y48" s="23"/>
      <c r="Z48" s="23"/>
      <c r="AA48" s="23"/>
    </row>
    <row r="49" spans="2:29" ht="19.399999999999999" customHeight="1" thickTop="1" thickBot="1">
      <c r="C49" s="991" t="s">
        <v>98</v>
      </c>
      <c r="D49" s="992"/>
      <c r="E49" s="992"/>
      <c r="F49" s="993"/>
      <c r="G49" s="1014" t="str">
        <f>IF(COUNTBLANK(G42:G48)=7,"",SUM(G42:G48))</f>
        <v/>
      </c>
      <c r="H49" s="1015"/>
      <c r="U49" s="23"/>
      <c r="V49" s="23"/>
      <c r="W49" s="23"/>
      <c r="X49" s="23"/>
      <c r="Y49" s="23"/>
      <c r="Z49" s="27"/>
      <c r="AA49" s="23"/>
    </row>
    <row r="50" spans="2:29" ht="19.399999999999999" customHeight="1">
      <c r="U50" s="23"/>
      <c r="V50" s="23"/>
      <c r="W50" s="23"/>
      <c r="X50" s="23"/>
      <c r="Y50" s="23"/>
      <c r="Z50" s="23"/>
      <c r="AA50" s="27"/>
    </row>
    <row r="51" spans="2:29" ht="19.399999999999999" customHeight="1">
      <c r="U51" s="23"/>
      <c r="V51" s="23"/>
      <c r="W51" s="23"/>
      <c r="X51" s="23"/>
      <c r="Y51" s="23"/>
      <c r="Z51" s="23"/>
      <c r="AA51" s="23"/>
    </row>
    <row r="52" spans="2:29" ht="19.399999999999999" customHeight="1" thickBot="1">
      <c r="C52" s="60" t="s">
        <v>101</v>
      </c>
      <c r="D52" s="60"/>
      <c r="U52" s="23"/>
      <c r="V52" s="23"/>
      <c r="W52" s="23"/>
      <c r="X52" s="23"/>
      <c r="Y52" s="23"/>
      <c r="Z52" s="23"/>
      <c r="AA52" s="23"/>
    </row>
    <row r="53" spans="2:29" ht="19.399999999999999" customHeight="1">
      <c r="C53" s="999" t="s">
        <v>100</v>
      </c>
      <c r="D53" s="1000"/>
      <c r="E53" s="1000"/>
      <c r="F53" s="1000"/>
      <c r="G53" s="1000"/>
      <c r="H53" s="1001"/>
      <c r="U53" s="23"/>
      <c r="V53" s="23"/>
      <c r="W53" s="23"/>
      <c r="X53" s="23"/>
      <c r="Y53" s="23"/>
      <c r="Z53" s="23"/>
      <c r="AA53" s="23"/>
    </row>
    <row r="54" spans="2:29" ht="19.399999999999999" customHeight="1" thickBot="1">
      <c r="C54" s="1002"/>
      <c r="D54" s="1003"/>
      <c r="E54" s="1003"/>
      <c r="F54" s="1003"/>
      <c r="G54" s="1003"/>
      <c r="H54" s="1004"/>
      <c r="U54" s="23"/>
      <c r="V54" s="23"/>
      <c r="W54" s="23"/>
      <c r="X54" s="23"/>
      <c r="Y54" s="23"/>
      <c r="Z54" s="23"/>
      <c r="AA54" s="23"/>
    </row>
    <row r="55" spans="2:29" ht="19.399999999999999" customHeight="1">
      <c r="C55" s="996" t="s">
        <v>67</v>
      </c>
      <c r="D55" s="997"/>
      <c r="E55" s="997"/>
      <c r="F55" s="998"/>
      <c r="G55" s="1026" t="str">
        <f>IF('P1'!G55="","",'P1'!G55)</f>
        <v/>
      </c>
      <c r="H55" s="1027"/>
      <c r="U55" s="23"/>
      <c r="V55" s="23"/>
      <c r="W55" s="23"/>
      <c r="X55" s="23"/>
      <c r="Y55" s="23"/>
      <c r="Z55" s="23"/>
      <c r="AA55" s="23"/>
    </row>
    <row r="56" spans="2:29" s="26" customFormat="1" ht="19.399999999999999" customHeight="1">
      <c r="B56" s="27"/>
      <c r="C56" s="994" t="s">
        <v>103</v>
      </c>
      <c r="D56" s="949"/>
      <c r="E56" s="949"/>
      <c r="F56" s="995"/>
      <c r="G56" s="945" t="str">
        <f>IF('P1'!G56="","",'P1'!G56)</f>
        <v/>
      </c>
      <c r="H56" s="1183"/>
      <c r="U56" s="23"/>
      <c r="V56" s="23"/>
      <c r="W56" s="23"/>
      <c r="X56" s="23"/>
      <c r="Y56" s="23"/>
      <c r="Z56" s="23"/>
      <c r="AA56" s="23"/>
      <c r="AB56" s="23"/>
      <c r="AC56" s="23"/>
    </row>
    <row r="57" spans="2:29" s="26" customFormat="1" ht="19.399999999999999" customHeight="1" thickBot="1">
      <c r="B57" s="27"/>
      <c r="C57" s="1032" t="s">
        <v>102</v>
      </c>
      <c r="D57" s="1033"/>
      <c r="E57" s="1033"/>
      <c r="F57" s="1034"/>
      <c r="G57" s="1024" t="str">
        <f>IF('入力シート（第２年度報告書）'!G98="","",'入力シート（第２年度報告書）'!G98)</f>
        <v/>
      </c>
      <c r="H57" s="1025"/>
      <c r="I57" s="47"/>
      <c r="U57" s="27"/>
      <c r="V57" s="27"/>
      <c r="W57" s="27"/>
      <c r="X57" s="27"/>
      <c r="Y57" s="27"/>
      <c r="Z57" s="23"/>
      <c r="AA57" s="23"/>
      <c r="AB57" s="23"/>
      <c r="AC57" s="23"/>
    </row>
    <row r="58" spans="2:29" s="26" customFormat="1" ht="19.399999999999999" customHeight="1">
      <c r="B58" s="27"/>
      <c r="H58" s="47"/>
      <c r="U58" s="27"/>
      <c r="V58" s="27"/>
      <c r="W58" s="27"/>
      <c r="X58" s="27"/>
      <c r="Y58" s="27"/>
      <c r="Z58" s="23"/>
      <c r="AA58" s="23"/>
      <c r="AB58" s="23"/>
      <c r="AC58" s="23"/>
    </row>
    <row r="59" spans="2:29" s="26" customFormat="1" ht="19.399999999999999" customHeight="1">
      <c r="B59" s="27"/>
      <c r="Z59" s="23"/>
      <c r="AA59" s="23"/>
      <c r="AB59" s="23"/>
      <c r="AC59" s="23"/>
    </row>
    <row r="60" spans="2:29" s="26" customFormat="1" ht="19.399999999999999" customHeight="1" thickBot="1">
      <c r="B60" s="27"/>
      <c r="C60" s="60" t="s">
        <v>4415</v>
      </c>
      <c r="Z60" s="23"/>
      <c r="AA60" s="23"/>
      <c r="AB60" s="23"/>
      <c r="AC60" s="23"/>
    </row>
    <row r="61" spans="2:29" s="26" customFormat="1" ht="19.399999999999999" customHeight="1">
      <c r="B61" s="27"/>
      <c r="C61" s="1176" t="s">
        <v>4422</v>
      </c>
      <c r="D61" s="1179"/>
      <c r="E61" s="1179"/>
      <c r="F61" s="1181" t="s">
        <v>4416</v>
      </c>
      <c r="G61" s="1175" t="s">
        <v>4417</v>
      </c>
      <c r="H61" s="1175"/>
      <c r="I61" s="1175"/>
      <c r="J61" s="1176"/>
      <c r="K61" s="1181" t="s">
        <v>4418</v>
      </c>
      <c r="L61" s="10"/>
      <c r="Z61" s="27"/>
      <c r="AA61" s="23"/>
      <c r="AB61" s="23"/>
      <c r="AC61" s="23"/>
    </row>
    <row r="62" spans="2:29" s="26" customFormat="1" ht="19.399999999999999" customHeight="1" thickBot="1">
      <c r="B62" s="27"/>
      <c r="C62" s="1178"/>
      <c r="D62" s="1180"/>
      <c r="E62" s="1180"/>
      <c r="F62" s="1182"/>
      <c r="G62" s="1177"/>
      <c r="H62" s="1177"/>
      <c r="I62" s="1177"/>
      <c r="J62" s="1178"/>
      <c r="K62" s="1182"/>
      <c r="L62" s="10"/>
      <c r="Z62" s="27"/>
      <c r="AA62" s="27"/>
      <c r="AB62" s="23"/>
      <c r="AC62" s="23"/>
    </row>
    <row r="63" spans="2:29" s="26" customFormat="1" ht="19.399999999999999" customHeight="1">
      <c r="B63" s="27"/>
      <c r="C63" s="989" t="s">
        <v>4423</v>
      </c>
      <c r="D63" s="990"/>
      <c r="E63" s="990"/>
      <c r="F63" s="970" t="str">
        <f>IF('入力シート（第２年度報告書）'!G113="","",'入力シート（第２年度報告書）'!G113)</f>
        <v/>
      </c>
      <c r="G63" s="359" t="s">
        <v>4419</v>
      </c>
      <c r="H63" s="360"/>
      <c r="I63" s="360"/>
      <c r="J63" s="361"/>
      <c r="K63" s="724" t="str">
        <f>IF('入力シート（第２年度報告書）'!N113="","",'入力シート（第２年度報告書）'!N113)</f>
        <v/>
      </c>
      <c r="AA63" s="27"/>
      <c r="AB63" s="23"/>
      <c r="AC63" s="23"/>
    </row>
    <row r="64" spans="2:29" s="26" customFormat="1" ht="19.399999999999999" customHeight="1">
      <c r="B64" s="27"/>
      <c r="C64" s="987"/>
      <c r="D64" s="988"/>
      <c r="E64" s="988"/>
      <c r="F64" s="969"/>
      <c r="G64" s="362" t="s">
        <v>4420</v>
      </c>
      <c r="H64" s="363"/>
      <c r="I64" s="363"/>
      <c r="J64" s="364"/>
      <c r="K64" s="725" t="str">
        <f>IF('入力シート（第２年度報告書）'!N114="","",'入力シート（第２年度報告書）'!N114)</f>
        <v/>
      </c>
      <c r="AB64" s="23"/>
      <c r="AC64" s="23"/>
    </row>
    <row r="65" spans="2:29" s="26" customFormat="1" ht="19.399999999999999" customHeight="1">
      <c r="B65" s="27"/>
      <c r="C65" s="987"/>
      <c r="D65" s="988"/>
      <c r="E65" s="988"/>
      <c r="F65" s="969"/>
      <c r="G65" s="365" t="s">
        <v>4421</v>
      </c>
      <c r="H65" s="366"/>
      <c r="I65" s="366"/>
      <c r="J65" s="367"/>
      <c r="K65" s="726" t="str">
        <f>IF('入力シート（第２年度報告書）'!N115="","",'入力シート（第２年度報告書）'!N115)</f>
        <v/>
      </c>
      <c r="AB65" s="23"/>
      <c r="AC65" s="23"/>
    </row>
    <row r="66" spans="2:29" s="26" customFormat="1" ht="19.399999999999999" customHeight="1">
      <c r="B66" s="27"/>
      <c r="C66" s="987" t="s">
        <v>4424</v>
      </c>
      <c r="D66" s="988"/>
      <c r="E66" s="988"/>
      <c r="F66" s="969" t="str">
        <f>IF('入力シート（第２年度報告書）'!G116="","",'入力シート（第２年度報告書）'!G116)</f>
        <v/>
      </c>
      <c r="G66" s="368" t="s">
        <v>4419</v>
      </c>
      <c r="H66" s="369"/>
      <c r="I66" s="369"/>
      <c r="J66" s="370"/>
      <c r="K66" s="727" t="str">
        <f>IF('入力シート（第２年度報告書）'!N116="","",'入力シート（第２年度報告書）'!N116)</f>
        <v/>
      </c>
      <c r="AB66" s="23"/>
      <c r="AC66" s="23"/>
    </row>
    <row r="67" spans="2:29" s="26" customFormat="1" ht="19.399999999999999" customHeight="1">
      <c r="B67" s="27"/>
      <c r="C67" s="987"/>
      <c r="D67" s="988"/>
      <c r="E67" s="988"/>
      <c r="F67" s="969"/>
      <c r="G67" s="362" t="s">
        <v>4420</v>
      </c>
      <c r="H67" s="363"/>
      <c r="I67" s="363"/>
      <c r="J67" s="364"/>
      <c r="K67" s="725" t="str">
        <f>IF('入力シート（第２年度報告書）'!N117="","",'入力シート（第２年度報告書）'!N117)</f>
        <v/>
      </c>
      <c r="AB67" s="23"/>
      <c r="AC67" s="23"/>
    </row>
    <row r="68" spans="2:29" s="26" customFormat="1" ht="19.399999999999999" customHeight="1">
      <c r="B68" s="27"/>
      <c r="C68" s="987"/>
      <c r="D68" s="988"/>
      <c r="E68" s="988"/>
      <c r="F68" s="969"/>
      <c r="G68" s="365" t="s">
        <v>4421</v>
      </c>
      <c r="H68" s="366"/>
      <c r="I68" s="366"/>
      <c r="J68" s="367"/>
      <c r="K68" s="726" t="str">
        <f>IF('入力シート（第２年度報告書）'!N118="","",'入力シート（第２年度報告書）'!N118)</f>
        <v/>
      </c>
      <c r="Z68" s="345"/>
      <c r="AB68" s="23"/>
      <c r="AC68" s="23"/>
    </row>
    <row r="69" spans="2:29" s="26" customFormat="1" ht="19.399999999999999" customHeight="1">
      <c r="B69" s="27"/>
      <c r="C69" s="987" t="s">
        <v>4425</v>
      </c>
      <c r="D69" s="988"/>
      <c r="E69" s="988"/>
      <c r="F69" s="969" t="str">
        <f>IF('入力シート（第２年度報告書）'!G119="","",'入力シート（第２年度報告書）'!G119)</f>
        <v/>
      </c>
      <c r="G69" s="368" t="s">
        <v>4419</v>
      </c>
      <c r="H69" s="369"/>
      <c r="I69" s="369"/>
      <c r="J69" s="370"/>
      <c r="K69" s="727" t="str">
        <f>IF('入力シート（第２年度報告書）'!N119="","",'入力シート（第２年度報告書）'!N119)</f>
        <v/>
      </c>
      <c r="Z69" s="345"/>
      <c r="AB69" s="23"/>
      <c r="AC69" s="23"/>
    </row>
    <row r="70" spans="2:29" s="26" customFormat="1" ht="18.649999999999999" customHeight="1" thickBot="1">
      <c r="B70" s="27"/>
      <c r="C70" s="987"/>
      <c r="D70" s="988"/>
      <c r="E70" s="988"/>
      <c r="F70" s="969"/>
      <c r="G70" s="365" t="s">
        <v>4420</v>
      </c>
      <c r="H70" s="366"/>
      <c r="I70" s="366"/>
      <c r="J70" s="367"/>
      <c r="K70" s="726" t="str">
        <f>IF('入力シート（第２年度報告書）'!N120="","",'入力シート（第２年度報告書）'!N120)</f>
        <v/>
      </c>
      <c r="T70" s="24"/>
      <c r="U70" s="24"/>
      <c r="V70" s="24"/>
      <c r="W70" s="24"/>
      <c r="Z70" s="24"/>
      <c r="AB70" s="23"/>
      <c r="AC70" s="23"/>
    </row>
    <row r="71" spans="2:29" s="26" customFormat="1" ht="18.5" thickTop="1" thickBot="1">
      <c r="B71" s="27"/>
      <c r="C71" s="985" t="s">
        <v>4426</v>
      </c>
      <c r="D71" s="986"/>
      <c r="E71" s="986"/>
      <c r="F71" s="723" t="str">
        <f>IF(COUNTBLANK(F63:F70)=8,"",SUM(F63,F66,F69))</f>
        <v/>
      </c>
      <c r="G71" s="371" t="s">
        <v>4427</v>
      </c>
      <c r="H71" s="372"/>
      <c r="I71" s="373"/>
      <c r="J71" s="374"/>
      <c r="K71" s="723" t="str">
        <f>IF(COUNTBLANK(K63:K70)=8,"",SUM(K63:K70))</f>
        <v/>
      </c>
      <c r="O71" s="24"/>
      <c r="T71" s="24"/>
      <c r="Z71" s="24"/>
      <c r="AB71" s="23"/>
      <c r="AC71" s="23"/>
    </row>
    <row r="72" spans="2:29">
      <c r="O72" s="24"/>
      <c r="T72" s="24"/>
      <c r="Z72" s="24"/>
    </row>
    <row r="73" spans="2:29" s="26" customFormat="1">
      <c r="B73" s="27"/>
      <c r="O73" s="24"/>
      <c r="AB73" s="23"/>
      <c r="AC73" s="23"/>
    </row>
    <row r="77" spans="2:29">
      <c r="P77" s="24"/>
      <c r="Q77" s="24"/>
      <c r="R77" s="24"/>
      <c r="S77" s="24"/>
    </row>
    <row r="78" spans="2:29">
      <c r="P78" s="24"/>
      <c r="Q78" s="24"/>
      <c r="R78" s="24"/>
      <c r="S78" s="24"/>
    </row>
    <row r="79" spans="2:29">
      <c r="P79" s="24"/>
      <c r="Q79" s="24"/>
      <c r="R79" s="24"/>
      <c r="S79" s="24"/>
    </row>
  </sheetData>
  <sheetProtection algorithmName="SHA-512" hashValue="N/Y993al6/liiv04+6RX2qeQ8J2UdxjZCRzj+wCC5/+d4xKxmgWdSUzPLrRDRBzhjF2aH1NM4OtkY/1fxD1d/g==" saltValue="WVAKpphIa5BPrq/VB9M1dQ==" spinCount="100000" sheet="1" objects="1" scenarios="1" selectLockedCells="1"/>
  <mergeCells count="94">
    <mergeCell ref="W17:X17"/>
    <mergeCell ref="U29:V29"/>
    <mergeCell ref="G29:H29"/>
    <mergeCell ref="C26:F28"/>
    <mergeCell ref="L18:L19"/>
    <mergeCell ref="K18:K19"/>
    <mergeCell ref="C18:J19"/>
    <mergeCell ref="C20:J20"/>
    <mergeCell ref="C21:J21"/>
    <mergeCell ref="C22:J22"/>
    <mergeCell ref="U24:V24"/>
    <mergeCell ref="M18:M19"/>
    <mergeCell ref="U26:V27"/>
    <mergeCell ref="G26:H28"/>
    <mergeCell ref="U28:V28"/>
    <mergeCell ref="C14:J14"/>
    <mergeCell ref="C15:J15"/>
    <mergeCell ref="L4:L5"/>
    <mergeCell ref="C9:J9"/>
    <mergeCell ref="C10:J10"/>
    <mergeCell ref="C11:J11"/>
    <mergeCell ref="C12:J12"/>
    <mergeCell ref="C13:J13"/>
    <mergeCell ref="K4:K5"/>
    <mergeCell ref="C4:J5"/>
    <mergeCell ref="C6:J6"/>
    <mergeCell ref="C7:J7"/>
    <mergeCell ref="C8:J8"/>
    <mergeCell ref="M1:N1"/>
    <mergeCell ref="M4:M5"/>
    <mergeCell ref="N4:N5"/>
    <mergeCell ref="N18:N19"/>
    <mergeCell ref="U23:V23"/>
    <mergeCell ref="Y36:Y37"/>
    <mergeCell ref="W26:W27"/>
    <mergeCell ref="X26:X27"/>
    <mergeCell ref="W36:W37"/>
    <mergeCell ref="X36:X37"/>
    <mergeCell ref="Y26:Y27"/>
    <mergeCell ref="U36:V37"/>
    <mergeCell ref="U43:V43"/>
    <mergeCell ref="C36:F36"/>
    <mergeCell ref="G36:H36"/>
    <mergeCell ref="G33:H33"/>
    <mergeCell ref="G34:H34"/>
    <mergeCell ref="G35:H35"/>
    <mergeCell ref="U33:V33"/>
    <mergeCell ref="U42:V42"/>
    <mergeCell ref="U41:V41"/>
    <mergeCell ref="U40:V40"/>
    <mergeCell ref="U39:V39"/>
    <mergeCell ref="U38:V38"/>
    <mergeCell ref="C42:F42"/>
    <mergeCell ref="G42:H42"/>
    <mergeCell ref="C43:F43"/>
    <mergeCell ref="U32:V32"/>
    <mergeCell ref="U30:V30"/>
    <mergeCell ref="U31:V31"/>
    <mergeCell ref="C47:F47"/>
    <mergeCell ref="G47:H47"/>
    <mergeCell ref="G30:H30"/>
    <mergeCell ref="G31:H31"/>
    <mergeCell ref="G32:H32"/>
    <mergeCell ref="C44:F44"/>
    <mergeCell ref="G44:H44"/>
    <mergeCell ref="C45:F45"/>
    <mergeCell ref="G45:H45"/>
    <mergeCell ref="C46:F46"/>
    <mergeCell ref="G46:H46"/>
    <mergeCell ref="C40:F41"/>
    <mergeCell ref="G40:H41"/>
    <mergeCell ref="G61:J62"/>
    <mergeCell ref="G43:H43"/>
    <mergeCell ref="K61:K62"/>
    <mergeCell ref="C57:F57"/>
    <mergeCell ref="G57:H57"/>
    <mergeCell ref="C56:F56"/>
    <mergeCell ref="G56:H56"/>
    <mergeCell ref="G55:H55"/>
    <mergeCell ref="C48:F48"/>
    <mergeCell ref="G48:H48"/>
    <mergeCell ref="C49:F49"/>
    <mergeCell ref="G49:H49"/>
    <mergeCell ref="C53:H54"/>
    <mergeCell ref="C71:E71"/>
    <mergeCell ref="C69:E70"/>
    <mergeCell ref="C66:E68"/>
    <mergeCell ref="C63:E65"/>
    <mergeCell ref="C55:F55"/>
    <mergeCell ref="F69:F70"/>
    <mergeCell ref="F66:F68"/>
    <mergeCell ref="F63:F65"/>
    <mergeCell ref="C61:E62"/>
    <mergeCell ref="F61:F62"/>
  </mergeCells>
  <phoneticPr fontId="1"/>
  <conditionalFormatting sqref="G29:H35">
    <cfRule type="expression" dxfId="72" priority="2">
      <formula>G29&lt;&gt;""</formula>
    </cfRule>
  </conditionalFormatting>
  <conditionalFormatting sqref="G57:H57">
    <cfRule type="expression" dxfId="71" priority="1">
      <formula>MOD($G$57,1)&lt;&gt;0</formula>
    </cfRule>
  </conditionalFormatting>
  <dataValidations count="2">
    <dataValidation imeMode="halfAlpha" allowBlank="1" showInputMessage="1" showErrorMessage="1" sqref="X40 G42:G48 G29:G35 W38:W42 W28:X32 X38 I17:J17" xr:uid="{7F022308-D0C7-43B7-84D7-54A93DE56E4B}"/>
    <dataValidation imeMode="hiragana" allowBlank="1" showInputMessage="1" showErrorMessage="1" sqref="C42:C48 U36 G55:G57 U28:U32 U24" xr:uid="{75A569D1-C2C9-40DB-A765-BBBC341EF042}"/>
  </dataValidations>
  <printOptions horizontalCentered="1"/>
  <pageMargins left="0.70866141732283472" right="0.55118110236220474" top="0.74803149606299213" bottom="0.74803149606299213" header="0.31496062992125984" footer="0.31496062992125984"/>
  <pageSetup paperSize="9" scale="40" orientation="portrait" r:id="rId1"/>
  <headerFooter>
    <oddHeader>&amp;L&amp;"メイリオ,レギュラー"様式第２号</oddHeader>
    <oddFooter>&amp;R&amp;"メイリオ,レギュラー"&amp;8（特定事業者（運送事業者）用</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1693-781B-41E0-909D-CE2C73F656A7}">
  <sheetPr codeName="Sheet15">
    <tabColor rgb="FFCC99FF"/>
    <pageSetUpPr fitToPage="1"/>
  </sheetPr>
  <dimension ref="A1:AA79"/>
  <sheetViews>
    <sheetView showGridLines="0" view="pageBreakPreview" topLeftCell="C1" zoomScaleNormal="70" zoomScaleSheetLayoutView="100" workbookViewId="0">
      <pane ySplit="2" topLeftCell="A3" activePane="bottomLeft" state="frozen"/>
      <selection activeCell="U22" sqref="U22"/>
      <selection pane="bottomLeft" activeCell="C2" sqref="C2"/>
    </sheetView>
  </sheetViews>
  <sheetFormatPr defaultColWidth="8.90625" defaultRowHeight="17.5"/>
  <cols>
    <col min="1" max="1" width="4.90625" style="26" hidden="1" customWidth="1"/>
    <col min="2" max="2" width="5.08984375" style="27" hidden="1" customWidth="1"/>
    <col min="3" max="3" width="4.453125" style="26" customWidth="1"/>
    <col min="4" max="4" width="5.81640625" style="26" customWidth="1"/>
    <col min="5" max="5" width="9.54296875" style="26" customWidth="1"/>
    <col min="6" max="6" width="12.81640625" style="26" customWidth="1"/>
    <col min="7" max="14" width="9.54296875" style="26" customWidth="1"/>
    <col min="15" max="15" width="15" style="26" customWidth="1"/>
    <col min="16" max="19" width="14.08984375" style="26" hidden="1" customWidth="1"/>
    <col min="20" max="20" width="16" style="26" hidden="1" customWidth="1"/>
    <col min="21" max="21" width="42.6328125" style="26" customWidth="1"/>
    <col min="22" max="22" width="13.453125" style="26" customWidth="1"/>
    <col min="23" max="25" width="14.81640625" style="26" customWidth="1"/>
    <col min="26" max="27" width="13.453125" style="26" customWidth="1"/>
    <col min="28" max="16384" width="8.90625" style="24"/>
  </cols>
  <sheetData>
    <row r="1" spans="1:27" ht="26.4" customHeight="1">
      <c r="A1" s="299"/>
      <c r="C1" s="300" t="s">
        <v>97</v>
      </c>
      <c r="D1" s="300"/>
      <c r="E1" s="300"/>
      <c r="F1" s="300"/>
      <c r="G1" s="300"/>
      <c r="H1" s="301"/>
      <c r="I1" s="302"/>
      <c r="J1" s="302"/>
      <c r="K1" s="302"/>
      <c r="L1" s="303" t="s">
        <v>4015</v>
      </c>
      <c r="M1" s="1035" t="str">
        <f>"（"&amp;T2&amp;"年度）"</f>
        <v>（3年度）</v>
      </c>
      <c r="N1" s="1035"/>
      <c r="P1" s="304"/>
      <c r="Q1" s="304"/>
      <c r="R1" s="304"/>
      <c r="S1" s="304"/>
      <c r="T1" s="304">
        <f>'入力シート（計画書）'!$K$7</f>
        <v>0</v>
      </c>
      <c r="U1" s="299"/>
      <c r="V1" s="299"/>
      <c r="W1" s="299"/>
      <c r="X1" s="299"/>
      <c r="Y1" s="299"/>
      <c r="Z1" s="299"/>
      <c r="AA1" s="299"/>
    </row>
    <row r="2" spans="1:27" ht="17.399999999999999" customHeight="1">
      <c r="G2" s="47"/>
      <c r="H2" s="47"/>
      <c r="I2" s="47"/>
      <c r="J2" s="47"/>
      <c r="K2" s="47"/>
      <c r="L2" s="47"/>
      <c r="M2" s="47"/>
      <c r="N2" s="47"/>
      <c r="O2" s="49"/>
      <c r="P2" s="49"/>
      <c r="Q2" s="49"/>
      <c r="R2" s="49"/>
      <c r="S2" s="49"/>
      <c r="T2" s="304">
        <f>T1+3</f>
        <v>3</v>
      </c>
    </row>
    <row r="3" spans="1:27" ht="23" thickBot="1">
      <c r="C3" s="60" t="s">
        <v>4500</v>
      </c>
      <c r="D3" s="60"/>
      <c r="E3" s="47"/>
      <c r="I3" s="47"/>
      <c r="J3" s="47"/>
      <c r="K3" s="47"/>
      <c r="L3" s="47"/>
      <c r="M3" s="47"/>
      <c r="N3" s="47"/>
      <c r="O3" s="55"/>
      <c r="P3" s="55"/>
      <c r="Q3" s="55"/>
      <c r="R3" s="55"/>
      <c r="S3" s="55"/>
      <c r="T3" s="55"/>
      <c r="U3" s="60" t="s">
        <v>4500</v>
      </c>
      <c r="X3" s="306"/>
      <c r="Y3" s="306"/>
    </row>
    <row r="4" spans="1:27" ht="19.399999999999999" customHeight="1">
      <c r="C4" s="1077" t="s">
        <v>4214</v>
      </c>
      <c r="D4" s="1078"/>
      <c r="E4" s="1078"/>
      <c r="F4" s="1078"/>
      <c r="G4" s="1078"/>
      <c r="H4" s="1078"/>
      <c r="I4" s="1079"/>
      <c r="J4" s="1079"/>
      <c r="K4" s="1036" t="s">
        <v>89</v>
      </c>
      <c r="L4" s="1038" t="s">
        <v>36</v>
      </c>
      <c r="M4" s="1040" t="s">
        <v>4168</v>
      </c>
      <c r="N4" s="1042" t="s">
        <v>4496</v>
      </c>
      <c r="O4" s="55"/>
      <c r="P4" s="60"/>
      <c r="Q4" s="60"/>
      <c r="R4" s="26">
        <f>IF(V4=0,0,1)</f>
        <v>0</v>
      </c>
      <c r="S4" s="60"/>
      <c r="T4" s="55"/>
      <c r="U4" s="307" t="s">
        <v>90</v>
      </c>
      <c r="V4" s="308">
        <f>SUM(M15,M22)</f>
        <v>0</v>
      </c>
      <c r="W4" s="309" t="s">
        <v>4025</v>
      </c>
    </row>
    <row r="5" spans="1:27" ht="19.399999999999999" customHeight="1">
      <c r="C5" s="1080"/>
      <c r="D5" s="1081"/>
      <c r="E5" s="1081"/>
      <c r="F5" s="1081"/>
      <c r="G5" s="1081"/>
      <c r="H5" s="1081"/>
      <c r="I5" s="1082"/>
      <c r="J5" s="1082"/>
      <c r="K5" s="1037"/>
      <c r="L5" s="1039"/>
      <c r="M5" s="1041"/>
      <c r="N5" s="1043"/>
      <c r="O5" s="55"/>
      <c r="P5" s="310" t="s">
        <v>4380</v>
      </c>
      <c r="Q5" s="310" t="s">
        <v>4381</v>
      </c>
      <c r="R5" s="310" t="s">
        <v>4122</v>
      </c>
      <c r="S5" s="310" t="s">
        <v>4177</v>
      </c>
      <c r="T5" s="55"/>
      <c r="U5" s="311" t="s">
        <v>91</v>
      </c>
      <c r="V5" s="312">
        <f>V4*0.0258</f>
        <v>0</v>
      </c>
      <c r="W5" s="313" t="s">
        <v>92</v>
      </c>
      <c r="X5" s="314"/>
    </row>
    <row r="6" spans="1:27" ht="19.399999999999999" customHeight="1" thickBot="1">
      <c r="C6" s="1084" t="s">
        <v>4408</v>
      </c>
      <c r="D6" s="888"/>
      <c r="E6" s="888"/>
      <c r="F6" s="888"/>
      <c r="G6" s="888"/>
      <c r="H6" s="888"/>
      <c r="I6" s="888"/>
      <c r="J6" s="888"/>
      <c r="K6" s="716" t="str">
        <f>IF('入力シート（第３年度報告書）'!M18="","",'入力シート（第３年度報告書）'!M18)</f>
        <v/>
      </c>
      <c r="L6" s="315" t="s">
        <v>4113</v>
      </c>
      <c r="M6" s="394" t="str">
        <f>IFERROR(IF(K6="","",$K6*R6),"----------")</f>
        <v/>
      </c>
      <c r="N6" s="387" t="str">
        <f>IFERROR(IF(K6="","",$M6*S6*44/12),"----------")</f>
        <v/>
      </c>
      <c r="O6" s="316"/>
      <c r="P6" s="317" t="s">
        <v>4178</v>
      </c>
      <c r="Q6" s="317" t="s">
        <v>4178</v>
      </c>
      <c r="R6" s="317">
        <f t="shared" ref="R6:R13" si="0">VLOOKUP($P6,係数2025,7,0)</f>
        <v>33.4</v>
      </c>
      <c r="S6" s="318">
        <f t="shared" ref="S6:S13" si="1">VLOOKUP($P6,係数2025,9,0)</f>
        <v>1.8700000000000001E-2</v>
      </c>
      <c r="T6" s="316"/>
      <c r="U6" s="319" t="s">
        <v>93</v>
      </c>
      <c r="V6" s="320">
        <f>ROUNDDOWN(SUM(N15,N22),0)</f>
        <v>0</v>
      </c>
      <c r="W6" s="321" t="s">
        <v>4499</v>
      </c>
    </row>
    <row r="7" spans="1:27" ht="19.399999999999999" customHeight="1">
      <c r="C7" s="1083" t="s">
        <v>40</v>
      </c>
      <c r="D7" s="891"/>
      <c r="E7" s="891"/>
      <c r="F7" s="891"/>
      <c r="G7" s="891"/>
      <c r="H7" s="891"/>
      <c r="I7" s="891"/>
      <c r="J7" s="891"/>
      <c r="K7" s="678" t="str">
        <f>IF('入力シート（第３年度報告書）'!M19="","",'入力シート（第３年度報告書）'!M19)</f>
        <v/>
      </c>
      <c r="L7" s="323" t="s">
        <v>4113</v>
      </c>
      <c r="M7" s="395" t="str">
        <f t="shared" ref="M7:M9" si="2">IFERROR(IF(K7="","",$K7*R7),"----------")</f>
        <v/>
      </c>
      <c r="N7" s="388" t="str">
        <f>IFERROR(IF(K7="","",$M7*S7*44/12),"----------")</f>
        <v/>
      </c>
      <c r="O7" s="316"/>
      <c r="P7" s="317" t="s">
        <v>40</v>
      </c>
      <c r="Q7" s="317" t="s">
        <v>40</v>
      </c>
      <c r="R7" s="317">
        <f t="shared" si="0"/>
        <v>38</v>
      </c>
      <c r="S7" s="318">
        <f t="shared" si="1"/>
        <v>1.8800000000000001E-2</v>
      </c>
      <c r="T7" s="316"/>
    </row>
    <row r="8" spans="1:27" ht="19.399999999999999" customHeight="1" thickBot="1">
      <c r="C8" s="1083" t="s">
        <v>4409</v>
      </c>
      <c r="D8" s="891"/>
      <c r="E8" s="891"/>
      <c r="F8" s="891"/>
      <c r="G8" s="891"/>
      <c r="H8" s="891"/>
      <c r="I8" s="891"/>
      <c r="J8" s="891"/>
      <c r="K8" s="678" t="str">
        <f>IF('入力シート（第３年度報告書）'!M20="","",'入力シート（第３年度報告書）'!M20)</f>
        <v/>
      </c>
      <c r="L8" s="323" t="s">
        <v>4112</v>
      </c>
      <c r="M8" s="395" t="str">
        <f t="shared" si="2"/>
        <v/>
      </c>
      <c r="N8" s="388" t="str">
        <f t="shared" ref="N8:N9" si="3">IFERROR(IF(K8="","",$M8*S8*44/12),"----------")</f>
        <v/>
      </c>
      <c r="O8" s="316"/>
      <c r="P8" s="317" t="s">
        <v>4180</v>
      </c>
      <c r="Q8" s="317" t="s">
        <v>4180</v>
      </c>
      <c r="R8" s="317">
        <f t="shared" si="0"/>
        <v>50.1</v>
      </c>
      <c r="S8" s="318">
        <f t="shared" si="1"/>
        <v>1.6299999999999999E-2</v>
      </c>
      <c r="T8" s="316"/>
      <c r="U8" s="60" t="s">
        <v>4501</v>
      </c>
      <c r="Y8" s="27"/>
      <c r="Z8" s="27"/>
    </row>
    <row r="9" spans="1:27" ht="19.399999999999999" customHeight="1" thickBot="1">
      <c r="C9" s="1083" t="s">
        <v>4410</v>
      </c>
      <c r="D9" s="891"/>
      <c r="E9" s="891"/>
      <c r="F9" s="891"/>
      <c r="G9" s="891"/>
      <c r="H9" s="891"/>
      <c r="I9" s="891"/>
      <c r="J9" s="891"/>
      <c r="K9" s="678" t="str">
        <f>IF('入力シート（第３年度報告書）'!M21="","",'入力シート（第３年度報告書）'!M21)</f>
        <v/>
      </c>
      <c r="L9" s="323" t="s">
        <v>4112</v>
      </c>
      <c r="M9" s="395" t="str">
        <f t="shared" si="2"/>
        <v/>
      </c>
      <c r="N9" s="388" t="str">
        <f t="shared" si="3"/>
        <v/>
      </c>
      <c r="O9" s="316"/>
      <c r="P9" s="317" t="s">
        <v>4182</v>
      </c>
      <c r="Q9" s="317" t="s">
        <v>4182</v>
      </c>
      <c r="R9" s="317">
        <f t="shared" si="0"/>
        <v>54.7</v>
      </c>
      <c r="S9" s="318">
        <f t="shared" si="1"/>
        <v>1.3899999999999999E-2</v>
      </c>
      <c r="T9" s="55" t="s">
        <v>4539</v>
      </c>
      <c r="U9" s="324" t="s">
        <v>93</v>
      </c>
      <c r="V9" s="325">
        <f>SUM(G36)</f>
        <v>0</v>
      </c>
      <c r="W9" s="326" t="s">
        <v>4499</v>
      </c>
    </row>
    <row r="10" spans="1:27" ht="19.399999999999999" customHeight="1">
      <c r="C10" s="1083" t="s">
        <v>4411</v>
      </c>
      <c r="D10" s="891"/>
      <c r="E10" s="891"/>
      <c r="F10" s="891"/>
      <c r="G10" s="891"/>
      <c r="H10" s="891"/>
      <c r="I10" s="891"/>
      <c r="J10" s="891"/>
      <c r="K10" s="678" t="str">
        <f>IF('入力シート（第３年度報告書）'!M22="","",'入力シート（第３年度報告書）'!M22)</f>
        <v/>
      </c>
      <c r="L10" s="323" t="s">
        <v>4412</v>
      </c>
      <c r="M10" s="395" t="str">
        <f t="shared" ref="M10:M12" si="4">IFERROR(IF(K10="","",$K10*R10),"----------")</f>
        <v/>
      </c>
      <c r="N10" s="388" t="str">
        <f>IFERROR(IF(K10="","",$M10*S10*T10*44/12),"----------")</f>
        <v/>
      </c>
      <c r="O10" s="316"/>
      <c r="P10" s="317" t="s">
        <v>4184</v>
      </c>
      <c r="Q10" s="317" t="s">
        <v>4184</v>
      </c>
      <c r="R10" s="317">
        <f t="shared" si="0"/>
        <v>45</v>
      </c>
      <c r="S10" s="318">
        <f t="shared" si="1"/>
        <v>1.4E-2</v>
      </c>
      <c r="T10" s="710">
        <v>0.90400000000000003</v>
      </c>
    </row>
    <row r="11" spans="1:27" ht="19.399999999999999" customHeight="1" thickBot="1">
      <c r="C11" s="1083" t="s">
        <v>4413</v>
      </c>
      <c r="D11" s="891"/>
      <c r="E11" s="891"/>
      <c r="F11" s="891"/>
      <c r="G11" s="891"/>
      <c r="H11" s="891"/>
      <c r="I11" s="891"/>
      <c r="J11" s="891"/>
      <c r="K11" s="678" t="str">
        <f>IF('入力シート（第３年度報告書）'!M23="","",'入力シート（第３年度報告書）'!M23)</f>
        <v/>
      </c>
      <c r="L11" s="327" t="s">
        <v>4112</v>
      </c>
      <c r="M11" s="395" t="str">
        <f t="shared" si="4"/>
        <v/>
      </c>
      <c r="N11" s="389"/>
      <c r="O11" s="316"/>
      <c r="P11" s="317" t="s">
        <v>4215</v>
      </c>
      <c r="Q11" s="317" t="s">
        <v>4215</v>
      </c>
      <c r="R11" s="317">
        <f t="shared" si="0"/>
        <v>142</v>
      </c>
      <c r="S11" s="318" t="str">
        <f t="shared" si="1"/>
        <v>ー</v>
      </c>
      <c r="T11" s="316"/>
      <c r="U11" s="60" t="s">
        <v>99</v>
      </c>
    </row>
    <row r="12" spans="1:27" ht="19.399999999999999" customHeight="1" thickBot="1">
      <c r="C12" s="1083" t="s">
        <v>4512</v>
      </c>
      <c r="D12" s="891"/>
      <c r="E12" s="891"/>
      <c r="F12" s="891"/>
      <c r="G12" s="891"/>
      <c r="H12" s="891"/>
      <c r="I12" s="891"/>
      <c r="J12" s="891"/>
      <c r="K12" s="678" t="str">
        <f>IF('入力シート（第３年度報告書）'!M24="","",'入力シート（第３年度報告書）'!M24)</f>
        <v/>
      </c>
      <c r="L12" s="327" t="s">
        <v>4113</v>
      </c>
      <c r="M12" s="395" t="str">
        <f t="shared" si="4"/>
        <v/>
      </c>
      <c r="N12" s="389"/>
      <c r="O12" s="316"/>
      <c r="P12" s="317" t="s">
        <v>4129</v>
      </c>
      <c r="Q12" s="317" t="s">
        <v>4129</v>
      </c>
      <c r="R12" s="317">
        <f t="shared" si="0"/>
        <v>23.4</v>
      </c>
      <c r="S12" s="318" t="str">
        <f t="shared" si="1"/>
        <v>ー</v>
      </c>
      <c r="T12" s="316"/>
      <c r="U12" s="324" t="s">
        <v>107</v>
      </c>
      <c r="V12" s="325">
        <f>SUM(G49)</f>
        <v>0</v>
      </c>
      <c r="W12" s="326" t="s">
        <v>4499</v>
      </c>
    </row>
    <row r="13" spans="1:27" ht="19.399999999999999" customHeight="1" thickBot="1">
      <c r="C13" s="1083" t="s">
        <v>4513</v>
      </c>
      <c r="D13" s="891"/>
      <c r="E13" s="891"/>
      <c r="F13" s="891"/>
      <c r="G13" s="891"/>
      <c r="H13" s="891"/>
      <c r="I13" s="891"/>
      <c r="J13" s="891"/>
      <c r="K13" s="678" t="str">
        <f>IF('入力シート（第３年度報告書）'!M25="","",'入力シート（第３年度報告書）'!M25)</f>
        <v/>
      </c>
      <c r="L13" s="327" t="s">
        <v>4113</v>
      </c>
      <c r="M13" s="395" t="str">
        <f>IFERROR(IF(K13="","",$K13*R13),"----------")</f>
        <v/>
      </c>
      <c r="N13" s="389"/>
      <c r="O13" s="316"/>
      <c r="P13" s="317" t="s">
        <v>4131</v>
      </c>
      <c r="Q13" s="317" t="s">
        <v>4131</v>
      </c>
      <c r="R13" s="317">
        <f t="shared" si="0"/>
        <v>35.6</v>
      </c>
      <c r="S13" s="318" t="str">
        <f t="shared" si="1"/>
        <v>ー</v>
      </c>
      <c r="T13" s="316"/>
    </row>
    <row r="14" spans="1:27" ht="19.399999999999999" customHeight="1" thickBot="1">
      <c r="C14" s="1085" t="s">
        <v>4229</v>
      </c>
      <c r="D14" s="1086"/>
      <c r="E14" s="1086"/>
      <c r="F14" s="1086"/>
      <c r="G14" s="1086"/>
      <c r="H14" s="1086"/>
      <c r="I14" s="1086"/>
      <c r="J14" s="1086"/>
      <c r="K14" s="678" t="str">
        <f>IF('入力シート（第３年度報告書）'!M26="","",'入力シート（第３年度報告書）'!M26)</f>
        <v/>
      </c>
      <c r="L14" s="323" t="str">
        <f>IF('入力シート（第３年度報告書）'!N26="","",'入力シート（第３年度報告書）'!N26)</f>
        <v/>
      </c>
      <c r="M14" s="395" t="str">
        <f>IF('入力シート（第３年度報告書）'!Q26="","",'入力シート（第３年度報告書）'!Q26)</f>
        <v/>
      </c>
      <c r="N14" s="388" t="str">
        <f>IF('入力シート（第３年度報告書）'!R26="","",'入力シート（第３年度報告書）'!R26)</f>
        <v/>
      </c>
      <c r="O14" s="316"/>
      <c r="P14" s="328"/>
      <c r="Q14" s="328"/>
      <c r="R14" s="328"/>
      <c r="S14" s="329"/>
      <c r="T14" s="316"/>
      <c r="U14" s="330" t="s">
        <v>108</v>
      </c>
      <c r="V14" s="331">
        <f>SUM(V6,V9,-V12)</f>
        <v>0</v>
      </c>
      <c r="W14" s="326" t="s">
        <v>4499</v>
      </c>
    </row>
    <row r="15" spans="1:27" ht="19.399999999999999" customHeight="1" thickTop="1" thickBot="1">
      <c r="C15" s="991" t="s">
        <v>65</v>
      </c>
      <c r="D15" s="992"/>
      <c r="E15" s="992"/>
      <c r="F15" s="992"/>
      <c r="G15" s="992"/>
      <c r="H15" s="992"/>
      <c r="I15" s="992"/>
      <c r="J15" s="992"/>
      <c r="K15" s="717" t="s">
        <v>66</v>
      </c>
      <c r="L15" s="332" t="s">
        <v>66</v>
      </c>
      <c r="M15" s="396">
        <f>SUM(M6:M14)</f>
        <v>0</v>
      </c>
      <c r="N15" s="390">
        <f>SUM(N6:N14)</f>
        <v>0</v>
      </c>
      <c r="O15" s="316"/>
      <c r="P15" s="23"/>
      <c r="Q15" s="23"/>
      <c r="R15" s="23"/>
      <c r="S15" s="23"/>
      <c r="T15" s="316"/>
    </row>
    <row r="16" spans="1:27" ht="19.399999999999999" customHeight="1" thickBot="1">
      <c r="M16" s="401"/>
      <c r="N16" s="393"/>
      <c r="O16" s="316"/>
      <c r="P16" s="23"/>
      <c r="Q16" s="23"/>
      <c r="R16" s="23"/>
      <c r="S16" s="23"/>
      <c r="T16" s="316"/>
      <c r="U16" s="60" t="s">
        <v>101</v>
      </c>
    </row>
    <row r="17" spans="1:27" ht="19.399999999999999" customHeight="1" thickBot="1">
      <c r="C17" s="60"/>
      <c r="D17" s="55"/>
      <c r="E17" s="55"/>
      <c r="F17" s="55"/>
      <c r="G17" s="55"/>
      <c r="H17" s="55"/>
      <c r="I17" s="333"/>
      <c r="J17" s="333"/>
      <c r="K17" s="333"/>
      <c r="L17" s="334"/>
      <c r="M17" s="397"/>
      <c r="N17" s="391"/>
      <c r="O17" s="316"/>
      <c r="P17" s="23"/>
      <c r="Q17" s="23"/>
      <c r="R17" s="23"/>
      <c r="S17" s="23"/>
      <c r="T17" s="316"/>
      <c r="U17" s="335" t="s">
        <v>3041</v>
      </c>
      <c r="V17" s="709">
        <f>IF(V14="","",IFERROR(ROUND(V14/G57,3-INT(LOG(V14/G57))),))</f>
        <v>0</v>
      </c>
      <c r="W17" s="1048" t="str">
        <f>"t-CO₂/"&amp;G56</f>
        <v>t-CO₂/</v>
      </c>
      <c r="X17" s="1049"/>
    </row>
    <row r="18" spans="1:27" ht="19.399999999999999" customHeight="1">
      <c r="C18" s="1077" t="s">
        <v>4216</v>
      </c>
      <c r="D18" s="1078"/>
      <c r="E18" s="1078"/>
      <c r="F18" s="1078"/>
      <c r="G18" s="1078"/>
      <c r="H18" s="1078"/>
      <c r="I18" s="1078"/>
      <c r="J18" s="1078"/>
      <c r="K18" s="1036" t="s">
        <v>89</v>
      </c>
      <c r="L18" s="1038" t="s">
        <v>36</v>
      </c>
      <c r="M18" s="1046" t="s">
        <v>4168</v>
      </c>
      <c r="N18" s="1054" t="s">
        <v>4496</v>
      </c>
      <c r="O18" s="316"/>
      <c r="P18" s="23"/>
      <c r="Q18" s="23"/>
      <c r="R18" s="23"/>
      <c r="S18" s="23"/>
      <c r="T18" s="316"/>
    </row>
    <row r="19" spans="1:27" ht="19.399999999999999" customHeight="1" thickBot="1">
      <c r="C19" s="1091"/>
      <c r="D19" s="1092"/>
      <c r="E19" s="1092"/>
      <c r="F19" s="1092"/>
      <c r="G19" s="1092"/>
      <c r="H19" s="1092"/>
      <c r="I19" s="1092"/>
      <c r="J19" s="1092"/>
      <c r="K19" s="1037"/>
      <c r="L19" s="1039"/>
      <c r="M19" s="1047"/>
      <c r="N19" s="1055"/>
      <c r="O19" s="316"/>
      <c r="P19" s="23"/>
      <c r="Q19" s="23"/>
      <c r="R19" s="23"/>
      <c r="S19" s="23"/>
      <c r="T19" s="316"/>
      <c r="U19" s="60" t="s">
        <v>4414</v>
      </c>
      <c r="X19" s="23"/>
      <c r="Y19" s="27"/>
    </row>
    <row r="20" spans="1:27" ht="19.399999999999999" customHeight="1" thickBot="1">
      <c r="C20" s="1089" t="s">
        <v>4217</v>
      </c>
      <c r="D20" s="1090"/>
      <c r="E20" s="1090"/>
      <c r="F20" s="1090"/>
      <c r="G20" s="1090"/>
      <c r="H20" s="1090"/>
      <c r="I20" s="1090"/>
      <c r="J20" s="1090"/>
      <c r="K20" s="690" t="str">
        <f>IF(COUNTBLANK(W28:W32)=5,"",W33)</f>
        <v/>
      </c>
      <c r="L20" s="336" t="s">
        <v>4170</v>
      </c>
      <c r="M20" s="398" t="str">
        <f>IFERROR(IF(K20="","",$K20*R32),"-------------")</f>
        <v/>
      </c>
      <c r="N20" s="388" t="str">
        <f>IF(COUNTBLANK(W28:W32)=5,"",Y33)</f>
        <v/>
      </c>
      <c r="O20" s="316"/>
      <c r="P20" s="23"/>
      <c r="Q20" s="23"/>
      <c r="R20" s="23"/>
      <c r="S20" s="23"/>
      <c r="U20" s="335" t="s">
        <v>4429</v>
      </c>
      <c r="V20" s="701">
        <f>IF(OR(F71=0,F71="",K71=0,K71=""),0,SUM(K63,K66,K69)/F71*100)</f>
        <v>0</v>
      </c>
      <c r="W20" s="326" t="s">
        <v>106</v>
      </c>
      <c r="X20" s="27"/>
      <c r="Y20" s="27"/>
    </row>
    <row r="21" spans="1:27" ht="19.399999999999999" customHeight="1" thickBot="1">
      <c r="C21" s="1087" t="s">
        <v>4218</v>
      </c>
      <c r="D21" s="1088"/>
      <c r="E21" s="1088"/>
      <c r="F21" s="1088"/>
      <c r="G21" s="1088"/>
      <c r="H21" s="1088"/>
      <c r="I21" s="1088"/>
      <c r="J21" s="1088"/>
      <c r="K21" s="691" t="str">
        <f>IF(COUNTBLANK(W38:W42)=5,"",W43)</f>
        <v/>
      </c>
      <c r="L21" s="339" t="s">
        <v>4170</v>
      </c>
      <c r="M21" s="399" t="str">
        <f>IFERROR(IF(K21="","",$K21*R37),"-------------")</f>
        <v/>
      </c>
      <c r="N21" s="392" t="str">
        <f>IF(K21="","",Y43)</f>
        <v/>
      </c>
      <c r="P21" s="23"/>
      <c r="Q21" s="23"/>
      <c r="R21" s="23"/>
      <c r="S21" s="23"/>
      <c r="X21" s="27"/>
      <c r="Y21" s="27"/>
    </row>
    <row r="22" spans="1:27" ht="19.399999999999999" customHeight="1" thickTop="1" thickBot="1">
      <c r="C22" s="991" t="s">
        <v>65</v>
      </c>
      <c r="D22" s="992"/>
      <c r="E22" s="992"/>
      <c r="F22" s="992"/>
      <c r="G22" s="992"/>
      <c r="H22" s="992"/>
      <c r="I22" s="992"/>
      <c r="J22" s="992"/>
      <c r="K22" s="718">
        <f>SUM(K20,K21)</f>
        <v>0</v>
      </c>
      <c r="L22" s="340" t="s">
        <v>4223</v>
      </c>
      <c r="M22" s="400">
        <f>SUM(M20,M21)</f>
        <v>0</v>
      </c>
      <c r="N22" s="390">
        <f>SUM(N20,N21)</f>
        <v>0</v>
      </c>
      <c r="P22" s="23"/>
      <c r="Q22" s="23"/>
      <c r="R22" s="23"/>
      <c r="S22" s="23"/>
      <c r="U22" s="23"/>
      <c r="V22" s="23"/>
      <c r="W22" s="23"/>
      <c r="X22" s="23"/>
      <c r="Y22" s="341"/>
    </row>
    <row r="23" spans="1:27">
      <c r="C23" s="342"/>
      <c r="D23" s="342"/>
      <c r="E23" s="342"/>
      <c r="F23" s="342"/>
      <c r="G23" s="342"/>
      <c r="H23" s="342"/>
      <c r="I23" s="342"/>
      <c r="J23" s="342"/>
      <c r="K23" s="342"/>
      <c r="L23" s="342"/>
      <c r="M23" s="342"/>
      <c r="N23" s="342"/>
      <c r="P23" s="23"/>
      <c r="Q23" s="23"/>
      <c r="R23" s="23"/>
      <c r="S23" s="23"/>
      <c r="U23" s="1050" t="s">
        <v>4428</v>
      </c>
      <c r="V23" s="1051"/>
      <c r="W23" s="343" t="s">
        <v>74</v>
      </c>
      <c r="X23" s="343" t="s">
        <v>82</v>
      </c>
      <c r="Y23" s="341"/>
      <c r="AA23" s="10"/>
    </row>
    <row r="24" spans="1:27" ht="19.399999999999999" customHeight="1">
      <c r="A24" s="26">
        <v>1</v>
      </c>
      <c r="C24" s="60"/>
      <c r="D24" s="59"/>
      <c r="E24" s="59"/>
      <c r="F24" s="59"/>
      <c r="G24" s="59"/>
      <c r="H24" s="59"/>
      <c r="I24" s="59"/>
      <c r="J24" s="59"/>
      <c r="K24" s="59"/>
      <c r="L24" s="59"/>
      <c r="M24" s="59"/>
      <c r="N24" s="59"/>
      <c r="P24" s="23"/>
      <c r="Q24" s="23"/>
      <c r="R24" s="23"/>
      <c r="S24" s="23"/>
      <c r="U24" s="1044" t="str">
        <f>IF('入力シート（第３年度報告書）'!G26="","",'入力シート（第３年度報告書）'!G26)</f>
        <v/>
      </c>
      <c r="V24" s="1045"/>
      <c r="W24" s="344" t="str">
        <f>IF('入力シート（第３年度報告書）'!O26="","",'入力シート（第３年度報告書）'!O26)</f>
        <v/>
      </c>
      <c r="X24" s="682" t="str">
        <f>IF('入力シート（第３年度報告書）'!P26="","",'入力シート（第３年度報告書）'!P26)</f>
        <v/>
      </c>
      <c r="Y24" s="341"/>
      <c r="AA24" s="10"/>
    </row>
    <row r="25" spans="1:27" ht="19.399999999999999" customHeight="1" thickBot="1">
      <c r="A25" s="26">
        <v>1</v>
      </c>
      <c r="C25" s="60" t="s">
        <v>4501</v>
      </c>
      <c r="D25" s="60"/>
      <c r="I25" s="59"/>
      <c r="J25" s="59"/>
      <c r="K25" s="59"/>
      <c r="L25" s="59"/>
      <c r="M25" s="59"/>
      <c r="N25" s="59"/>
      <c r="P25" s="23"/>
      <c r="Q25" s="23"/>
      <c r="R25" s="23"/>
      <c r="S25" s="23"/>
      <c r="U25" s="23"/>
      <c r="X25" s="27"/>
      <c r="Y25" s="341"/>
      <c r="Z25" s="10"/>
    </row>
    <row r="26" spans="1:27" ht="19.399999999999999" customHeight="1">
      <c r="C26" s="1077" t="s">
        <v>4220</v>
      </c>
      <c r="D26" s="1078"/>
      <c r="E26" s="1078"/>
      <c r="F26" s="1184"/>
      <c r="G26" s="1007" t="s">
        <v>4496</v>
      </c>
      <c r="H26" s="1008"/>
      <c r="I26" s="24"/>
      <c r="J26" s="24"/>
      <c r="K26" s="24"/>
      <c r="L26" s="24"/>
      <c r="M26" s="24"/>
      <c r="N26" s="24"/>
      <c r="P26" s="23"/>
      <c r="Q26" s="23"/>
      <c r="R26" s="23"/>
      <c r="S26" s="23"/>
      <c r="U26" s="1056" t="s">
        <v>4117</v>
      </c>
      <c r="V26" s="1057"/>
      <c r="W26" s="1052" t="s">
        <v>4228</v>
      </c>
      <c r="X26" s="1052" t="s">
        <v>4541</v>
      </c>
      <c r="Y26" s="1052" t="s">
        <v>4495</v>
      </c>
      <c r="Z26" s="10"/>
    </row>
    <row r="27" spans="1:27" ht="19.399999999999999" customHeight="1">
      <c r="C27" s="1091"/>
      <c r="D27" s="1092"/>
      <c r="E27" s="1092"/>
      <c r="F27" s="1185"/>
      <c r="G27" s="1022"/>
      <c r="H27" s="1023"/>
      <c r="I27" s="24"/>
      <c r="J27" s="24"/>
      <c r="K27" s="24"/>
      <c r="L27" s="24"/>
      <c r="M27" s="24"/>
      <c r="N27" s="24"/>
      <c r="P27" s="23"/>
      <c r="Q27" s="23"/>
      <c r="R27" s="23"/>
      <c r="S27" s="23"/>
      <c r="T27" s="316"/>
      <c r="U27" s="1058"/>
      <c r="V27" s="1059"/>
      <c r="W27" s="1053"/>
      <c r="X27" s="1053"/>
      <c r="Y27" s="1053"/>
      <c r="Z27" s="10"/>
      <c r="AA27" s="345"/>
    </row>
    <row r="28" spans="1:27" ht="19.399999999999999" customHeight="1" thickBot="1">
      <c r="A28" s="26">
        <v>1</v>
      </c>
      <c r="C28" s="1186"/>
      <c r="D28" s="1187"/>
      <c r="E28" s="1187"/>
      <c r="F28" s="1188"/>
      <c r="G28" s="1009"/>
      <c r="H28" s="1010"/>
      <c r="I28" s="24"/>
      <c r="J28" s="24"/>
      <c r="K28" s="24"/>
      <c r="L28" s="24"/>
      <c r="M28" s="24"/>
      <c r="N28" s="24"/>
      <c r="O28" s="316"/>
      <c r="P28" s="23"/>
      <c r="Q28" s="23"/>
      <c r="R28" s="23"/>
      <c r="S28" s="23"/>
      <c r="T28" s="316"/>
      <c r="U28" s="1071" t="str">
        <f>'入力シート（第３年度報告書）'!F44&amp;""</f>
        <v/>
      </c>
      <c r="V28" s="1072"/>
      <c r="W28" s="687" t="str">
        <f>IF('入力シート（第３年度報告書）'!G44="","",'入力シート（第３年度報告書）'!G44)</f>
        <v/>
      </c>
      <c r="X28" s="683" t="str">
        <f>IF('入力シート（第３年度報告書）'!I44="","",'入力シート（第３年度報告書）'!I44)</f>
        <v/>
      </c>
      <c r="Y28" s="685" t="str">
        <f>IF(W28="","",X28*W28)</f>
        <v/>
      </c>
      <c r="Z28" s="346"/>
      <c r="AA28" s="345"/>
    </row>
    <row r="29" spans="1:27" ht="19.399999999999999" customHeight="1">
      <c r="C29" s="347" t="s">
        <v>4498</v>
      </c>
      <c r="D29" s="347"/>
      <c r="E29" s="348"/>
      <c r="F29" s="348"/>
      <c r="G29" s="1028" t="str">
        <f>IF('入力シート（第３年度報告書）'!G68="","",'入力シート（第３年度報告書）'!G68)</f>
        <v/>
      </c>
      <c r="H29" s="1029"/>
      <c r="I29" s="24"/>
      <c r="J29" s="24"/>
      <c r="K29" s="24"/>
      <c r="L29" s="24"/>
      <c r="M29" s="24"/>
      <c r="N29" s="24"/>
      <c r="O29" s="316"/>
      <c r="P29" s="23"/>
      <c r="Q29" s="23"/>
      <c r="R29" s="23"/>
      <c r="S29" s="23"/>
      <c r="U29" s="1071" t="str">
        <f>'入力シート（第３年度報告書）'!F45&amp;""</f>
        <v/>
      </c>
      <c r="V29" s="1072"/>
      <c r="W29" s="687" t="str">
        <f>IF('入力シート（第３年度報告書）'!G45="","",'入力シート（第３年度報告書）'!G45)</f>
        <v/>
      </c>
      <c r="X29" s="683" t="str">
        <f>IF('入力シート（第３年度報告書）'!I45="","",'入力シート（第３年度報告書）'!I45)</f>
        <v/>
      </c>
      <c r="Y29" s="685" t="str">
        <f>IF(W29="","",X29*W29)</f>
        <v/>
      </c>
      <c r="Z29" s="346"/>
      <c r="AA29" s="23"/>
    </row>
    <row r="30" spans="1:27" ht="19.399999999999999" customHeight="1">
      <c r="C30" s="63" t="s">
        <v>4171</v>
      </c>
      <c r="D30" s="63"/>
      <c r="E30" s="349"/>
      <c r="F30" s="349"/>
      <c r="G30" s="983" t="str">
        <f>IF('入力シート（第３年度報告書）'!G69="","",'入力シート（第３年度報告書）'!G69)</f>
        <v/>
      </c>
      <c r="H30" s="984"/>
      <c r="I30" s="24"/>
      <c r="J30" s="24"/>
      <c r="K30" s="24"/>
      <c r="L30" s="24"/>
      <c r="M30" s="24"/>
      <c r="N30" s="24"/>
      <c r="P30" s="23"/>
      <c r="Q30" s="23"/>
      <c r="R30" s="23"/>
      <c r="S30" s="23"/>
      <c r="U30" s="1071" t="str">
        <f>'入力シート（第３年度報告書）'!F46&amp;""</f>
        <v/>
      </c>
      <c r="V30" s="1072"/>
      <c r="W30" s="687" t="str">
        <f>IF('入力シート（第３年度報告書）'!G46="","",'入力シート（第３年度報告書）'!G46)</f>
        <v/>
      </c>
      <c r="X30" s="683" t="str">
        <f>IF('入力シート（第３年度報告書）'!I46="","",'入力シート（第３年度報告書）'!I46)</f>
        <v/>
      </c>
      <c r="Y30" s="685" t="str">
        <f>IF(W30="","",X30*W30)</f>
        <v/>
      </c>
      <c r="Z30" s="50"/>
      <c r="AA30" s="23"/>
    </row>
    <row r="31" spans="1:27" ht="19.399999999999999" customHeight="1">
      <c r="C31" s="63" t="s">
        <v>4172</v>
      </c>
      <c r="D31" s="63"/>
      <c r="E31" s="349"/>
      <c r="F31" s="349"/>
      <c r="G31" s="983" t="str">
        <f>IF('入力シート（第３年度報告書）'!G70="","",'入力シート（第３年度報告書）'!G70)</f>
        <v/>
      </c>
      <c r="H31" s="984"/>
      <c r="I31" s="24"/>
      <c r="J31" s="24"/>
      <c r="K31" s="24"/>
      <c r="L31" s="24"/>
      <c r="M31" s="24"/>
      <c r="N31" s="24"/>
      <c r="P31" s="310" t="s">
        <v>4380</v>
      </c>
      <c r="Q31" s="310" t="s">
        <v>4381</v>
      </c>
      <c r="R31" s="310" t="s">
        <v>4122</v>
      </c>
      <c r="S31" s="310" t="s">
        <v>4177</v>
      </c>
      <c r="U31" s="1075" t="str">
        <f>'入力シート（第３年度報告書）'!F47&amp;""</f>
        <v/>
      </c>
      <c r="V31" s="1076"/>
      <c r="W31" s="687" t="str">
        <f>IF('入力シート（第３年度報告書）'!G47="","",'入力シート（第３年度報告書）'!G47)</f>
        <v/>
      </c>
      <c r="X31" s="683" t="str">
        <f>IF('入力シート（第３年度報告書）'!I47="","",'入力シート（第３年度報告書）'!I47)</f>
        <v/>
      </c>
      <c r="Y31" s="685" t="str">
        <f>IF(W31="","",X31*W31)</f>
        <v/>
      </c>
      <c r="Z31" s="50"/>
      <c r="AA31" s="23"/>
    </row>
    <row r="32" spans="1:27" ht="19.399999999999999" customHeight="1" thickBot="1">
      <c r="C32" s="63" t="s">
        <v>95</v>
      </c>
      <c r="D32" s="63"/>
      <c r="E32" s="349"/>
      <c r="F32" s="349"/>
      <c r="G32" s="983" t="str">
        <f>IF('入力シート（第３年度報告書）'!G71="","",'入力シート（第３年度報告書）'!G71)</f>
        <v/>
      </c>
      <c r="H32" s="984"/>
      <c r="I32" s="24"/>
      <c r="J32" s="24"/>
      <c r="K32" s="24"/>
      <c r="L32" s="24"/>
      <c r="M32" s="24"/>
      <c r="N32" s="24"/>
      <c r="P32" s="350" t="s">
        <v>4388</v>
      </c>
      <c r="Q32" s="350"/>
      <c r="R32" s="350">
        <f>VLOOKUP($P32,係数2025,7,0)</f>
        <v>8.64</v>
      </c>
      <c r="S32" s="350" t="str">
        <f>VLOOKUP($P32,係数2025,9,0)</f>
        <v>ー</v>
      </c>
      <c r="U32" s="1073" t="str">
        <f>'入力シート（第３年度報告書）'!F48&amp;""</f>
        <v/>
      </c>
      <c r="V32" s="1074"/>
      <c r="W32" s="687" t="str">
        <f>IF('入力シート（第３年度報告書）'!G48="","",'入力シート（第３年度報告書）'!G48)</f>
        <v/>
      </c>
      <c r="X32" s="683" t="str">
        <f>IF('入力シート（第３年度報告書）'!I48="","",'入力シート（第３年度報告書）'!I48)</f>
        <v/>
      </c>
      <c r="Y32" s="685" t="str">
        <f>IF(W32="","",X32*W32)</f>
        <v/>
      </c>
      <c r="Z32" s="50"/>
      <c r="AA32" s="23"/>
    </row>
    <row r="33" spans="1:27" ht="19.399999999999999" customHeight="1" thickTop="1">
      <c r="C33" s="63" t="s">
        <v>96</v>
      </c>
      <c r="D33" s="63"/>
      <c r="E33" s="349"/>
      <c r="F33" s="349"/>
      <c r="G33" s="983" t="str">
        <f>IF('入力シート（第３年度報告書）'!G72="","",'入力シート（第３年度報告書）'!G72)</f>
        <v/>
      </c>
      <c r="H33" s="984"/>
      <c r="I33" s="24"/>
      <c r="J33" s="24"/>
      <c r="K33" s="24"/>
      <c r="L33" s="24"/>
      <c r="M33" s="24"/>
      <c r="N33" s="24"/>
      <c r="P33" s="350" t="s">
        <v>4388</v>
      </c>
      <c r="Q33" s="350"/>
      <c r="R33" s="350">
        <f>VLOOKUP($P33,係数2025,7,0)</f>
        <v>8.64</v>
      </c>
      <c r="S33" s="350" t="str">
        <f>VLOOKUP($P33,係数2025,9,0)</f>
        <v>ー</v>
      </c>
      <c r="U33" s="1060" t="s">
        <v>81</v>
      </c>
      <c r="V33" s="1061"/>
      <c r="W33" s="688" t="str">
        <f>IF(COUNTBLANK(W28:W32)=5,"",SUM(W28:W32))</f>
        <v/>
      </c>
      <c r="X33" s="351"/>
      <c r="Y33" s="686" t="str">
        <f>IF(COUNTBLANK(U28:U32)=5,"",SUM(Y28:Y32))</f>
        <v/>
      </c>
      <c r="Z33" s="50"/>
      <c r="AA33" s="23"/>
    </row>
    <row r="34" spans="1:27" ht="19.399999999999999" customHeight="1">
      <c r="C34" s="63" t="s">
        <v>4173</v>
      </c>
      <c r="D34" s="63"/>
      <c r="E34" s="349"/>
      <c r="F34" s="349"/>
      <c r="G34" s="983" t="str">
        <f>IF('入力シート（第３年度報告書）'!G73="","",'入力シート（第３年度報告書）'!G73)</f>
        <v/>
      </c>
      <c r="H34" s="984"/>
      <c r="I34" s="24"/>
      <c r="J34" s="24"/>
      <c r="K34" s="24"/>
      <c r="L34" s="24"/>
      <c r="M34" s="24"/>
      <c r="N34" s="24"/>
      <c r="P34" s="350"/>
      <c r="Q34" s="350"/>
      <c r="R34" s="350"/>
      <c r="S34" s="350"/>
      <c r="U34" s="352"/>
      <c r="V34" s="50"/>
      <c r="W34" s="50"/>
      <c r="X34" s="353"/>
      <c r="Y34" s="50"/>
      <c r="Z34" s="50"/>
      <c r="AA34" s="23"/>
    </row>
    <row r="35" spans="1:27" ht="19.399999999999999" customHeight="1" thickBot="1">
      <c r="C35" s="337" t="s">
        <v>4174</v>
      </c>
      <c r="D35" s="337"/>
      <c r="E35" s="338"/>
      <c r="F35" s="338"/>
      <c r="G35" s="1016" t="str">
        <f>IF('入力シート（第３年度報告書）'!G74="","",'入力シート（第３年度報告書）'!G74)</f>
        <v/>
      </c>
      <c r="H35" s="1017"/>
      <c r="I35" s="24"/>
      <c r="J35" s="24"/>
      <c r="K35" s="24"/>
      <c r="L35" s="24"/>
      <c r="M35" s="24"/>
      <c r="N35" s="24"/>
      <c r="P35" s="350" t="s">
        <v>4378</v>
      </c>
      <c r="Q35" s="350"/>
      <c r="R35" s="350">
        <f>VLOOKUP($P35,係数2025,7,0)</f>
        <v>8.64</v>
      </c>
      <c r="S35" s="350" t="str">
        <f>VLOOKUP($P35,係数2025,9,0)</f>
        <v>ー</v>
      </c>
      <c r="U35" s="352"/>
      <c r="V35" s="50"/>
      <c r="W35" s="50"/>
      <c r="X35" s="27"/>
      <c r="Y35" s="27"/>
      <c r="Z35" s="354"/>
      <c r="AA35" s="23"/>
    </row>
    <row r="36" spans="1:27" ht="19.399999999999999" customHeight="1" thickTop="1" thickBot="1">
      <c r="C36" s="991" t="s">
        <v>98</v>
      </c>
      <c r="D36" s="992"/>
      <c r="E36" s="992"/>
      <c r="F36" s="993"/>
      <c r="G36" s="1014" t="str">
        <f>IF(COUNTBLANK(G29:G35)=7,"",SUM(G29:G35))</f>
        <v/>
      </c>
      <c r="H36" s="1015"/>
      <c r="I36" s="24"/>
      <c r="J36" s="24"/>
      <c r="K36" s="24"/>
      <c r="L36" s="24"/>
      <c r="M36" s="24"/>
      <c r="N36" s="24"/>
      <c r="P36" s="355" t="s">
        <v>4389</v>
      </c>
      <c r="Q36" s="355"/>
      <c r="R36" s="350" t="str">
        <f>VLOOKUP($P36,係数2025,7,0)</f>
        <v>ー</v>
      </c>
      <c r="S36" s="350" t="str">
        <f>VLOOKUP($P36,係数2025,9,0)</f>
        <v>ー</v>
      </c>
      <c r="U36" s="1067" t="s">
        <v>4382</v>
      </c>
      <c r="V36" s="1068"/>
      <c r="W36" s="1052" t="s">
        <v>3045</v>
      </c>
      <c r="X36" s="1052" t="s">
        <v>4541</v>
      </c>
      <c r="Y36" s="1052" t="s">
        <v>4495</v>
      </c>
      <c r="Z36" s="354"/>
      <c r="AA36" s="23"/>
    </row>
    <row r="37" spans="1:27" ht="19.399999999999999" customHeight="1">
      <c r="C37" s="55"/>
      <c r="D37" s="55"/>
      <c r="E37" s="55"/>
      <c r="F37" s="55"/>
      <c r="G37" s="67"/>
      <c r="H37" s="67"/>
      <c r="P37" s="355" t="s">
        <v>4379</v>
      </c>
      <c r="Q37" s="355"/>
      <c r="R37" s="350">
        <f>VLOOKUP($P37,係数2025,7,0)</f>
        <v>8.64</v>
      </c>
      <c r="S37" s="350" t="str">
        <f>VLOOKUP($P37,係数2025,9,0)</f>
        <v>ー</v>
      </c>
      <c r="U37" s="1069"/>
      <c r="V37" s="1070"/>
      <c r="W37" s="1053"/>
      <c r="X37" s="1053"/>
      <c r="Y37" s="1053"/>
      <c r="Z37" s="356"/>
      <c r="AA37" s="354"/>
    </row>
    <row r="38" spans="1:27" ht="19.399999999999999" customHeight="1">
      <c r="P38" s="350"/>
      <c r="Q38" s="350"/>
      <c r="R38" s="350"/>
      <c r="S38" s="350"/>
      <c r="U38" s="1064" t="str">
        <f>IF('入力シート（第３年度報告書）'!F55="","",'入力シート（第３年度報告書）'!F55)</f>
        <v/>
      </c>
      <c r="V38" s="1065"/>
      <c r="W38" s="687" t="str">
        <f>IF('入力シート（第３年度報告書）'!G55="","",'入力シート（第３年度報告書）'!G55)</f>
        <v/>
      </c>
      <c r="X38" s="684" t="str">
        <f>IF('入力シート（第３年度報告書）'!I55="","",'入力シート（第３年度報告書）'!I55)</f>
        <v/>
      </c>
      <c r="Y38" s="685" t="str">
        <f>IF(W38="","",W38*X38)</f>
        <v/>
      </c>
      <c r="Z38" s="23"/>
      <c r="AA38" s="356"/>
    </row>
    <row r="39" spans="1:27" ht="19.399999999999999" customHeight="1" thickBot="1">
      <c r="C39" s="60" t="s">
        <v>99</v>
      </c>
      <c r="D39" s="60"/>
      <c r="P39" s="357"/>
      <c r="Q39" s="357"/>
      <c r="R39" s="357"/>
      <c r="S39" s="357"/>
      <c r="U39" s="1064" t="str">
        <f>IF('入力シート（第３年度報告書）'!F56="","",'入力シート（第３年度報告書）'!F56)</f>
        <v/>
      </c>
      <c r="V39" s="1065"/>
      <c r="W39" s="687" t="str">
        <f>IF('入力シート（第３年度報告書）'!G56="","",'入力シート（第３年度報告書）'!G56)</f>
        <v/>
      </c>
      <c r="X39" s="683" t="str">
        <f>IF('入力シート（第３年度報告書）'!I56="","",'入力シート（第３年度報告書）'!I56)</f>
        <v/>
      </c>
      <c r="Y39" s="685" t="str">
        <f>IF(W39="","",W39*X39)</f>
        <v/>
      </c>
      <c r="Z39" s="23"/>
      <c r="AA39" s="23"/>
    </row>
    <row r="40" spans="1:27" ht="19.399999999999999" customHeight="1">
      <c r="C40" s="999" t="s">
        <v>4221</v>
      </c>
      <c r="D40" s="1000"/>
      <c r="E40" s="1000"/>
      <c r="F40" s="1005"/>
      <c r="G40" s="1007" t="s">
        <v>4534</v>
      </c>
      <c r="H40" s="1008"/>
      <c r="U40" s="1064" t="str">
        <f>IF('入力シート（第３年度報告書）'!F57="","",'入力シート（第３年度報告書）'!F57)</f>
        <v/>
      </c>
      <c r="V40" s="1065"/>
      <c r="W40" s="689" t="str">
        <f>IF('入力シート（第３年度報告書）'!G57="","",'入力シート（第３年度報告書）'!G57)</f>
        <v/>
      </c>
      <c r="X40" s="684" t="str">
        <f>IF('入力シート（第３年度報告書）'!I57="","",'入力シート（第３年度報告書）'!I57)</f>
        <v/>
      </c>
      <c r="Y40" s="685" t="str">
        <f>IF(W40="","",W40*X40)</f>
        <v/>
      </c>
      <c r="Z40" s="23"/>
      <c r="AA40" s="23"/>
    </row>
    <row r="41" spans="1:27" ht="19.399999999999999" customHeight="1" thickBot="1">
      <c r="C41" s="1002"/>
      <c r="D41" s="1003"/>
      <c r="E41" s="1003"/>
      <c r="F41" s="1006"/>
      <c r="G41" s="1009"/>
      <c r="H41" s="1010"/>
      <c r="U41" s="1064" t="str">
        <f>IF('入力シート（第３年度報告書）'!F58="","",'入力シート（第３年度報告書）'!F58)</f>
        <v/>
      </c>
      <c r="V41" s="1065"/>
      <c r="W41" s="689" t="str">
        <f>IF('入力シート（第３年度報告書）'!G58="","",'入力シート（第３年度報告書）'!G58)</f>
        <v/>
      </c>
      <c r="X41" s="683" t="str">
        <f>IF('入力シート（第３年度報告書）'!I58="","",'入力シート（第３年度報告書）'!I58)</f>
        <v/>
      </c>
      <c r="Y41" s="685" t="str">
        <f>IF(W41="","",W41*X41)</f>
        <v/>
      </c>
      <c r="Z41" s="23"/>
      <c r="AA41" s="23"/>
    </row>
    <row r="42" spans="1:27" ht="19.399999999999999" customHeight="1" thickBot="1">
      <c r="C42" s="980" t="str">
        <f>IF('入力シート（第３年度報告書）'!E85="","",'入力シート（第３年度報告書）'!E85)</f>
        <v/>
      </c>
      <c r="D42" s="981"/>
      <c r="E42" s="981"/>
      <c r="F42" s="982"/>
      <c r="G42" s="1028" t="str">
        <f>IF('入力シート（第３年度報告書）'!G85="","",'入力シート（第３年度報告書）'!G85)</f>
        <v/>
      </c>
      <c r="H42" s="1029"/>
      <c r="U42" s="1062" t="str">
        <f>IF('入力シート（第３年度報告書）'!F59="","",'入力シート（第３年度報告書）'!F59)</f>
        <v/>
      </c>
      <c r="V42" s="1063"/>
      <c r="W42" s="692" t="str">
        <f>IF('入力シート（第３年度報告書）'!G59="","",'入力シート（第３年度報告書）'!G59)</f>
        <v/>
      </c>
      <c r="X42" s="693" t="str">
        <f>IF('入力シート（第３年度報告書）'!I59="","",'入力シート（第３年度報告書）'!I59)</f>
        <v/>
      </c>
      <c r="Y42" s="694" t="str">
        <f>IF(W42="","",W42*X42)</f>
        <v/>
      </c>
      <c r="Z42" s="23"/>
      <c r="AA42" s="23"/>
    </row>
    <row r="43" spans="1:27" ht="19.399999999999999" customHeight="1" thickTop="1">
      <c r="C43" s="977" t="str">
        <f>IF('入力シート（第３年度報告書）'!E86="","",'入力シート（第３年度報告書）'!E86)</f>
        <v/>
      </c>
      <c r="D43" s="978"/>
      <c r="E43" s="978"/>
      <c r="F43" s="979"/>
      <c r="G43" s="983" t="str">
        <f>IF('入力シート（第３年度報告書）'!G86="","",'入力シート（第３年度報告書）'!G86)</f>
        <v/>
      </c>
      <c r="H43" s="984"/>
      <c r="U43" s="1060" t="s">
        <v>81</v>
      </c>
      <c r="V43" s="1066"/>
      <c r="W43" s="688" t="str">
        <f>IF(COUNTBLANK(W38:W42)=5,"",SUM(W38:W42))</f>
        <v/>
      </c>
      <c r="X43" s="695"/>
      <c r="Y43" s="686" t="str">
        <f>IF(W43="","",SUM(Y38:Y42))</f>
        <v/>
      </c>
      <c r="Z43" s="23"/>
      <c r="AA43" s="23"/>
    </row>
    <row r="44" spans="1:27" ht="19.399999999999999" customHeight="1">
      <c r="C44" s="977" t="str">
        <f>IF('入力シート（第３年度報告書）'!E87="","",'入力シート（第３年度報告書）'!E87)</f>
        <v/>
      </c>
      <c r="D44" s="978"/>
      <c r="E44" s="978"/>
      <c r="F44" s="979"/>
      <c r="G44" s="983" t="str">
        <f>IF('入力シート（第３年度報告書）'!G87="","",'入力シート（第３年度報告書）'!G87)</f>
        <v/>
      </c>
      <c r="H44" s="984"/>
      <c r="U44" s="27"/>
      <c r="V44" s="27"/>
      <c r="W44" s="27"/>
      <c r="X44" s="27"/>
      <c r="Y44" s="356"/>
      <c r="Z44" s="23"/>
      <c r="AA44" s="23"/>
    </row>
    <row r="45" spans="1:27" ht="19.399999999999999" customHeight="1">
      <c r="C45" s="977" t="str">
        <f>IF('入力シート（第３年度報告書）'!E88="","",'入力シート（第３年度報告書）'!E88)</f>
        <v/>
      </c>
      <c r="D45" s="978"/>
      <c r="E45" s="978"/>
      <c r="F45" s="979"/>
      <c r="G45" s="983" t="str">
        <f>IF('入力シート（第３年度報告書）'!G88="","",'入力シート（第３年度報告書）'!G88)</f>
        <v/>
      </c>
      <c r="H45" s="984"/>
      <c r="U45" s="23"/>
      <c r="V45" s="23"/>
      <c r="W45" s="23"/>
      <c r="X45" s="23"/>
      <c r="Y45" s="23"/>
      <c r="Z45" s="23"/>
      <c r="AA45" s="23"/>
    </row>
    <row r="46" spans="1:27" ht="19.399999999999999" customHeight="1">
      <c r="A46" s="59"/>
      <c r="C46" s="977" t="str">
        <f>IF('入力シート（第３年度報告書）'!E89="","",'入力シート（第３年度報告書）'!E89)</f>
        <v/>
      </c>
      <c r="D46" s="978"/>
      <c r="E46" s="978"/>
      <c r="F46" s="979"/>
      <c r="G46" s="983" t="str">
        <f>IF('入力シート（第３年度報告書）'!G89="","",'入力シート（第３年度報告書）'!G89)</f>
        <v/>
      </c>
      <c r="H46" s="984"/>
      <c r="U46" s="23"/>
      <c r="V46" s="23"/>
      <c r="W46" s="23"/>
      <c r="X46" s="23"/>
      <c r="Y46" s="23"/>
      <c r="Z46" s="23"/>
      <c r="AA46" s="23"/>
    </row>
    <row r="47" spans="1:27" ht="19.399999999999999" customHeight="1">
      <c r="A47" s="59"/>
      <c r="B47" s="59"/>
      <c r="C47" s="977" t="str">
        <f>IF('入力シート（第３年度報告書）'!E90="","",'入力シート（第３年度報告書）'!E90)</f>
        <v/>
      </c>
      <c r="D47" s="978"/>
      <c r="E47" s="978"/>
      <c r="F47" s="979"/>
      <c r="G47" s="983" t="str">
        <f>IF('入力シート（第３年度報告書）'!G90="","",'入力シート（第３年度報告書）'!G90)</f>
        <v/>
      </c>
      <c r="H47" s="984"/>
      <c r="U47" s="23"/>
      <c r="V47" s="23"/>
      <c r="W47" s="23"/>
      <c r="X47" s="23"/>
      <c r="Y47" s="23"/>
      <c r="Z47" s="23"/>
      <c r="AA47" s="23"/>
    </row>
    <row r="48" spans="1:27" ht="19.399999999999999" customHeight="1" thickBot="1">
      <c r="B48" s="59"/>
      <c r="C48" s="1011" t="str">
        <f>IF('入力シート（第３年度報告書）'!E91="","",'入力シート（第３年度報告書）'!E91)</f>
        <v/>
      </c>
      <c r="D48" s="1012"/>
      <c r="E48" s="1012"/>
      <c r="F48" s="1013"/>
      <c r="G48" s="1016" t="str">
        <f>IF('入力シート（第３年度報告書）'!G91="","",'入力シート（第３年度報告書）'!G91)</f>
        <v/>
      </c>
      <c r="H48" s="1017"/>
      <c r="U48" s="23"/>
      <c r="V48" s="23"/>
      <c r="W48" s="23"/>
      <c r="X48" s="23"/>
      <c r="Y48" s="23"/>
      <c r="Z48" s="23"/>
      <c r="AA48" s="23"/>
    </row>
    <row r="49" spans="2:27" ht="19.399999999999999" customHeight="1" thickTop="1" thickBot="1">
      <c r="C49" s="991" t="s">
        <v>98</v>
      </c>
      <c r="D49" s="992"/>
      <c r="E49" s="992"/>
      <c r="F49" s="993"/>
      <c r="G49" s="1014" t="str">
        <f>IF(COUNTBLANK(G42:G48)=7,"",SUM(G42:G48))</f>
        <v/>
      </c>
      <c r="H49" s="1015"/>
      <c r="U49" s="23"/>
      <c r="V49" s="23"/>
      <c r="W49" s="23"/>
      <c r="X49" s="23"/>
      <c r="Y49" s="23"/>
      <c r="Z49" s="27"/>
      <c r="AA49" s="23"/>
    </row>
    <row r="50" spans="2:27" ht="19.399999999999999" customHeight="1">
      <c r="U50" s="23"/>
      <c r="V50" s="23"/>
      <c r="W50" s="23"/>
      <c r="X50" s="23"/>
      <c r="Y50" s="23"/>
      <c r="Z50" s="23"/>
      <c r="AA50" s="27"/>
    </row>
    <row r="51" spans="2:27" ht="19.399999999999999" customHeight="1">
      <c r="U51" s="23"/>
      <c r="V51" s="23"/>
      <c r="W51" s="23"/>
      <c r="X51" s="23"/>
      <c r="Y51" s="23"/>
      <c r="Z51" s="23"/>
      <c r="AA51" s="23"/>
    </row>
    <row r="52" spans="2:27" ht="19.399999999999999" customHeight="1" thickBot="1">
      <c r="C52" s="60" t="s">
        <v>101</v>
      </c>
      <c r="D52" s="60"/>
      <c r="U52" s="23"/>
      <c r="V52" s="23"/>
      <c r="W52" s="23"/>
      <c r="X52" s="23"/>
      <c r="Y52" s="23"/>
      <c r="Z52" s="23"/>
      <c r="AA52" s="23"/>
    </row>
    <row r="53" spans="2:27" ht="19.399999999999999" customHeight="1">
      <c r="C53" s="999" t="s">
        <v>100</v>
      </c>
      <c r="D53" s="1000"/>
      <c r="E53" s="1000"/>
      <c r="F53" s="1000"/>
      <c r="G53" s="1000"/>
      <c r="H53" s="1001"/>
      <c r="U53" s="23"/>
      <c r="V53" s="23"/>
      <c r="W53" s="23"/>
      <c r="X53" s="23"/>
      <c r="Y53" s="23"/>
      <c r="Z53" s="23"/>
      <c r="AA53" s="23"/>
    </row>
    <row r="54" spans="2:27" ht="19.399999999999999" customHeight="1" thickBot="1">
      <c r="C54" s="1002"/>
      <c r="D54" s="1003"/>
      <c r="E54" s="1003"/>
      <c r="F54" s="1003"/>
      <c r="G54" s="1003"/>
      <c r="H54" s="1004"/>
      <c r="U54" s="23"/>
      <c r="V54" s="23"/>
      <c r="W54" s="23"/>
      <c r="X54" s="23"/>
      <c r="Y54" s="23"/>
      <c r="Z54" s="23"/>
      <c r="AA54" s="23"/>
    </row>
    <row r="55" spans="2:27" ht="19.399999999999999" customHeight="1">
      <c r="C55" s="996" t="s">
        <v>67</v>
      </c>
      <c r="D55" s="997"/>
      <c r="E55" s="997"/>
      <c r="F55" s="998"/>
      <c r="G55" s="1026" t="str">
        <f>IF('P1'!G55="","",'P1'!G55)</f>
        <v/>
      </c>
      <c r="H55" s="1027"/>
      <c r="U55" s="23"/>
      <c r="V55" s="23"/>
      <c r="W55" s="23"/>
      <c r="X55" s="23"/>
      <c r="Y55" s="23"/>
      <c r="Z55" s="23"/>
      <c r="AA55" s="23"/>
    </row>
    <row r="56" spans="2:27" s="26" customFormat="1" ht="19.399999999999999" customHeight="1">
      <c r="B56" s="27"/>
      <c r="C56" s="994" t="s">
        <v>103</v>
      </c>
      <c r="D56" s="949"/>
      <c r="E56" s="949"/>
      <c r="F56" s="995"/>
      <c r="G56" s="945" t="str">
        <f>IF('P1'!G56="","",'P1'!G56)</f>
        <v/>
      </c>
      <c r="H56" s="1183"/>
      <c r="U56" s="23"/>
      <c r="V56" s="23"/>
      <c r="W56" s="23"/>
      <c r="X56" s="23"/>
      <c r="Y56" s="23"/>
      <c r="Z56" s="23"/>
      <c r="AA56" s="23"/>
    </row>
    <row r="57" spans="2:27" s="26" customFormat="1" ht="19.399999999999999" customHeight="1" thickBot="1">
      <c r="B57" s="27"/>
      <c r="C57" s="1032" t="s">
        <v>102</v>
      </c>
      <c r="D57" s="1033"/>
      <c r="E57" s="1033"/>
      <c r="F57" s="1034"/>
      <c r="G57" s="1024" t="str">
        <f>IF('入力シート（第３年度報告書）'!G98="","",'入力シート（第３年度報告書）'!G98)</f>
        <v/>
      </c>
      <c r="H57" s="1025"/>
      <c r="I57" s="47"/>
      <c r="U57" s="27"/>
      <c r="V57" s="27"/>
      <c r="W57" s="27"/>
      <c r="X57" s="27"/>
      <c r="Y57" s="27"/>
      <c r="Z57" s="23"/>
      <c r="AA57" s="23"/>
    </row>
    <row r="58" spans="2:27" s="26" customFormat="1" ht="19.399999999999999" customHeight="1">
      <c r="B58" s="27"/>
      <c r="H58" s="47"/>
      <c r="U58" s="27"/>
      <c r="V58" s="27"/>
      <c r="W58" s="27"/>
      <c r="X58" s="27"/>
      <c r="Y58" s="27"/>
      <c r="Z58" s="23"/>
      <c r="AA58" s="23"/>
    </row>
    <row r="59" spans="2:27" s="26" customFormat="1" ht="19.399999999999999" customHeight="1">
      <c r="B59" s="27"/>
      <c r="U59" s="27"/>
      <c r="V59" s="27"/>
      <c r="W59" s="27"/>
      <c r="X59" s="27"/>
      <c r="Y59" s="27"/>
      <c r="Z59" s="23"/>
      <c r="AA59" s="23"/>
    </row>
    <row r="60" spans="2:27" s="26" customFormat="1" ht="19.399999999999999" customHeight="1" thickBot="1">
      <c r="B60" s="27"/>
      <c r="C60" s="60" t="s">
        <v>4415</v>
      </c>
      <c r="U60" s="27"/>
      <c r="V60" s="27"/>
      <c r="W60" s="27"/>
      <c r="X60" s="27"/>
      <c r="Y60" s="27"/>
      <c r="Z60" s="23"/>
      <c r="AA60" s="23"/>
    </row>
    <row r="61" spans="2:27" s="26" customFormat="1" ht="19.399999999999999" customHeight="1">
      <c r="B61" s="27"/>
      <c r="C61" s="1176" t="s">
        <v>4422</v>
      </c>
      <c r="D61" s="1179"/>
      <c r="E61" s="1179"/>
      <c r="F61" s="1181" t="s">
        <v>4416</v>
      </c>
      <c r="G61" s="1175" t="s">
        <v>4417</v>
      </c>
      <c r="H61" s="1175"/>
      <c r="I61" s="1175"/>
      <c r="J61" s="1176"/>
      <c r="K61" s="1181" t="s">
        <v>4418</v>
      </c>
      <c r="L61" s="10"/>
      <c r="Z61" s="27"/>
      <c r="AA61" s="23"/>
    </row>
    <row r="62" spans="2:27" s="26" customFormat="1" ht="19.399999999999999" customHeight="1" thickBot="1">
      <c r="B62" s="27"/>
      <c r="C62" s="1178"/>
      <c r="D62" s="1180"/>
      <c r="E62" s="1180"/>
      <c r="F62" s="1182"/>
      <c r="G62" s="1177"/>
      <c r="H62" s="1177"/>
      <c r="I62" s="1177"/>
      <c r="J62" s="1178"/>
      <c r="K62" s="1182"/>
      <c r="L62" s="10"/>
      <c r="Z62" s="27"/>
      <c r="AA62" s="27"/>
    </row>
    <row r="63" spans="2:27" s="26" customFormat="1" ht="19.399999999999999" customHeight="1">
      <c r="B63" s="27"/>
      <c r="C63" s="989" t="s">
        <v>4423</v>
      </c>
      <c r="D63" s="990"/>
      <c r="E63" s="990"/>
      <c r="F63" s="970" t="str">
        <f>IF('入力シート（第３年度報告書）'!G113="","",'入力シート（第３年度報告書）'!G113)</f>
        <v/>
      </c>
      <c r="G63" s="359" t="s">
        <v>4419</v>
      </c>
      <c r="H63" s="360"/>
      <c r="I63" s="360"/>
      <c r="J63" s="361"/>
      <c r="K63" s="724" t="str">
        <f>IF('入力シート（第３年度報告書）'!N113="","",'入力シート（第３年度報告書）'!N113)</f>
        <v/>
      </c>
      <c r="Z63" s="27"/>
      <c r="AA63" s="27"/>
    </row>
    <row r="64" spans="2:27" s="26" customFormat="1" ht="19.399999999999999" customHeight="1">
      <c r="B64" s="27"/>
      <c r="C64" s="987"/>
      <c r="D64" s="988"/>
      <c r="E64" s="988"/>
      <c r="F64" s="969"/>
      <c r="G64" s="362" t="s">
        <v>4420</v>
      </c>
      <c r="H64" s="363"/>
      <c r="I64" s="363"/>
      <c r="J64" s="364"/>
      <c r="K64" s="725" t="str">
        <f>IF('入力シート（第３年度報告書）'!N114="","",'入力シート（第３年度報告書）'!N114)</f>
        <v/>
      </c>
      <c r="Z64" s="27"/>
      <c r="AA64" s="27"/>
    </row>
    <row r="65" spans="2:27" s="26" customFormat="1" ht="19.399999999999999" customHeight="1">
      <c r="B65" s="27"/>
      <c r="C65" s="987"/>
      <c r="D65" s="988"/>
      <c r="E65" s="988"/>
      <c r="F65" s="969"/>
      <c r="G65" s="365" t="s">
        <v>4421</v>
      </c>
      <c r="H65" s="366"/>
      <c r="I65" s="366"/>
      <c r="J65" s="367"/>
      <c r="K65" s="726" t="str">
        <f>IF('入力シート（第３年度報告書）'!N115="","",'入力シート（第３年度報告書）'!N115)</f>
        <v/>
      </c>
      <c r="AA65" s="27"/>
    </row>
    <row r="66" spans="2:27" s="26" customFormat="1" ht="19.399999999999999" customHeight="1">
      <c r="B66" s="27"/>
      <c r="C66" s="987" t="s">
        <v>4424</v>
      </c>
      <c r="D66" s="988"/>
      <c r="E66" s="988"/>
      <c r="F66" s="969" t="str">
        <f>IF('入力シート（第３年度報告書）'!G116="","",'入力シート（第３年度報告書）'!G116)</f>
        <v/>
      </c>
      <c r="G66" s="368" t="s">
        <v>4419</v>
      </c>
      <c r="H66" s="369"/>
      <c r="I66" s="369"/>
      <c r="J66" s="370"/>
      <c r="K66" s="727" t="str">
        <f>IF('入力シート（第３年度報告書）'!N116="","",'入力シート（第３年度報告書）'!N116)</f>
        <v/>
      </c>
    </row>
    <row r="67" spans="2:27" s="26" customFormat="1" ht="19.399999999999999" customHeight="1">
      <c r="B67" s="27"/>
      <c r="C67" s="987"/>
      <c r="D67" s="988"/>
      <c r="E67" s="988"/>
      <c r="F67" s="969"/>
      <c r="G67" s="362" t="s">
        <v>4420</v>
      </c>
      <c r="H67" s="363"/>
      <c r="I67" s="363"/>
      <c r="J67" s="364"/>
      <c r="K67" s="725" t="str">
        <f>IF('入力シート（第３年度報告書）'!N117="","",'入力シート（第３年度報告書）'!N117)</f>
        <v/>
      </c>
    </row>
    <row r="68" spans="2:27" s="26" customFormat="1" ht="19.399999999999999" customHeight="1">
      <c r="B68" s="27"/>
      <c r="C68" s="987"/>
      <c r="D68" s="988"/>
      <c r="E68" s="988"/>
      <c r="F68" s="969"/>
      <c r="G68" s="365" t="s">
        <v>4421</v>
      </c>
      <c r="H68" s="366"/>
      <c r="I68" s="366"/>
      <c r="J68" s="367"/>
      <c r="K68" s="726" t="str">
        <f>IF('入力シート（第３年度報告書）'!N118="","",'入力シート（第３年度報告書）'!N118)</f>
        <v/>
      </c>
      <c r="Z68" s="345"/>
    </row>
    <row r="69" spans="2:27" s="26" customFormat="1" ht="19.399999999999999" customHeight="1">
      <c r="B69" s="27"/>
      <c r="C69" s="987" t="s">
        <v>4425</v>
      </c>
      <c r="D69" s="988"/>
      <c r="E69" s="988"/>
      <c r="F69" s="969" t="str">
        <f>IF('入力シート（第３年度報告書）'!G119="","",'入力シート（第３年度報告書）'!G119)</f>
        <v/>
      </c>
      <c r="G69" s="368" t="s">
        <v>4419</v>
      </c>
      <c r="H69" s="369"/>
      <c r="I69" s="369"/>
      <c r="J69" s="370"/>
      <c r="K69" s="727" t="str">
        <f>IF('入力シート（第３年度報告書）'!N119="","",'入力シート（第３年度報告書）'!N119)</f>
        <v/>
      </c>
      <c r="Z69" s="345"/>
    </row>
    <row r="70" spans="2:27" s="26" customFormat="1" ht="18.649999999999999" customHeight="1" thickBot="1">
      <c r="B70" s="27"/>
      <c r="C70" s="987"/>
      <c r="D70" s="988"/>
      <c r="E70" s="988"/>
      <c r="F70" s="969"/>
      <c r="G70" s="365" t="s">
        <v>4420</v>
      </c>
      <c r="H70" s="366"/>
      <c r="I70" s="366"/>
      <c r="J70" s="367"/>
      <c r="K70" s="726" t="str">
        <f>IF('入力シート（第３年度報告書）'!N120="","",'入力シート（第３年度報告書）'!N120)</f>
        <v/>
      </c>
      <c r="T70" s="24"/>
      <c r="U70" s="24"/>
      <c r="V70" s="24"/>
      <c r="W70" s="24"/>
      <c r="Z70" s="24"/>
    </row>
    <row r="71" spans="2:27" s="26" customFormat="1" ht="18.5" thickTop="1" thickBot="1">
      <c r="B71" s="27"/>
      <c r="C71" s="985" t="s">
        <v>4426</v>
      </c>
      <c r="D71" s="986"/>
      <c r="E71" s="986"/>
      <c r="F71" s="723" t="str">
        <f>IF(COUNTBLANK(F63:F70)=8,"",SUM(F63,F66,F69))</f>
        <v/>
      </c>
      <c r="G71" s="371" t="s">
        <v>4427</v>
      </c>
      <c r="H71" s="372"/>
      <c r="I71" s="373"/>
      <c r="J71" s="374"/>
      <c r="K71" s="723" t="str">
        <f>IF(COUNTBLANK(K63:K70)=8,"",SUM(K63:K70))</f>
        <v/>
      </c>
      <c r="O71" s="24"/>
      <c r="T71" s="24"/>
      <c r="Z71" s="24"/>
    </row>
    <row r="72" spans="2:27">
      <c r="O72" s="24"/>
      <c r="T72" s="24"/>
      <c r="Z72" s="24"/>
    </row>
    <row r="73" spans="2:27" s="26" customFormat="1">
      <c r="B73" s="27"/>
      <c r="O73" s="24"/>
    </row>
    <row r="77" spans="2:27">
      <c r="P77" s="24"/>
      <c r="Q77" s="24"/>
      <c r="R77" s="24"/>
      <c r="S77" s="24"/>
    </row>
    <row r="78" spans="2:27">
      <c r="P78" s="24"/>
      <c r="Q78" s="24"/>
      <c r="R78" s="24"/>
      <c r="S78" s="24"/>
    </row>
    <row r="79" spans="2:27">
      <c r="P79" s="24"/>
      <c r="Q79" s="24"/>
      <c r="R79" s="24"/>
      <c r="S79" s="24"/>
    </row>
  </sheetData>
  <sheetProtection algorithmName="SHA-512" hashValue="t6fjW+OPH9Um8ix7478KJMaOLk+hgStjhSaXYaQcpAOlSMMAKzSOkW295bNReOMt7SKRk2AzSOXvqonX09Zn3Q==" saltValue="agqPZ8yXMAQlM1SnvX9Byw==" spinCount="100000" sheet="1" objects="1" scenarios="1" selectLockedCells="1"/>
  <mergeCells count="94">
    <mergeCell ref="W17:X17"/>
    <mergeCell ref="U29:V29"/>
    <mergeCell ref="G29:H29"/>
    <mergeCell ref="C26:F28"/>
    <mergeCell ref="L18:L19"/>
    <mergeCell ref="K18:K19"/>
    <mergeCell ref="C18:J19"/>
    <mergeCell ref="C20:J20"/>
    <mergeCell ref="C21:J21"/>
    <mergeCell ref="C22:J22"/>
    <mergeCell ref="U24:V24"/>
    <mergeCell ref="M18:M19"/>
    <mergeCell ref="U26:V27"/>
    <mergeCell ref="G26:H28"/>
    <mergeCell ref="U28:V28"/>
    <mergeCell ref="C14:J14"/>
    <mergeCell ref="C15:J15"/>
    <mergeCell ref="L4:L5"/>
    <mergeCell ref="C9:J9"/>
    <mergeCell ref="C10:J10"/>
    <mergeCell ref="C11:J11"/>
    <mergeCell ref="C12:J12"/>
    <mergeCell ref="C13:J13"/>
    <mergeCell ref="K4:K5"/>
    <mergeCell ref="C4:J5"/>
    <mergeCell ref="C6:J6"/>
    <mergeCell ref="C7:J7"/>
    <mergeCell ref="C8:J8"/>
    <mergeCell ref="M1:N1"/>
    <mergeCell ref="M4:M5"/>
    <mergeCell ref="N4:N5"/>
    <mergeCell ref="N18:N19"/>
    <mergeCell ref="U23:V23"/>
    <mergeCell ref="Y36:Y37"/>
    <mergeCell ref="W26:W27"/>
    <mergeCell ref="X26:X27"/>
    <mergeCell ref="W36:W37"/>
    <mergeCell ref="X36:X37"/>
    <mergeCell ref="Y26:Y27"/>
    <mergeCell ref="U36:V37"/>
    <mergeCell ref="U43:V43"/>
    <mergeCell ref="C36:F36"/>
    <mergeCell ref="G36:H36"/>
    <mergeCell ref="G33:H33"/>
    <mergeCell ref="G34:H34"/>
    <mergeCell ref="G35:H35"/>
    <mergeCell ref="U33:V33"/>
    <mergeCell ref="U42:V42"/>
    <mergeCell ref="U41:V41"/>
    <mergeCell ref="U40:V40"/>
    <mergeCell ref="U39:V39"/>
    <mergeCell ref="U38:V38"/>
    <mergeCell ref="C42:F42"/>
    <mergeCell ref="G42:H42"/>
    <mergeCell ref="C43:F43"/>
    <mergeCell ref="U32:V32"/>
    <mergeCell ref="U30:V30"/>
    <mergeCell ref="U31:V31"/>
    <mergeCell ref="C47:F47"/>
    <mergeCell ref="G47:H47"/>
    <mergeCell ref="G30:H30"/>
    <mergeCell ref="G31:H31"/>
    <mergeCell ref="G32:H32"/>
    <mergeCell ref="C44:F44"/>
    <mergeCell ref="G44:H44"/>
    <mergeCell ref="C45:F45"/>
    <mergeCell ref="G45:H45"/>
    <mergeCell ref="C46:F46"/>
    <mergeCell ref="G46:H46"/>
    <mergeCell ref="C40:F41"/>
    <mergeCell ref="G40:H41"/>
    <mergeCell ref="G61:J62"/>
    <mergeCell ref="C61:E62"/>
    <mergeCell ref="F61:F62"/>
    <mergeCell ref="G43:H43"/>
    <mergeCell ref="K61:K62"/>
    <mergeCell ref="C57:F57"/>
    <mergeCell ref="G57:H57"/>
    <mergeCell ref="C56:F56"/>
    <mergeCell ref="G56:H56"/>
    <mergeCell ref="G55:H55"/>
    <mergeCell ref="C48:F48"/>
    <mergeCell ref="G48:H48"/>
    <mergeCell ref="C49:F49"/>
    <mergeCell ref="G49:H49"/>
    <mergeCell ref="C53:H54"/>
    <mergeCell ref="C71:E71"/>
    <mergeCell ref="C69:E70"/>
    <mergeCell ref="C66:E68"/>
    <mergeCell ref="C63:E65"/>
    <mergeCell ref="C55:F55"/>
    <mergeCell ref="F69:F70"/>
    <mergeCell ref="F66:F68"/>
    <mergeCell ref="F63:F65"/>
  </mergeCells>
  <phoneticPr fontId="1"/>
  <conditionalFormatting sqref="G29:H35">
    <cfRule type="expression" dxfId="70" priority="2">
      <formula>G29&lt;&gt;""</formula>
    </cfRule>
  </conditionalFormatting>
  <conditionalFormatting sqref="G57:H57">
    <cfRule type="expression" dxfId="69" priority="1">
      <formula>MOD($G$57,1)&lt;&gt;0</formula>
    </cfRule>
  </conditionalFormatting>
  <dataValidations count="2">
    <dataValidation imeMode="hiragana" allowBlank="1" showInputMessage="1" showErrorMessage="1" sqref="C42:C48 G55:G57 U36 U28:U32 U24" xr:uid="{FC6D0425-B095-4420-B7EA-8FF0A78E7022}"/>
    <dataValidation imeMode="halfAlpha" allowBlank="1" showInputMessage="1" showErrorMessage="1" sqref="X40 G42:G48 G29:G35 W38:W42 W28:X32 X38 I17:J17" xr:uid="{78507787-C849-4A05-AA9C-56AF180C880C}"/>
  </dataValidations>
  <printOptions horizontalCentered="1"/>
  <pageMargins left="0.70866141732283472" right="0.55118110236220474" top="0.74803149606299213" bottom="0.74803149606299213" header="0.31496062992125984" footer="0.31496062992125984"/>
  <pageSetup paperSize="9" scale="40" orientation="portrait" r:id="rId1"/>
  <headerFooter>
    <oddHeader>&amp;L&amp;"メイリオ,レギュラー"様式第２号</oddHeader>
    <oddFooter>&amp;R&amp;"メイリオ,レギュラー"&amp;8（特定事業者（運送事業者）用</oddFooter>
  </headerFooter>
  <colBreaks count="1" manualBreakCount="1">
    <brk id="14" max="71"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theme="6" tint="-0.249977111117893"/>
    <pageSetUpPr fitToPage="1"/>
  </sheetPr>
  <dimension ref="A1:AK35"/>
  <sheetViews>
    <sheetView showGridLines="0" view="pageBreakPreview" zoomScaleNormal="100" zoomScaleSheetLayoutView="100" workbookViewId="0">
      <pane ySplit="6" topLeftCell="A7" activePane="bottomLeft" state="frozen"/>
      <selection activeCell="AF17" sqref="AF17"/>
      <selection pane="bottomLeft"/>
    </sheetView>
  </sheetViews>
  <sheetFormatPr defaultColWidth="9" defaultRowHeight="17.5"/>
  <cols>
    <col min="1" max="2" width="0.453125" style="24" customWidth="1"/>
    <col min="3" max="10" width="5.6328125" style="24" customWidth="1"/>
    <col min="11" max="11" width="0.90625" style="24" customWidth="1"/>
    <col min="12" max="26" width="5.6328125" style="24" customWidth="1"/>
    <col min="27" max="27" width="14.453125" style="191" hidden="1" customWidth="1"/>
    <col min="28" max="28" width="14.36328125" style="191" hidden="1" customWidth="1"/>
    <col min="29" max="29" width="9.81640625" style="191" hidden="1" customWidth="1"/>
    <col min="30" max="35" width="5.6328125" style="191" hidden="1" customWidth="1"/>
    <col min="36" max="36" width="5.6328125" style="24" hidden="1" customWidth="1"/>
    <col min="37" max="40" width="5.6328125" style="24" customWidth="1"/>
    <col min="41" max="16384" width="9" style="24"/>
  </cols>
  <sheetData>
    <row r="1" spans="1:37" ht="2.4" customHeight="1" thickBot="1">
      <c r="A1" s="728"/>
    </row>
    <row r="2" spans="1:37" ht="21.65" customHeight="1" thickTop="1" thickBot="1">
      <c r="C2" s="1191"/>
      <c r="D2" s="1192"/>
      <c r="E2" s="1193"/>
      <c r="F2" s="52" t="s">
        <v>4548</v>
      </c>
      <c r="G2" s="253"/>
      <c r="H2" s="253"/>
      <c r="J2" s="191"/>
      <c r="L2" s="437" t="s">
        <v>4520</v>
      </c>
      <c r="M2" s="437"/>
      <c r="N2" s="437"/>
      <c r="O2" s="191"/>
      <c r="P2" s="191"/>
    </row>
    <row r="3" spans="1:37" ht="2.4" customHeight="1" thickTop="1"/>
    <row r="4" spans="1:37" ht="18" customHeight="1">
      <c r="AB4" s="191" t="s">
        <v>4226</v>
      </c>
    </row>
    <row r="5" spans="1:37">
      <c r="AA5" s="198" t="s">
        <v>4525</v>
      </c>
      <c r="AB5" s="191">
        <f>'入力シート（計画書）'!K7</f>
        <v>0</v>
      </c>
    </row>
    <row r="6" spans="1:37" ht="25.5" customHeight="1">
      <c r="D6" s="1114" t="s">
        <v>3998</v>
      </c>
      <c r="E6" s="1114"/>
      <c r="F6" s="1114"/>
      <c r="G6" s="1114"/>
      <c r="H6" s="1114"/>
      <c r="I6" s="1114"/>
      <c r="J6" s="1114"/>
      <c r="K6" s="1114"/>
      <c r="L6" s="1114"/>
      <c r="M6" s="1114"/>
      <c r="N6" s="1114"/>
      <c r="O6" s="1114"/>
      <c r="P6" s="1114"/>
      <c r="Q6" s="1114"/>
      <c r="R6" s="1114"/>
      <c r="AA6" s="433" t="str">
        <f>IF(ISBLANK(C2)=TRUE,"未選択",AB7)</f>
        <v>未選択</v>
      </c>
      <c r="AB6" s="191" t="str">
        <f>IF(ISBLANK(C2),"未選択",C2)</f>
        <v>未選択</v>
      </c>
    </row>
    <row r="7" spans="1:37" s="10" customFormat="1" ht="16">
      <c r="AA7" s="434" t="str" cm="1">
        <f t="array" ref="AA7">IFERROR(IF(AA6="未選択","未選択",INDEX(AB8:AB10,AA6)),"データ不整合")</f>
        <v>未選択</v>
      </c>
      <c r="AB7" s="195">
        <f>IF($C$2="",0,IF(AB6-AB5-1&lt;1,"",AB6-AB5-1))</f>
        <v>0</v>
      </c>
      <c r="AC7" s="195"/>
      <c r="AD7" s="195"/>
      <c r="AE7" s="195"/>
      <c r="AF7" s="195"/>
      <c r="AG7" s="195"/>
      <c r="AH7" s="195"/>
      <c r="AI7" s="195"/>
    </row>
    <row r="8" spans="1:37" s="10" customFormat="1" ht="16">
      <c r="N8" s="404" t="str">
        <f>IFERROR(IF(OR(AA7="未選択",AA7="空欄あり")=TRUE,"",YEAR(AA7)),"")</f>
        <v/>
      </c>
      <c r="O8" s="378" t="s">
        <v>2</v>
      </c>
      <c r="P8" s="404" t="str">
        <f>IFERROR(IF(OR(AA7="未選択",AA7="空欄あり")=TRUE,"",MONTH(AA7)),"")</f>
        <v/>
      </c>
      <c r="Q8" s="378" t="s">
        <v>1</v>
      </c>
      <c r="R8" s="404" t="str">
        <f>IFERROR(IF(OR(AA7="未選択",AA7="空欄あり")=TRUE,"",DAY(AA7)),"")</f>
        <v/>
      </c>
      <c r="S8" s="378" t="s">
        <v>0</v>
      </c>
      <c r="T8" s="195"/>
      <c r="U8" s="195"/>
      <c r="V8" s="195"/>
      <c r="W8" s="195"/>
      <c r="X8" s="195"/>
      <c r="Y8" s="195"/>
      <c r="Z8" s="195"/>
      <c r="AA8" s="435"/>
      <c r="AB8" s="435" t="str">
        <f>IF(AI8=0,DATE(AC8,AE8,AG8),"空欄あり")</f>
        <v>空欄あり</v>
      </c>
      <c r="AC8" s="195">
        <f>'入力シート（第１年度報告書）'!G3</f>
        <v>0</v>
      </c>
      <c r="AD8" s="195" t="str">
        <f>'入力シート（第１年度報告書）'!H3</f>
        <v>年</v>
      </c>
      <c r="AE8" s="195">
        <f>'入力シート（第１年度報告書）'!I3</f>
        <v>0</v>
      </c>
      <c r="AF8" s="195" t="str">
        <f>'入力シート（第１年度報告書）'!J3</f>
        <v>月</v>
      </c>
      <c r="AG8" s="195">
        <f>'入力シート（第１年度報告書）'!K3</f>
        <v>0</v>
      </c>
      <c r="AH8" s="195" t="str">
        <f>'入力シート（第１年度報告書）'!L3</f>
        <v>日</v>
      </c>
      <c r="AI8" s="195">
        <f>COUNTIF(AC8:AG8,0)</f>
        <v>3</v>
      </c>
      <c r="AJ8" s="195"/>
      <c r="AK8" s="195"/>
    </row>
    <row r="9" spans="1:37" s="10" customFormat="1" ht="16">
      <c r="C9" s="10" t="s">
        <v>3</v>
      </c>
      <c r="S9" s="405" t="str">
        <f>IFERROR(
         IF(AA6="未選択","セルC2にて報告年度が選択されていません。選択してください。",
           IF(AA7="空欄あり","入力シート（第"&amp;DBCS(AA6)&amp;"年度報告書）の提出日に空欄があります。ご確認ください。","")),"")</f>
        <v>セルC2にて報告年度が選択されていません。選択してください。</v>
      </c>
      <c r="T9" s="195"/>
      <c r="U9" s="195"/>
      <c r="V9" s="195"/>
      <c r="W9" s="195"/>
      <c r="X9" s="195"/>
      <c r="Y9" s="195"/>
      <c r="Z9" s="195"/>
      <c r="AA9" s="435"/>
      <c r="AB9" s="435" t="str">
        <f>IF(AI9=0,DATE(AC9,AE9,AG9),"空欄あり")</f>
        <v>空欄あり</v>
      </c>
      <c r="AC9" s="195">
        <f>'入力シート（第２年度報告書）'!G3</f>
        <v>0</v>
      </c>
      <c r="AD9" s="195" t="str">
        <f>'入力シート（第２年度報告書）'!H3</f>
        <v>年</v>
      </c>
      <c r="AE9" s="195">
        <f>'入力シート（第２年度報告書）'!I3</f>
        <v>0</v>
      </c>
      <c r="AF9" s="195" t="str">
        <f>'入力シート（第２年度報告書）'!J3</f>
        <v>月</v>
      </c>
      <c r="AG9" s="195">
        <f>'入力シート（第２年度報告書）'!K3</f>
        <v>0</v>
      </c>
      <c r="AH9" s="195" t="str">
        <f>'入力シート（第２年度報告書）'!L3</f>
        <v>日</v>
      </c>
      <c r="AI9" s="195">
        <f>COUNTIF(AC9:AG9,0)</f>
        <v>3</v>
      </c>
      <c r="AJ9" s="195"/>
      <c r="AK9" s="195"/>
    </row>
    <row r="10" spans="1:37" s="10" customFormat="1" ht="16">
      <c r="T10" s="195"/>
      <c r="U10" s="195"/>
      <c r="V10" s="195"/>
      <c r="W10" s="195"/>
      <c r="X10" s="195"/>
      <c r="Y10" s="195"/>
      <c r="Z10" s="195"/>
      <c r="AA10" s="435"/>
      <c r="AB10" s="435" t="str">
        <f>IF(AI10=0,DATE(AC10,AE10,AG10),"空欄あり")</f>
        <v>空欄あり</v>
      </c>
      <c r="AC10" s="195">
        <f>'入力シート（第３年度報告書）'!G3</f>
        <v>0</v>
      </c>
      <c r="AD10" s="195" t="str">
        <f>'入力シート（第３年度報告書）'!H3</f>
        <v>年</v>
      </c>
      <c r="AE10" s="195">
        <f>'入力シート（第３年度報告書）'!I3</f>
        <v>0</v>
      </c>
      <c r="AF10" s="195" t="str">
        <f>'入力シート（第３年度報告書）'!J3</f>
        <v>月</v>
      </c>
      <c r="AG10" s="195">
        <f>'入力シート（第３年度報告書）'!K3</f>
        <v>0</v>
      </c>
      <c r="AH10" s="195" t="str">
        <f>'入力シート（第３年度報告書）'!L3</f>
        <v>日</v>
      </c>
      <c r="AI10" s="195">
        <f>COUNTIF(AC10:AG10,0)</f>
        <v>3</v>
      </c>
      <c r="AJ10" s="195"/>
      <c r="AK10" s="195"/>
    </row>
    <row r="11" spans="1:37" s="10" customFormat="1" ht="27" customHeight="1">
      <c r="I11" s="1120" t="s">
        <v>4</v>
      </c>
      <c r="J11" s="1120"/>
      <c r="L11" s="1124" t="str">
        <f>IF('入力シート（事業者情報）'!E6="","",'入力シート（事業者情報）'!E6)</f>
        <v/>
      </c>
      <c r="M11" s="1124"/>
      <c r="N11" s="1124"/>
      <c r="O11" s="1124"/>
      <c r="P11" s="1124"/>
      <c r="Q11" s="1124"/>
      <c r="R11" s="1124"/>
      <c r="AA11" s="195"/>
      <c r="AB11" s="195"/>
      <c r="AC11" s="195"/>
      <c r="AD11" s="195"/>
      <c r="AE11" s="195"/>
      <c r="AF11" s="195"/>
      <c r="AG11" s="195"/>
      <c r="AH11" s="195"/>
      <c r="AI11" s="195"/>
    </row>
    <row r="12" spans="1:37" s="10" customFormat="1" ht="27" customHeight="1">
      <c r="I12" s="1120" t="s">
        <v>19</v>
      </c>
      <c r="J12" s="1120"/>
      <c r="L12" s="1124" t="str">
        <f>IF('入力シート（事業者情報）'!E5="","",'入力シート（事業者情報）'!E5)</f>
        <v/>
      </c>
      <c r="M12" s="1124"/>
      <c r="N12" s="1124"/>
      <c r="O12" s="1124"/>
      <c r="P12" s="1124"/>
      <c r="Q12" s="1124"/>
      <c r="R12" s="1124"/>
      <c r="AA12" s="195"/>
      <c r="AB12" s="195"/>
      <c r="AC12" s="195"/>
      <c r="AD12" s="195"/>
      <c r="AE12" s="195"/>
      <c r="AF12" s="195"/>
      <c r="AG12" s="195"/>
      <c r="AH12" s="195"/>
      <c r="AI12" s="195"/>
    </row>
    <row r="13" spans="1:37" s="10" customFormat="1" ht="27" customHeight="1">
      <c r="I13" s="1120" t="s">
        <v>34</v>
      </c>
      <c r="J13" s="1120"/>
      <c r="L13" s="1124" t="str">
        <f>IF('入力シート（事業者情報）'!E7="","",'入力シート（事業者情報）'!E7)</f>
        <v/>
      </c>
      <c r="M13" s="1124"/>
      <c r="N13" s="1124"/>
      <c r="O13" s="1124"/>
      <c r="P13" s="1124"/>
      <c r="Q13" s="1124"/>
      <c r="R13" s="1124"/>
      <c r="S13" s="408"/>
      <c r="AA13" s="195"/>
      <c r="AB13" s="195"/>
      <c r="AC13" s="195"/>
      <c r="AD13" s="195"/>
      <c r="AE13" s="195"/>
      <c r="AF13" s="195"/>
      <c r="AG13" s="195"/>
      <c r="AH13" s="195"/>
      <c r="AI13" s="195"/>
    </row>
    <row r="14" spans="1:37" s="10" customFormat="1" ht="16">
      <c r="AA14" s="195"/>
      <c r="AB14" s="195"/>
      <c r="AC14" s="195"/>
      <c r="AD14" s="195"/>
      <c r="AE14" s="195"/>
      <c r="AF14" s="195"/>
      <c r="AG14" s="195"/>
      <c r="AH14" s="195"/>
      <c r="AI14" s="195"/>
    </row>
    <row r="15" spans="1:37" s="10" customFormat="1" ht="16">
      <c r="C15" s="1123" t="s">
        <v>3999</v>
      </c>
      <c r="D15" s="1123"/>
      <c r="E15" s="1123"/>
      <c r="F15" s="1123"/>
      <c r="G15" s="1123"/>
      <c r="H15" s="1123"/>
      <c r="I15" s="1123"/>
      <c r="J15" s="1123"/>
      <c r="K15" s="1123"/>
      <c r="L15" s="1123"/>
      <c r="M15" s="1123"/>
      <c r="N15" s="1123"/>
      <c r="O15" s="1123"/>
      <c r="P15" s="1123"/>
      <c r="Q15" s="1123"/>
      <c r="R15" s="1123"/>
      <c r="S15" s="1123"/>
      <c r="AA15" s="195"/>
      <c r="AB15" s="195"/>
      <c r="AC15" s="195"/>
      <c r="AD15" s="195"/>
      <c r="AE15" s="195"/>
      <c r="AF15" s="195"/>
      <c r="AG15" s="195"/>
      <c r="AH15" s="195"/>
      <c r="AI15" s="195"/>
    </row>
    <row r="16" spans="1:37" s="10" customFormat="1" ht="16">
      <c r="C16" s="1123"/>
      <c r="D16" s="1123"/>
      <c r="E16" s="1123"/>
      <c r="F16" s="1123"/>
      <c r="G16" s="1123"/>
      <c r="H16" s="1123"/>
      <c r="I16" s="1123"/>
      <c r="J16" s="1123"/>
      <c r="K16" s="1123"/>
      <c r="L16" s="1123"/>
      <c r="M16" s="1123"/>
      <c r="N16" s="1123"/>
      <c r="O16" s="1123"/>
      <c r="P16" s="1123"/>
      <c r="Q16" s="1123"/>
      <c r="R16" s="1123"/>
      <c r="S16" s="1123"/>
      <c r="AA16" s="195"/>
      <c r="AB16" s="195"/>
      <c r="AC16" s="195"/>
      <c r="AD16" s="195"/>
      <c r="AE16" s="195"/>
      <c r="AF16" s="195"/>
      <c r="AG16" s="195"/>
      <c r="AH16" s="195"/>
      <c r="AI16" s="195"/>
    </row>
    <row r="17" spans="3:35" s="10" customFormat="1" ht="16">
      <c r="AA17" s="195"/>
      <c r="AB17" s="195"/>
      <c r="AC17" s="195"/>
      <c r="AD17" s="195"/>
      <c r="AE17" s="195"/>
      <c r="AF17" s="195"/>
      <c r="AG17" s="195"/>
      <c r="AH17" s="195"/>
      <c r="AI17" s="195"/>
    </row>
    <row r="18" spans="3:35" s="10" customFormat="1" ht="27" customHeight="1">
      <c r="C18" s="1194" t="s">
        <v>5</v>
      </c>
      <c r="D18" s="1194"/>
      <c r="E18" s="1194"/>
      <c r="F18" s="1113" t="str">
        <f>IF(L12="","",L12)</f>
        <v/>
      </c>
      <c r="G18" s="1113"/>
      <c r="H18" s="1113"/>
      <c r="I18" s="1113"/>
      <c r="J18" s="1113"/>
      <c r="K18" s="1113"/>
      <c r="L18" s="1113"/>
      <c r="M18" s="1113"/>
      <c r="N18" s="1113"/>
      <c r="O18" s="1113"/>
      <c r="P18" s="1113"/>
      <c r="Q18" s="1113"/>
      <c r="R18" s="1113"/>
      <c r="S18" s="1113"/>
      <c r="AA18" s="195"/>
      <c r="AB18" s="195"/>
      <c r="AC18" s="195"/>
      <c r="AD18" s="195"/>
      <c r="AE18" s="195"/>
      <c r="AF18" s="195"/>
      <c r="AG18" s="195"/>
      <c r="AH18" s="195"/>
      <c r="AI18" s="195"/>
    </row>
    <row r="19" spans="3:35" s="10" customFormat="1" ht="27" customHeight="1">
      <c r="C19" s="1194" t="s">
        <v>6</v>
      </c>
      <c r="D19" s="1194"/>
      <c r="E19" s="1194"/>
      <c r="F19" s="1113" t="str">
        <f>IF('入力シート（事業者情報）'!E12="","",'入力シート（事業者情報）'!E12)</f>
        <v/>
      </c>
      <c r="G19" s="1113"/>
      <c r="H19" s="1113"/>
      <c r="I19" s="1113"/>
      <c r="J19" s="1113"/>
      <c r="K19" s="1113"/>
      <c r="L19" s="1113"/>
      <c r="M19" s="1113"/>
      <c r="N19" s="1113"/>
      <c r="O19" s="1113"/>
      <c r="P19" s="1113"/>
      <c r="Q19" s="1113"/>
      <c r="R19" s="1113"/>
      <c r="S19" s="1113"/>
      <c r="AA19" s="195"/>
      <c r="AB19" s="195"/>
      <c r="AC19" s="195"/>
      <c r="AD19" s="195"/>
      <c r="AE19" s="195"/>
      <c r="AF19" s="195"/>
      <c r="AG19" s="195"/>
      <c r="AH19" s="195"/>
      <c r="AI19" s="195"/>
    </row>
    <row r="20" spans="3:35" s="10" customFormat="1" ht="27" customHeight="1">
      <c r="C20" s="1194" t="s">
        <v>7</v>
      </c>
      <c r="D20" s="1194"/>
      <c r="E20" s="1194"/>
      <c r="F20" s="1113" t="str">
        <f>IF('入力シート（事業者情報）'!E14="","",'入力シート（事業者情報）'!E14)</f>
        <v/>
      </c>
      <c r="G20" s="1113"/>
      <c r="H20" s="1113"/>
      <c r="I20" s="1113"/>
      <c r="J20" s="1113"/>
      <c r="K20" s="1113"/>
      <c r="L20" s="1113"/>
      <c r="M20" s="1113"/>
      <c r="N20" s="1113"/>
      <c r="O20" s="1113"/>
      <c r="P20" s="1113"/>
      <c r="Q20" s="1113"/>
      <c r="R20" s="1113"/>
      <c r="S20" s="1113"/>
      <c r="AA20" s="195"/>
      <c r="AB20" s="195"/>
      <c r="AC20" s="195"/>
      <c r="AD20" s="195"/>
      <c r="AE20" s="195"/>
      <c r="AF20" s="195"/>
      <c r="AG20" s="195"/>
      <c r="AH20" s="195"/>
      <c r="AI20" s="195"/>
    </row>
    <row r="21" spans="3:35" s="10" customFormat="1" ht="18.75" customHeight="1">
      <c r="C21" s="410"/>
      <c r="D21" s="410"/>
      <c r="E21" s="410"/>
      <c r="F21" s="409"/>
      <c r="G21" s="409"/>
      <c r="H21" s="409"/>
      <c r="I21" s="409"/>
      <c r="J21" s="409"/>
      <c r="K21" s="409"/>
      <c r="L21" s="409"/>
      <c r="M21" s="409"/>
      <c r="N21" s="409"/>
      <c r="O21" s="409"/>
      <c r="P21" s="409"/>
      <c r="Q21" s="409"/>
      <c r="R21" s="409"/>
      <c r="AA21" s="195"/>
      <c r="AB21" s="195"/>
      <c r="AC21" s="195"/>
      <c r="AD21" s="195"/>
      <c r="AE21" s="195"/>
      <c r="AF21" s="195"/>
      <c r="AG21" s="195"/>
      <c r="AH21" s="195"/>
      <c r="AI21" s="195"/>
    </row>
    <row r="22" spans="3:35" s="10" customFormat="1" ht="33.75" customHeight="1">
      <c r="C22" s="1125" t="s">
        <v>3046</v>
      </c>
      <c r="D22" s="1126"/>
      <c r="E22" s="1127"/>
      <c r="F22" s="89" t="str">
        <f>IF('入力シート（事業者情報）'!S9=TRUE,"〇","")</f>
        <v/>
      </c>
      <c r="G22" s="1113" t="s">
        <v>3984</v>
      </c>
      <c r="H22" s="1113"/>
      <c r="I22" s="1113"/>
      <c r="J22" s="1113"/>
      <c r="K22" s="1113"/>
      <c r="L22" s="1113"/>
      <c r="M22" s="1113"/>
      <c r="N22" s="1113"/>
      <c r="O22" s="1113"/>
      <c r="P22" s="1113"/>
      <c r="Q22" s="1113"/>
      <c r="R22" s="1113"/>
      <c r="S22" s="1113"/>
      <c r="AA22" s="195"/>
      <c r="AB22" s="195"/>
      <c r="AC22" s="195"/>
      <c r="AD22" s="195"/>
      <c r="AE22" s="195"/>
      <c r="AF22" s="195"/>
      <c r="AG22" s="195"/>
      <c r="AH22" s="195"/>
      <c r="AI22" s="195"/>
    </row>
    <row r="23" spans="3:35" s="10" customFormat="1" ht="33.75" customHeight="1">
      <c r="C23" s="1128"/>
      <c r="D23" s="1129"/>
      <c r="E23" s="1130"/>
      <c r="F23" s="89" t="str">
        <f>IF('入力シート（事業者情報）'!S10=TRUE,"〇","")</f>
        <v/>
      </c>
      <c r="G23" s="1113" t="s">
        <v>4510</v>
      </c>
      <c r="H23" s="1113"/>
      <c r="I23" s="1113"/>
      <c r="J23" s="1113"/>
      <c r="K23" s="1113"/>
      <c r="L23" s="1113"/>
      <c r="M23" s="1113"/>
      <c r="N23" s="1113"/>
      <c r="O23" s="1113"/>
      <c r="P23" s="1113"/>
      <c r="Q23" s="1113"/>
      <c r="R23" s="1113"/>
      <c r="S23" s="1113"/>
      <c r="AA23" s="195"/>
      <c r="AB23" s="195"/>
      <c r="AC23" s="195"/>
      <c r="AD23" s="195"/>
      <c r="AE23" s="195"/>
      <c r="AF23" s="195"/>
      <c r="AG23" s="195"/>
      <c r="AH23" s="195"/>
      <c r="AI23" s="195"/>
    </row>
    <row r="24" spans="3:35" s="10" customFormat="1" ht="33.75" customHeight="1">
      <c r="C24" s="1131"/>
      <c r="D24" s="1132"/>
      <c r="E24" s="1133"/>
      <c r="F24" s="89" t="str">
        <f>IF('入力シート（事業者情報）'!S11=TRUE,"〇","")</f>
        <v>〇</v>
      </c>
      <c r="G24" s="1113" t="s">
        <v>4000</v>
      </c>
      <c r="H24" s="1113"/>
      <c r="I24" s="1113"/>
      <c r="J24" s="1113"/>
      <c r="K24" s="1113"/>
      <c r="L24" s="1113"/>
      <c r="M24" s="1113"/>
      <c r="N24" s="1113"/>
      <c r="O24" s="1113"/>
      <c r="P24" s="1113"/>
      <c r="Q24" s="1113"/>
      <c r="R24" s="1113"/>
      <c r="S24" s="1113"/>
      <c r="AA24" s="195"/>
      <c r="AB24" s="195"/>
      <c r="AC24" s="195"/>
      <c r="AD24" s="195"/>
      <c r="AE24" s="195"/>
      <c r="AF24" s="195"/>
      <c r="AG24" s="195"/>
      <c r="AH24" s="195"/>
      <c r="AI24" s="195"/>
    </row>
    <row r="25" spans="3:35" s="10" customFormat="1" ht="18.75" customHeight="1">
      <c r="AA25" s="195"/>
      <c r="AB25" s="195"/>
      <c r="AC25" s="195"/>
      <c r="AD25" s="195"/>
      <c r="AE25" s="195"/>
      <c r="AF25" s="195"/>
      <c r="AG25" s="195"/>
      <c r="AH25" s="195"/>
      <c r="AI25" s="195"/>
    </row>
    <row r="26" spans="3:35" s="10" customFormat="1" ht="27" customHeight="1">
      <c r="C26" s="1190" t="s">
        <v>4001</v>
      </c>
      <c r="D26" s="1190"/>
      <c r="E26" s="1190"/>
      <c r="F26" s="1093" t="s">
        <v>11</v>
      </c>
      <c r="G26" s="1095"/>
      <c r="H26" s="1108" t="s">
        <v>12</v>
      </c>
      <c r="I26" s="1109"/>
      <c r="J26" s="1113" t="str">
        <f>IF('入力シート（事業者情報）'!E19="","",'入力シート（事業者情報）'!E19)</f>
        <v/>
      </c>
      <c r="K26" s="1113"/>
      <c r="L26" s="1113"/>
      <c r="M26" s="1113"/>
      <c r="N26" s="1113"/>
      <c r="O26" s="1113"/>
      <c r="P26" s="1113"/>
      <c r="Q26" s="1113"/>
      <c r="R26" s="1113"/>
      <c r="S26" s="1113"/>
      <c r="AA26" s="195"/>
      <c r="AB26" s="195"/>
      <c r="AC26" s="195"/>
      <c r="AD26" s="195"/>
      <c r="AE26" s="195"/>
      <c r="AF26" s="195"/>
      <c r="AG26" s="195"/>
      <c r="AH26" s="195"/>
      <c r="AI26" s="195"/>
    </row>
    <row r="27" spans="3:35" s="10" customFormat="1" ht="27" customHeight="1">
      <c r="C27" s="1190"/>
      <c r="D27" s="1190"/>
      <c r="E27" s="1190"/>
      <c r="F27" s="1096"/>
      <c r="G27" s="1098"/>
      <c r="H27" s="1108" t="s">
        <v>13</v>
      </c>
      <c r="I27" s="1109"/>
      <c r="J27" s="1113" t="str">
        <f>IF('入力シート（事業者情報）'!E22="","",'入力シート（事業者情報）'!E22)</f>
        <v/>
      </c>
      <c r="K27" s="1113"/>
      <c r="L27" s="1113"/>
      <c r="M27" s="1113"/>
      <c r="N27" s="1113"/>
      <c r="O27" s="1113"/>
      <c r="P27" s="1113"/>
      <c r="Q27" s="1113"/>
      <c r="R27" s="1113"/>
      <c r="S27" s="1113"/>
      <c r="AA27" s="195"/>
      <c r="AB27" s="195"/>
      <c r="AC27" s="195"/>
      <c r="AD27" s="195"/>
      <c r="AE27" s="195"/>
      <c r="AF27" s="195"/>
      <c r="AG27" s="195"/>
      <c r="AH27" s="195"/>
      <c r="AI27" s="195"/>
    </row>
    <row r="28" spans="3:35" s="10" customFormat="1" ht="27" customHeight="1">
      <c r="C28" s="1190"/>
      <c r="D28" s="1190"/>
      <c r="E28" s="1190"/>
      <c r="F28" s="1108" t="s">
        <v>3053</v>
      </c>
      <c r="G28" s="1110"/>
      <c r="H28" s="1110"/>
      <c r="I28" s="1109"/>
      <c r="J28" s="1113" t="str">
        <f>IF('入力シート（事業者情報）'!F20="","",'入力シート（事業者情報）'!F20 &amp; "-")  &amp; IF('入力シート（事業者情報）'!H20="","",'入力シート（事業者情報）'!H20)</f>
        <v/>
      </c>
      <c r="K28" s="1113"/>
      <c r="L28" s="1113"/>
      <c r="M28" s="1113"/>
      <c r="N28" s="1113"/>
      <c r="O28" s="1113"/>
      <c r="P28" s="1113"/>
      <c r="Q28" s="1113"/>
      <c r="R28" s="1113"/>
      <c r="S28" s="1113"/>
      <c r="AA28" s="195"/>
      <c r="AB28" s="195"/>
      <c r="AC28" s="195"/>
      <c r="AD28" s="195"/>
      <c r="AE28" s="195"/>
      <c r="AF28" s="195"/>
      <c r="AG28" s="195"/>
      <c r="AH28" s="195"/>
      <c r="AI28" s="195"/>
    </row>
    <row r="29" spans="3:35" s="10" customFormat="1" ht="27" customHeight="1">
      <c r="C29" s="1190"/>
      <c r="D29" s="1190"/>
      <c r="E29" s="1190"/>
      <c r="F29" s="1108" t="s">
        <v>4002</v>
      </c>
      <c r="G29" s="1110"/>
      <c r="H29" s="1110"/>
      <c r="I29" s="1109"/>
      <c r="J29" s="1113" t="str">
        <f>IF('入力シート（事業者情報）'!E21="","",'入力シート（事業者情報）'!E21)</f>
        <v/>
      </c>
      <c r="K29" s="1113"/>
      <c r="L29" s="1113"/>
      <c r="M29" s="1113"/>
      <c r="N29" s="1113"/>
      <c r="O29" s="1113"/>
      <c r="P29" s="1113"/>
      <c r="Q29" s="1113"/>
      <c r="R29" s="1113"/>
      <c r="S29" s="1113"/>
      <c r="AA29" s="195"/>
      <c r="AB29" s="195"/>
      <c r="AC29" s="195"/>
      <c r="AD29" s="195"/>
      <c r="AE29" s="195"/>
      <c r="AF29" s="195"/>
      <c r="AG29" s="195"/>
      <c r="AH29" s="195"/>
      <c r="AI29" s="195"/>
    </row>
    <row r="30" spans="3:35" s="10" customFormat="1" ht="27" customHeight="1">
      <c r="C30" s="1190"/>
      <c r="D30" s="1190"/>
      <c r="E30" s="1190"/>
      <c r="F30" s="1108" t="s">
        <v>4003</v>
      </c>
      <c r="G30" s="1110"/>
      <c r="H30" s="1110"/>
      <c r="I30" s="1109"/>
      <c r="J30" s="1113" t="str">
        <f>IF('入力シート（事業者情報）'!E23="","",'入力シート（事業者情報）'!E23)</f>
        <v/>
      </c>
      <c r="K30" s="1113"/>
      <c r="L30" s="1113"/>
      <c r="M30" s="1113"/>
      <c r="N30" s="1113"/>
      <c r="O30" s="1113"/>
      <c r="P30" s="1113"/>
      <c r="Q30" s="1113"/>
      <c r="R30" s="1113"/>
      <c r="S30" s="1113"/>
      <c r="AA30" s="195"/>
      <c r="AB30" s="195"/>
      <c r="AC30" s="195"/>
      <c r="AD30" s="195"/>
      <c r="AE30" s="195"/>
      <c r="AF30" s="195"/>
      <c r="AG30" s="195"/>
      <c r="AH30" s="195"/>
      <c r="AI30" s="195"/>
    </row>
    <row r="31" spans="3:35" s="10" customFormat="1" ht="27" customHeight="1">
      <c r="C31" s="1190"/>
      <c r="D31" s="1190"/>
      <c r="E31" s="1190"/>
      <c r="F31" s="1108" t="s">
        <v>4004</v>
      </c>
      <c r="G31" s="1110"/>
      <c r="H31" s="1110"/>
      <c r="I31" s="1109"/>
      <c r="J31" s="1113" t="str">
        <f>IF('入力シート（事業者情報）'!E24="","",'入力シート（事業者情報）'!E24)</f>
        <v/>
      </c>
      <c r="K31" s="1113"/>
      <c r="L31" s="1113"/>
      <c r="M31" s="1113"/>
      <c r="N31" s="1113"/>
      <c r="O31" s="1113"/>
      <c r="P31" s="1113"/>
      <c r="Q31" s="1113"/>
      <c r="R31" s="1113"/>
      <c r="S31" s="1113"/>
      <c r="AA31" s="195"/>
      <c r="AB31" s="195"/>
      <c r="AC31" s="195"/>
      <c r="AD31" s="195"/>
      <c r="AE31" s="195"/>
      <c r="AF31" s="195"/>
      <c r="AG31" s="195"/>
      <c r="AH31" s="195"/>
      <c r="AI31" s="195"/>
    </row>
    <row r="32" spans="3:35" s="10" customFormat="1" ht="6.75" customHeight="1">
      <c r="AA32" s="195"/>
      <c r="AB32" s="195"/>
      <c r="AC32" s="195"/>
      <c r="AD32" s="195"/>
      <c r="AE32" s="195"/>
      <c r="AF32" s="195"/>
      <c r="AG32" s="195"/>
      <c r="AH32" s="195"/>
      <c r="AI32" s="195"/>
    </row>
    <row r="33" spans="3:35" s="10" customFormat="1" ht="6.75" customHeight="1">
      <c r="AA33" s="195"/>
      <c r="AB33" s="195"/>
      <c r="AC33" s="195"/>
      <c r="AD33" s="195"/>
      <c r="AE33" s="195"/>
      <c r="AF33" s="195"/>
      <c r="AG33" s="195"/>
      <c r="AH33" s="195"/>
      <c r="AI33" s="195"/>
    </row>
    <row r="34" spans="3:35" s="10" customFormat="1" ht="55.5" customHeight="1">
      <c r="C34" s="1189" t="s">
        <v>14</v>
      </c>
      <c r="D34" s="1112"/>
      <c r="E34" s="1112"/>
      <c r="F34" s="1112"/>
      <c r="G34" s="1112"/>
      <c r="H34" s="411" t="s">
        <v>15</v>
      </c>
      <c r="I34" s="436"/>
      <c r="J34" s="1111"/>
      <c r="K34" s="1111"/>
      <c r="L34" s="1111"/>
      <c r="M34" s="1111"/>
      <c r="N34" s="1111"/>
      <c r="O34" s="1111"/>
      <c r="P34" s="1111"/>
      <c r="Q34" s="1111"/>
      <c r="R34" s="1111"/>
      <c r="S34" s="1111"/>
      <c r="AA34" s="195"/>
      <c r="AB34" s="195"/>
      <c r="AC34" s="195"/>
      <c r="AD34" s="195"/>
      <c r="AE34" s="195"/>
      <c r="AF34" s="195"/>
      <c r="AG34" s="195"/>
      <c r="AH34" s="195"/>
      <c r="AI34" s="195"/>
    </row>
    <row r="35" spans="3:35" s="10" customFormat="1" ht="55.5" customHeight="1">
      <c r="C35" s="1189"/>
      <c r="D35" s="1112"/>
      <c r="E35" s="1112"/>
      <c r="F35" s="1112"/>
      <c r="G35" s="1112"/>
      <c r="H35" s="1108" t="s">
        <v>16</v>
      </c>
      <c r="I35" s="1109"/>
      <c r="J35" s="1112"/>
      <c r="K35" s="1112"/>
      <c r="L35" s="1112"/>
      <c r="M35" s="1112"/>
      <c r="N35" s="1112"/>
      <c r="O35" s="1112"/>
      <c r="P35" s="1112"/>
      <c r="Q35" s="1112"/>
      <c r="R35" s="1112"/>
      <c r="S35" s="1112"/>
      <c r="AA35" s="195"/>
      <c r="AB35" s="195"/>
      <c r="AC35" s="195"/>
      <c r="AD35" s="195"/>
      <c r="AE35" s="195"/>
      <c r="AF35" s="195"/>
      <c r="AG35" s="195"/>
      <c r="AH35" s="195"/>
      <c r="AI35" s="195"/>
    </row>
  </sheetData>
  <sheetProtection algorithmName="SHA-512" hashValue="tR2kLKAkiYuYHjizoAq06ghsjF4ULwpY8HGZS2GmAFVJcMO1DMWaSCQSxn7lgwi6pReUnDo2nw0tzLnDdFmvmw==" saltValue="/yNkItUj4AQITRIwkUl+zg==" spinCount="100000" sheet="1" objects="1" scenarios="1" selectLockedCells="1"/>
  <mergeCells count="38">
    <mergeCell ref="C2:E2"/>
    <mergeCell ref="F30:I30"/>
    <mergeCell ref="J30:S30"/>
    <mergeCell ref="C20:E20"/>
    <mergeCell ref="F20:S20"/>
    <mergeCell ref="D6:R6"/>
    <mergeCell ref="I11:J11"/>
    <mergeCell ref="L11:R11"/>
    <mergeCell ref="I12:J12"/>
    <mergeCell ref="L12:R12"/>
    <mergeCell ref="I13:J13"/>
    <mergeCell ref="L13:R13"/>
    <mergeCell ref="C15:S16"/>
    <mergeCell ref="C18:E18"/>
    <mergeCell ref="F18:S18"/>
    <mergeCell ref="C19:E19"/>
    <mergeCell ref="F19:S19"/>
    <mergeCell ref="C22:E24"/>
    <mergeCell ref="G22:S22"/>
    <mergeCell ref="G23:S23"/>
    <mergeCell ref="G24:S24"/>
    <mergeCell ref="C26:E31"/>
    <mergeCell ref="F26:G27"/>
    <mergeCell ref="H26:I26"/>
    <mergeCell ref="J26:S26"/>
    <mergeCell ref="H27:I27"/>
    <mergeCell ref="J27:S27"/>
    <mergeCell ref="F28:I28"/>
    <mergeCell ref="J28:S28"/>
    <mergeCell ref="F29:I29"/>
    <mergeCell ref="J29:S29"/>
    <mergeCell ref="F31:I31"/>
    <mergeCell ref="J31:S31"/>
    <mergeCell ref="C34:C35"/>
    <mergeCell ref="D34:G35"/>
    <mergeCell ref="J34:S34"/>
    <mergeCell ref="H35:I35"/>
    <mergeCell ref="J35:S35"/>
  </mergeCells>
  <phoneticPr fontId="1"/>
  <printOptions horizontalCentered="1" verticalCentered="1"/>
  <pageMargins left="0.70866141732283472" right="0.55118110236220474" top="0.74803149606299213" bottom="0.74803149606299213" header="0.31496062992125984" footer="0.31496062992125984"/>
  <pageSetup paperSize="9" orientation="portrait" r:id="rId1"/>
  <headerFooter>
    <oddHeader>&amp;L&amp;"メイリオ,レギュラー"様式第４号</oddHeader>
    <oddFooter>&amp;R&amp;"メイリオ,レギュラー"&amp;8（特定事業者（運送事業者）用</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58D15B-36E8-478E-8EEB-9E6BBDEE1584}">
          <x14:formula1>
            <xm:f>OFFSET(基本設定シート!$C$13,0,0,基本設定シート!$H$13)</xm:f>
          </x14:formula1>
          <xm:sqref>C2:E2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theme="6" tint="-0.249977111117893"/>
    <pageSetUpPr autoPageBreaks="0"/>
  </sheetPr>
  <dimension ref="A1:AJ62"/>
  <sheetViews>
    <sheetView showGridLines="0" view="pageBreakPreview" topLeftCell="B1" zoomScaleNormal="100" zoomScaleSheetLayoutView="100" workbookViewId="0">
      <pane ySplit="6" topLeftCell="A7" activePane="bottomLeft" state="frozen"/>
      <selection activeCell="K7" sqref="K7"/>
      <selection pane="bottomLeft"/>
    </sheetView>
  </sheetViews>
  <sheetFormatPr defaultColWidth="8.90625" defaultRowHeight="17.5"/>
  <cols>
    <col min="1" max="1" width="0" style="191" hidden="1" customWidth="1"/>
    <col min="2" max="2" width="0.453125" style="191" customWidth="1"/>
    <col min="3" max="3" width="18.08984375" style="191" customWidth="1"/>
    <col min="4" max="17" width="6.08984375" style="191" customWidth="1"/>
    <col min="18" max="18" width="9.81640625" style="191" customWidth="1"/>
    <col min="19" max="21" width="6.08984375" style="191" customWidth="1"/>
    <col min="22" max="26" width="5.6328125" style="191" customWidth="1"/>
    <col min="27" max="27" width="6.08984375" style="191" hidden="1" customWidth="1"/>
    <col min="28" max="28" width="12.6328125" style="191" hidden="1" customWidth="1"/>
    <col min="29" max="29" width="9.453125" style="191" hidden="1" customWidth="1"/>
    <col min="30" max="30" width="12.08984375" style="191" hidden="1" customWidth="1"/>
    <col min="31" max="31" width="5.6328125" style="191" hidden="1" customWidth="1"/>
    <col min="32" max="32" width="8.08984375" style="191" hidden="1" customWidth="1"/>
    <col min="33" max="36" width="5.6328125" style="191" hidden="1" customWidth="1"/>
    <col min="37" max="41" width="5.6328125" style="191" customWidth="1"/>
    <col min="42" max="16384" width="8.90625" style="191"/>
  </cols>
  <sheetData>
    <row r="1" spans="1:29" ht="3" customHeight="1" thickBot="1">
      <c r="A1" s="187"/>
      <c r="C1"/>
      <c r="D1"/>
      <c r="E1"/>
      <c r="F1"/>
      <c r="G1"/>
      <c r="H1"/>
      <c r="I1"/>
      <c r="J1"/>
      <c r="K1"/>
      <c r="L1" s="24"/>
      <c r="M1" s="24"/>
      <c r="N1" s="24"/>
      <c r="O1" s="24"/>
      <c r="P1" s="24"/>
      <c r="Q1" s="24"/>
      <c r="R1" s="24"/>
    </row>
    <row r="2" spans="1:29" ht="23.5" thickTop="1" thickBot="1">
      <c r="C2" s="704"/>
      <c r="D2" s="52" t="s">
        <v>4519</v>
      </c>
      <c r="E2" s="253"/>
      <c r="F2" s="253"/>
      <c r="G2" s="24"/>
      <c r="H2" s="437" t="s">
        <v>4520</v>
      </c>
      <c r="I2" s="24"/>
      <c r="J2" s="24"/>
      <c r="K2" s="24"/>
      <c r="L2" s="24"/>
      <c r="M2" s="24"/>
      <c r="N2" s="24"/>
      <c r="O2" s="24"/>
      <c r="P2" s="24"/>
      <c r="Q2" s="24"/>
      <c r="R2" s="24"/>
      <c r="AA2" s="191" t="s">
        <v>4226</v>
      </c>
      <c r="AB2" s="191">
        <f>'入力シート（計画書）'!$K$7</f>
        <v>0</v>
      </c>
    </row>
    <row r="3" spans="1:29" ht="3" customHeight="1" thickTop="1">
      <c r="C3" s="24"/>
      <c r="D3" s="24"/>
      <c r="E3" s="24"/>
      <c r="F3" s="24"/>
      <c r="G3" s="24"/>
      <c r="H3" s="24"/>
      <c r="I3" s="24"/>
      <c r="J3" s="24"/>
      <c r="K3" s="24"/>
      <c r="L3" s="24"/>
      <c r="M3" s="24"/>
      <c r="N3" s="24"/>
      <c r="O3" s="24"/>
      <c r="P3" s="24"/>
      <c r="Q3" s="24"/>
      <c r="R3" s="24"/>
    </row>
    <row r="4" spans="1:29" ht="17.399999999999999" customHeight="1">
      <c r="C4" s="24"/>
      <c r="D4" s="24"/>
      <c r="E4" s="24"/>
      <c r="F4" s="24"/>
      <c r="G4" s="24"/>
      <c r="H4" s="24"/>
      <c r="I4" s="24"/>
      <c r="J4" s="24"/>
      <c r="K4" s="24"/>
      <c r="L4" s="24"/>
      <c r="M4" s="24"/>
      <c r="N4" s="24"/>
      <c r="O4" s="24"/>
      <c r="P4" s="24"/>
      <c r="Q4" s="24"/>
      <c r="R4" s="24"/>
      <c r="AA4" s="191" t="s">
        <v>4517</v>
      </c>
      <c r="AB4" s="191">
        <f>IF(ISBLANK($C$2)=TRUE,0,C2)</f>
        <v>0</v>
      </c>
    </row>
    <row r="5" spans="1:29" ht="13.5" customHeight="1">
      <c r="C5" s="24"/>
      <c r="D5" s="24"/>
      <c r="E5" s="24"/>
      <c r="F5" s="24"/>
      <c r="G5" s="24"/>
      <c r="H5" s="24"/>
      <c r="I5" s="24"/>
      <c r="J5" s="24"/>
      <c r="K5" s="24"/>
      <c r="L5" s="24"/>
      <c r="M5" s="24"/>
      <c r="N5" s="24"/>
      <c r="O5" s="24"/>
      <c r="P5" s="24"/>
      <c r="Q5" s="24"/>
      <c r="R5" s="24"/>
      <c r="AA5" s="191" t="s">
        <v>4518</v>
      </c>
      <c r="AB5" s="191">
        <f>IF($C$2="",0,IF(AB4-AB2-1&lt;1,"",AB4-AB2-1))</f>
        <v>0</v>
      </c>
    </row>
    <row r="6" spans="1:29" s="443" customFormat="1" ht="28" customHeight="1">
      <c r="C6" s="438"/>
      <c r="D6" s="439" t="str">
        <f>"事業者温室効果ガス削減報告書概要（第"&amp;NUMBERSTRING(基本設定シート!B5,3)&amp;"計画期間）第 "&amp;IF(AB5=0,"",AB5)&amp;" 年度分"</f>
        <v>事業者温室効果ガス削減報告書概要（第三計画期間）第  年度分</v>
      </c>
      <c r="E6" s="439"/>
      <c r="F6" s="439"/>
      <c r="G6" s="439"/>
      <c r="H6" s="439"/>
      <c r="I6" s="439"/>
      <c r="J6" s="439"/>
      <c r="K6" s="439"/>
      <c r="L6" s="440"/>
      <c r="M6" s="438"/>
      <c r="N6" s="441"/>
      <c r="O6" s="438"/>
      <c r="P6" s="439"/>
      <c r="Q6" s="438"/>
      <c r="R6" s="439"/>
      <c r="S6" s="442"/>
      <c r="AA6" s="191"/>
      <c r="AB6" s="191"/>
    </row>
    <row r="7" spans="1:29" s="195" customFormat="1">
      <c r="C7" s="10"/>
      <c r="D7" s="10"/>
      <c r="E7" s="10"/>
      <c r="F7" s="10"/>
      <c r="G7" s="10"/>
      <c r="H7" s="10"/>
      <c r="I7" s="10"/>
      <c r="J7" s="10"/>
      <c r="K7" s="10"/>
      <c r="L7" s="10"/>
      <c r="M7" s="10"/>
      <c r="N7" s="10"/>
      <c r="O7" s="10"/>
      <c r="P7" s="10"/>
      <c r="Q7" s="10"/>
      <c r="R7" s="10"/>
      <c r="AC7" s="191"/>
    </row>
    <row r="8" spans="1:29" s="195" customFormat="1" ht="18" customHeight="1">
      <c r="C8" s="412" t="s">
        <v>71</v>
      </c>
      <c r="D8" s="10"/>
      <c r="E8" s="10"/>
      <c r="F8" s="10"/>
      <c r="G8" s="10"/>
      <c r="H8" s="10"/>
      <c r="I8" s="10"/>
      <c r="J8" s="10"/>
      <c r="K8" s="10"/>
      <c r="L8" s="10"/>
      <c r="M8" s="10"/>
      <c r="N8" s="10"/>
      <c r="O8" s="10"/>
      <c r="P8" s="10"/>
      <c r="Q8" s="10"/>
      <c r="R8" s="10"/>
      <c r="AC8" s="191"/>
    </row>
    <row r="9" spans="1:29" s="195" customFormat="1" ht="19.5" customHeight="1">
      <c r="C9" s="444" t="s">
        <v>5</v>
      </c>
      <c r="D9" s="1149" t="str">
        <f>IF('入力シート（事業者情報）'!E5="","",'入力シート（事業者情報）'!E5)</f>
        <v/>
      </c>
      <c r="E9" s="1149"/>
      <c r="F9" s="1149"/>
      <c r="G9" s="1149"/>
      <c r="H9" s="1149"/>
      <c r="I9" s="1149"/>
      <c r="J9" s="1149"/>
      <c r="K9" s="1149"/>
      <c r="L9" s="1149"/>
      <c r="M9" s="1149"/>
      <c r="N9" s="1149"/>
      <c r="O9" s="1149"/>
      <c r="P9" s="1149"/>
      <c r="Q9" s="1149"/>
      <c r="R9" s="1149"/>
      <c r="AC9" s="191"/>
    </row>
    <row r="10" spans="1:29" s="195" customFormat="1" ht="19.5" customHeight="1">
      <c r="C10" s="444" t="s">
        <v>6</v>
      </c>
      <c r="D10" s="1149" t="str">
        <f>IF('入力シート（事業者情報）'!E12="","",'入力シート（事業者情報）'!E12)</f>
        <v/>
      </c>
      <c r="E10" s="1149"/>
      <c r="F10" s="1149"/>
      <c r="G10" s="1149"/>
      <c r="H10" s="1149"/>
      <c r="I10" s="1149"/>
      <c r="J10" s="1149"/>
      <c r="K10" s="1149"/>
      <c r="L10" s="1149"/>
      <c r="M10" s="1149"/>
      <c r="N10" s="1149"/>
      <c r="O10" s="1149"/>
      <c r="P10" s="1149"/>
      <c r="Q10" s="1149"/>
      <c r="R10" s="1149"/>
      <c r="AC10" s="191"/>
    </row>
    <row r="11" spans="1:29" s="195" customFormat="1" ht="19.5" customHeight="1">
      <c r="C11" s="444" t="s">
        <v>7</v>
      </c>
      <c r="D11" s="1149" t="str">
        <f>IF('入力シート（事業者情報）'!E14="","",'入力シート（事業者情報）'!E14)</f>
        <v/>
      </c>
      <c r="E11" s="1149"/>
      <c r="F11" s="1149"/>
      <c r="G11" s="1149"/>
      <c r="H11" s="1149"/>
      <c r="I11" s="1149"/>
      <c r="J11" s="1149"/>
      <c r="K11" s="1149"/>
      <c r="L11" s="1149"/>
      <c r="M11" s="1149"/>
      <c r="N11" s="1149"/>
      <c r="O11" s="1149"/>
      <c r="P11" s="1149"/>
      <c r="Q11" s="1149"/>
      <c r="R11" s="1149"/>
    </row>
    <row r="12" spans="1:29" s="195" customFormat="1" ht="19.5" customHeight="1">
      <c r="C12" s="445" t="s">
        <v>4005</v>
      </c>
      <c r="D12" s="1137" t="str">
        <f>IF('入力シート（事業者情報）'!S15="","",'入力シート（事業者情報）'!S15)</f>
        <v/>
      </c>
      <c r="E12" s="1138"/>
      <c r="F12" s="1138"/>
      <c r="G12" s="1138"/>
      <c r="H12" s="1138"/>
      <c r="I12" s="1138"/>
      <c r="J12" s="1138"/>
      <c r="K12" s="1138"/>
      <c r="L12" s="1138"/>
      <c r="M12" s="1138"/>
      <c r="N12" s="1138"/>
      <c r="O12" s="1138"/>
      <c r="P12" s="1138"/>
      <c r="Q12" s="1138"/>
      <c r="R12" s="1139"/>
    </row>
    <row r="13" spans="1:29" s="195" customFormat="1" ht="19.5" customHeight="1">
      <c r="C13" s="1217" t="s">
        <v>3993</v>
      </c>
      <c r="D13" s="418" t="str">
        <f>IF('R2'!F22="","",'R2'!F22)</f>
        <v/>
      </c>
      <c r="E13" s="1137" t="s">
        <v>3992</v>
      </c>
      <c r="F13" s="1138"/>
      <c r="G13" s="1138"/>
      <c r="H13" s="1138"/>
      <c r="I13" s="1138"/>
      <c r="J13" s="1138"/>
      <c r="K13" s="1138"/>
      <c r="L13" s="1138"/>
      <c r="M13" s="1138"/>
      <c r="N13" s="1138"/>
      <c r="O13" s="1138"/>
      <c r="P13" s="1138"/>
      <c r="Q13" s="1138"/>
      <c r="R13" s="1139"/>
    </row>
    <row r="14" spans="1:29" s="195" customFormat="1" ht="19.5" customHeight="1">
      <c r="C14" s="1218"/>
      <c r="D14" s="418" t="str">
        <f>IF('R2'!F23="","",'R2'!F23)</f>
        <v/>
      </c>
      <c r="E14" s="1137" t="s">
        <v>3994</v>
      </c>
      <c r="F14" s="1138"/>
      <c r="G14" s="1138"/>
      <c r="H14" s="1138"/>
      <c r="I14" s="1138"/>
      <c r="J14" s="1138"/>
      <c r="K14" s="1138"/>
      <c r="L14" s="1138"/>
      <c r="M14" s="1138"/>
      <c r="N14" s="1138"/>
      <c r="O14" s="1138"/>
      <c r="P14" s="1138"/>
      <c r="Q14" s="1138"/>
      <c r="R14" s="1139"/>
    </row>
    <row r="15" spans="1:29" s="195" customFormat="1" ht="19.5" customHeight="1">
      <c r="C15" s="1219"/>
      <c r="D15" s="418" t="str">
        <f>IF('R2'!F24="","",'R2'!F24)</f>
        <v>〇</v>
      </c>
      <c r="E15" s="1137" t="s">
        <v>3995</v>
      </c>
      <c r="F15" s="1138"/>
      <c r="G15" s="1138"/>
      <c r="H15" s="1138"/>
      <c r="I15" s="1138"/>
      <c r="J15" s="1138"/>
      <c r="K15" s="1138"/>
      <c r="L15" s="1138"/>
      <c r="M15" s="1138"/>
      <c r="N15" s="1138"/>
      <c r="O15" s="1138"/>
      <c r="P15" s="1138"/>
      <c r="Q15" s="1138"/>
      <c r="R15" s="1139"/>
    </row>
    <row r="16" spans="1:29" s="195" customFormat="1" ht="63" hidden="1" customHeight="1">
      <c r="C16" s="28"/>
      <c r="D16" s="28"/>
      <c r="E16" s="28"/>
      <c r="F16" s="28"/>
      <c r="G16" s="28"/>
      <c r="H16" s="28"/>
      <c r="I16" s="28"/>
      <c r="J16" s="28"/>
      <c r="K16" s="28"/>
      <c r="L16" s="28"/>
      <c r="M16" s="28"/>
      <c r="N16" s="28"/>
      <c r="O16" s="28"/>
      <c r="P16" s="28"/>
      <c r="Q16" s="28"/>
      <c r="R16" s="28"/>
    </row>
    <row r="17" spans="3:21" s="195" customFormat="1" ht="18" customHeight="1">
      <c r="C17" s="446"/>
      <c r="D17" s="447"/>
      <c r="E17" s="447"/>
      <c r="F17" s="447"/>
      <c r="G17" s="447"/>
      <c r="H17" s="447"/>
      <c r="I17" s="447"/>
      <c r="J17" s="447"/>
      <c r="K17" s="447"/>
      <c r="L17" s="447"/>
      <c r="M17" s="447"/>
      <c r="N17" s="447"/>
      <c r="O17" s="447"/>
      <c r="P17" s="447"/>
      <c r="Q17" s="77"/>
      <c r="R17" s="77"/>
    </row>
    <row r="18" spans="3:21" s="195" customFormat="1" ht="18" customHeight="1">
      <c r="C18" s="448" t="s">
        <v>4006</v>
      </c>
      <c r="D18" s="77"/>
      <c r="E18" s="77"/>
      <c r="F18" s="77"/>
      <c r="G18" s="77"/>
      <c r="H18" s="77"/>
      <c r="I18" s="77"/>
      <c r="J18" s="77"/>
      <c r="K18" s="77"/>
      <c r="L18" s="77"/>
      <c r="M18" s="77"/>
      <c r="N18" s="77"/>
      <c r="O18" s="77"/>
      <c r="P18" s="77"/>
      <c r="Q18" s="77"/>
      <c r="R18" s="28"/>
      <c r="U18" s="449">
        <v>2</v>
      </c>
    </row>
    <row r="19" spans="3:21" s="195" customFormat="1" ht="36" customHeight="1">
      <c r="C19" s="1134" t="s">
        <v>4167</v>
      </c>
      <c r="D19" s="1140" t="s">
        <v>73</v>
      </c>
      <c r="E19" s="1141"/>
      <c r="F19" s="1154" t="str">
        <f>IF('入力シート（第３年度報告書）'!G130="","",'入力シート（第３年度報告書）'!G130)</f>
        <v/>
      </c>
      <c r="G19" s="1154"/>
      <c r="H19" s="773" t="s">
        <v>75</v>
      </c>
      <c r="I19" s="1150" t="s">
        <v>3981</v>
      </c>
      <c r="J19" s="1163"/>
      <c r="K19" s="1213" t="str">
        <f>IF('入力シート（第３年度報告書）'!N130="","",'入力シート（第３年度報告書）'!N130)</f>
        <v/>
      </c>
      <c r="L19" s="1214"/>
      <c r="M19" s="423" t="s">
        <v>4499</v>
      </c>
      <c r="N19" s="1150" t="s">
        <v>3983</v>
      </c>
      <c r="O19" s="1163"/>
      <c r="P19" s="1169" t="str">
        <f>IF('入力シート（第３年度報告書）'!Q130="","",'入力シート（第３年度報告書）'!Q130)</f>
        <v/>
      </c>
      <c r="Q19" s="1170"/>
      <c r="R19" s="423"/>
    </row>
    <row r="20" spans="3:21" s="195" customFormat="1" ht="36" customHeight="1">
      <c r="C20" s="1135"/>
      <c r="D20" s="1144"/>
      <c r="E20" s="1145"/>
      <c r="F20" s="1155"/>
      <c r="G20" s="1155"/>
      <c r="H20" s="777"/>
      <c r="I20" s="1160" t="s">
        <v>4429</v>
      </c>
      <c r="J20" s="1161"/>
      <c r="K20" s="1161"/>
      <c r="L20" s="1161"/>
      <c r="M20" s="1161"/>
      <c r="N20" s="1161"/>
      <c r="O20" s="1162"/>
      <c r="P20" s="1226" t="str">
        <f>IF('入力シート（第３年度報告書）'!Q131="","",'入力シート（第３年度報告書）'!Q131)</f>
        <v/>
      </c>
      <c r="Q20" s="1227"/>
      <c r="R20" s="702" t="s">
        <v>76</v>
      </c>
    </row>
    <row r="21" spans="3:21" s="195" customFormat="1" ht="36" customHeight="1">
      <c r="C21" s="1135"/>
      <c r="D21" s="1140" t="s">
        <v>105</v>
      </c>
      <c r="E21" s="1141"/>
      <c r="F21" s="1154" t="str">
        <f>IF('入力シート（第３年度報告書）'!G134="","",'入力シート（第３年度報告書）'!G134)</f>
        <v/>
      </c>
      <c r="G21" s="1154"/>
      <c r="H21" s="773" t="s">
        <v>75</v>
      </c>
      <c r="I21" s="1150" t="s">
        <v>3982</v>
      </c>
      <c r="J21" s="1163"/>
      <c r="K21" s="1213" t="str">
        <f>IF('入力シート（第３年度報告書）'!N134="","",'入力シート（第３年度報告書）'!N134)</f>
        <v/>
      </c>
      <c r="L21" s="1214"/>
      <c r="M21" s="423" t="s">
        <v>4499</v>
      </c>
      <c r="N21" s="1150" t="s">
        <v>109</v>
      </c>
      <c r="O21" s="1163"/>
      <c r="P21" s="1169" t="str">
        <f>IF('入力シート（第３年度報告書）'!Q134="","",'入力シート（第３年度報告書）'!Q134)</f>
        <v/>
      </c>
      <c r="Q21" s="1170"/>
      <c r="R21" s="423"/>
    </row>
    <row r="22" spans="3:21" s="195" customFormat="1" ht="36" customHeight="1">
      <c r="C22" s="1135"/>
      <c r="D22" s="1142"/>
      <c r="E22" s="1143"/>
      <c r="F22" s="1124"/>
      <c r="G22" s="1124"/>
      <c r="H22" s="775"/>
      <c r="I22" s="1140" t="s">
        <v>3980</v>
      </c>
      <c r="J22" s="1164"/>
      <c r="K22" s="1173" t="str">
        <f>IF('入力シート（第３年度報告書）'!N135="","",'入力シート（第３年度報告書）'!N135)</f>
        <v/>
      </c>
      <c r="L22" s="1174"/>
      <c r="M22" s="423" t="s">
        <v>106</v>
      </c>
      <c r="N22" s="1140" t="s">
        <v>3980</v>
      </c>
      <c r="O22" s="1164"/>
      <c r="P22" s="1173" t="str">
        <f>IF('入力シート（第３年度報告書）'!Q135="","",'入力シート（第３年度報告書）'!Q135)</f>
        <v/>
      </c>
      <c r="Q22" s="1174"/>
      <c r="R22" s="423" t="s">
        <v>106</v>
      </c>
    </row>
    <row r="23" spans="3:21" s="195" customFormat="1" ht="36" customHeight="1">
      <c r="C23" s="1136"/>
      <c r="D23" s="1144"/>
      <c r="E23" s="1145"/>
      <c r="F23" s="1155"/>
      <c r="G23" s="1155"/>
      <c r="H23" s="777"/>
      <c r="I23" s="1160" t="s">
        <v>4533</v>
      </c>
      <c r="J23" s="1161"/>
      <c r="K23" s="1161"/>
      <c r="L23" s="1161"/>
      <c r="M23" s="1161"/>
      <c r="N23" s="1161"/>
      <c r="O23" s="1162"/>
      <c r="P23" s="1226" t="str">
        <f>IF('入力シート（第３年度報告書）'!Q136="","",'入力シート（第３年度報告書）'!Q136)</f>
        <v/>
      </c>
      <c r="Q23" s="1227"/>
      <c r="R23" s="702" t="s">
        <v>76</v>
      </c>
      <c r="T23" s="450"/>
    </row>
    <row r="24" spans="3:21" s="195" customFormat="1" ht="36" customHeight="1">
      <c r="C24" s="1134" t="s">
        <v>4008</v>
      </c>
      <c r="D24" s="1140" t="s">
        <v>4009</v>
      </c>
      <c r="E24" s="1141"/>
      <c r="F24" s="1154" t="str">
        <f>IF($C$2="","",IF('入力シート（第３年度報告書）'!G137="","",'入力シート（第３年度報告書）'!G137))</f>
        <v/>
      </c>
      <c r="G24" s="1154"/>
      <c r="H24" s="773" t="s">
        <v>75</v>
      </c>
      <c r="I24" s="1150" t="s">
        <v>4010</v>
      </c>
      <c r="J24" s="1163"/>
      <c r="K24" s="1213" t="str">
        <f>IF($C$2="","",IF(F24&gt;=$C$2,"",IF('入力シート（第３年度報告書）'!N137="","",'入力シート（第３年度報告書）'!N137)))</f>
        <v/>
      </c>
      <c r="L24" s="1214"/>
      <c r="M24" s="423" t="s">
        <v>4499</v>
      </c>
      <c r="N24" s="1150" t="s">
        <v>4011</v>
      </c>
      <c r="O24" s="1163"/>
      <c r="P24" s="1169" t="str">
        <f>IF($C$2="","",IF(F24&gt;=$C$2,"",IF('入力シート（第３年度報告書）'!Q137="","",'入力シート（第３年度報告書）'!Q137)))</f>
        <v/>
      </c>
      <c r="Q24" s="1170"/>
      <c r="R24" s="423"/>
    </row>
    <row r="25" spans="3:21" s="195" customFormat="1" ht="36" customHeight="1">
      <c r="C25" s="1135"/>
      <c r="D25" s="1142"/>
      <c r="E25" s="1143"/>
      <c r="F25" s="1124"/>
      <c r="G25" s="1124"/>
      <c r="H25" s="775"/>
      <c r="I25" s="1140" t="s">
        <v>3980</v>
      </c>
      <c r="J25" s="1164"/>
      <c r="K25" s="1173" t="str">
        <f>IF($C$2="","",IF(F24&gt;=$C$2,"",IF('入力シート（第３年度報告書）'!N138="","",'入力シート（第３年度報告書）'!N138)))</f>
        <v/>
      </c>
      <c r="L25" s="1174"/>
      <c r="M25" s="423" t="s">
        <v>106</v>
      </c>
      <c r="N25" s="1140" t="s">
        <v>3980</v>
      </c>
      <c r="O25" s="1164"/>
      <c r="P25" s="1173" t="str">
        <f>IF($C$2="","",IF(F24&gt;=$C$2,"",IF('入力シート（第３年度報告書）'!Q138="","",'入力シート（第３年度報告書）'!Q138)))</f>
        <v/>
      </c>
      <c r="Q25" s="1174"/>
      <c r="R25" s="423" t="s">
        <v>106</v>
      </c>
    </row>
    <row r="26" spans="3:21" s="195" customFormat="1" ht="36" customHeight="1">
      <c r="C26" s="1135"/>
      <c r="D26" s="1144"/>
      <c r="E26" s="1145"/>
      <c r="F26" s="1155"/>
      <c r="G26" s="1155"/>
      <c r="H26" s="777"/>
      <c r="I26" s="1160" t="s">
        <v>4429</v>
      </c>
      <c r="J26" s="1161"/>
      <c r="K26" s="1161"/>
      <c r="L26" s="1161"/>
      <c r="M26" s="1161"/>
      <c r="N26" s="1161"/>
      <c r="O26" s="1162"/>
      <c r="P26" s="1211" t="str">
        <f>IF($C$2="","",IF(F24&gt;=$C$2,"",IF('入力シート（第３年度報告書）'!Q139="","",'入力シート（第３年度報告書）'!Q139)))</f>
        <v/>
      </c>
      <c r="Q26" s="1212"/>
      <c r="R26" s="703" t="s">
        <v>76</v>
      </c>
    </row>
    <row r="27" spans="3:21" s="195" customFormat="1" ht="67.5" customHeight="1">
      <c r="C27" s="1135"/>
      <c r="D27" s="1160" t="s">
        <v>4013</v>
      </c>
      <c r="E27" s="1161"/>
      <c r="F27" s="1139" t="str">
        <f>IF($C$2="","",IF(F24&gt;=$C$2,"",IF('入力シート（第１年度報告書）'!G150="","",'入力シート（第１年度報告書）'!G150)))</f>
        <v/>
      </c>
      <c r="G27" s="1147"/>
      <c r="H27" s="1147"/>
      <c r="I27" s="1147"/>
      <c r="J27" s="1147"/>
      <c r="K27" s="1147"/>
      <c r="L27" s="1147"/>
      <c r="M27" s="1147"/>
      <c r="N27" s="1147"/>
      <c r="O27" s="1147"/>
      <c r="P27" s="1147"/>
      <c r="Q27" s="1147"/>
      <c r="R27" s="1147"/>
    </row>
    <row r="28" spans="3:21" s="195" customFormat="1" ht="36" customHeight="1">
      <c r="C28" s="1135"/>
      <c r="D28" s="1140" t="s">
        <v>4014</v>
      </c>
      <c r="E28" s="1141"/>
      <c r="F28" s="1200" t="str">
        <f>IF($C$2="","",IF('入力シート（第３年度報告書）'!G140="","",'入力シート（第３年度報告書）'!G140))</f>
        <v/>
      </c>
      <c r="G28" s="1200"/>
      <c r="H28" s="773" t="s">
        <v>75</v>
      </c>
      <c r="I28" s="1150" t="s">
        <v>4010</v>
      </c>
      <c r="J28" s="1163"/>
      <c r="K28" s="1213" t="str">
        <f>IF($C$2="","",IF(F28&gt;=$C$2,"",IF('入力シート（第３年度報告書）'!N140="","",'入力シート（第３年度報告書）'!N140)))</f>
        <v/>
      </c>
      <c r="L28" s="1214"/>
      <c r="M28" s="423" t="s">
        <v>4499</v>
      </c>
      <c r="N28" s="1150" t="s">
        <v>4011</v>
      </c>
      <c r="O28" s="1163"/>
      <c r="P28" s="1169" t="str">
        <f>IF($C$2="","",IF(F28&gt;=$C$2,"",IF('入力シート（第３年度報告書）'!Q140="","",'入力シート（第３年度報告書）'!Q140)))</f>
        <v/>
      </c>
      <c r="Q28" s="1170"/>
      <c r="R28" s="423"/>
    </row>
    <row r="29" spans="3:21" s="195" customFormat="1" ht="36" customHeight="1">
      <c r="C29" s="1135"/>
      <c r="D29" s="1142"/>
      <c r="E29" s="1143"/>
      <c r="F29" s="1201"/>
      <c r="G29" s="1201"/>
      <c r="H29" s="775"/>
      <c r="I29" s="1140" t="s">
        <v>3980</v>
      </c>
      <c r="J29" s="1164"/>
      <c r="K29" s="1173" t="str">
        <f>IF($C$2="","",IF(F28&gt;=$C$2,"",IF('入力シート（第３年度報告書）'!N141="","",'入力シート（第３年度報告書）'!N141)))</f>
        <v/>
      </c>
      <c r="L29" s="1174"/>
      <c r="M29" s="423" t="s">
        <v>106</v>
      </c>
      <c r="N29" s="1140" t="s">
        <v>3980</v>
      </c>
      <c r="O29" s="1164"/>
      <c r="P29" s="1173" t="str">
        <f>IF($C$2="","",IF(F28&gt;=$C$2,"",IF('入力シート（第３年度報告書）'!Q141="","",'入力シート（第３年度報告書）'!Q141)))</f>
        <v/>
      </c>
      <c r="Q29" s="1174"/>
      <c r="R29" s="423" t="s">
        <v>106</v>
      </c>
    </row>
    <row r="30" spans="3:21" s="195" customFormat="1" ht="36" customHeight="1">
      <c r="C30" s="1135"/>
      <c r="D30" s="1144"/>
      <c r="E30" s="1145"/>
      <c r="F30" s="1202"/>
      <c r="G30" s="1202"/>
      <c r="H30" s="777"/>
      <c r="I30" s="1160" t="s">
        <v>4429</v>
      </c>
      <c r="J30" s="1161"/>
      <c r="K30" s="1161"/>
      <c r="L30" s="1161"/>
      <c r="M30" s="1161"/>
      <c r="N30" s="1161"/>
      <c r="O30" s="1162"/>
      <c r="P30" s="1211" t="str">
        <f>IF($C$2="","",IF(F28&gt;=$C$2,"",IF('入力シート（第３年度報告書）'!Q142="","",'入力シート（第３年度報告書）'!Q142)))</f>
        <v/>
      </c>
      <c r="Q30" s="1212"/>
      <c r="R30" s="703" t="s">
        <v>76</v>
      </c>
    </row>
    <row r="31" spans="3:21" s="195" customFormat="1" ht="67.5" customHeight="1">
      <c r="C31" s="1135"/>
      <c r="D31" s="1160" t="s">
        <v>4012</v>
      </c>
      <c r="E31" s="1161"/>
      <c r="F31" s="1139" t="str">
        <f>IF($C$2="","",IF(F28&gt;=$C$2,"",IF('入力シート（第２年度報告書）'!G150="","",'入力シート（第２年度報告書）'!G150)))</f>
        <v/>
      </c>
      <c r="G31" s="1147"/>
      <c r="H31" s="1147"/>
      <c r="I31" s="1147"/>
      <c r="J31" s="1147"/>
      <c r="K31" s="1147"/>
      <c r="L31" s="1147"/>
      <c r="M31" s="1147"/>
      <c r="N31" s="1147"/>
      <c r="O31" s="1147"/>
      <c r="P31" s="1147"/>
      <c r="Q31" s="1147"/>
      <c r="R31" s="1147"/>
    </row>
    <row r="32" spans="3:21" s="195" customFormat="1" ht="36" customHeight="1">
      <c r="C32" s="1135"/>
      <c r="D32" s="1140" t="s">
        <v>4015</v>
      </c>
      <c r="E32" s="1141"/>
      <c r="F32" s="1197" t="str">
        <f>IF($C$2="","",IF('入力シート（第３年度報告書）'!G143="","",'入力シート（第３年度報告書）'!G143))</f>
        <v/>
      </c>
      <c r="G32" s="1197"/>
      <c r="H32" s="773" t="s">
        <v>75</v>
      </c>
      <c r="I32" s="1150" t="s">
        <v>4010</v>
      </c>
      <c r="J32" s="1163"/>
      <c r="K32" s="1213" t="str">
        <f>IF($C$2="","",IF(F32&gt;=$C$2,"",IF('入力シート（第３年度報告書）'!N143="","",'入力シート（第３年度報告書）'!N143)))</f>
        <v/>
      </c>
      <c r="L32" s="1214"/>
      <c r="M32" s="423" t="s">
        <v>4499</v>
      </c>
      <c r="N32" s="1150" t="s">
        <v>4011</v>
      </c>
      <c r="O32" s="1163"/>
      <c r="P32" s="1169" t="str">
        <f>IF($C$2="","",IF(F32&gt;=$C$2,"",IF('入力シート（第３年度報告書）'!Q143="","",'入力シート（第３年度報告書）'!Q143)))</f>
        <v/>
      </c>
      <c r="Q32" s="1170"/>
      <c r="R32" s="423"/>
    </row>
    <row r="33" spans="3:18" s="195" customFormat="1" ht="36" customHeight="1">
      <c r="C33" s="1135"/>
      <c r="D33" s="1142"/>
      <c r="E33" s="1143"/>
      <c r="F33" s="1198"/>
      <c r="G33" s="1198"/>
      <c r="H33" s="775"/>
      <c r="I33" s="1140" t="s">
        <v>3980</v>
      </c>
      <c r="J33" s="1164"/>
      <c r="K33" s="1173" t="str">
        <f>IF($C$2="","",IF(F32&gt;=$C$2,"",IF('入力シート（第３年度報告書）'!N144="","",'入力シート（第３年度報告書）'!N144)))</f>
        <v/>
      </c>
      <c r="L33" s="1174"/>
      <c r="M33" s="423" t="s">
        <v>106</v>
      </c>
      <c r="N33" s="1140" t="s">
        <v>3980</v>
      </c>
      <c r="O33" s="1164"/>
      <c r="P33" s="1173" t="str">
        <f>IF($C$2="","",IF(F32&gt;=$C$2,"",IF('入力シート（第３年度報告書）'!Q144="","",'入力シート（第３年度報告書）'!Q144)))</f>
        <v/>
      </c>
      <c r="Q33" s="1174"/>
      <c r="R33" s="423" t="s">
        <v>106</v>
      </c>
    </row>
    <row r="34" spans="3:18" s="195" customFormat="1" ht="36" customHeight="1">
      <c r="C34" s="1135"/>
      <c r="D34" s="1144"/>
      <c r="E34" s="1145"/>
      <c r="F34" s="1199"/>
      <c r="G34" s="1199"/>
      <c r="H34" s="777"/>
      <c r="I34" s="1160" t="s">
        <v>4429</v>
      </c>
      <c r="J34" s="1161"/>
      <c r="K34" s="1161"/>
      <c r="L34" s="1161"/>
      <c r="M34" s="1161"/>
      <c r="N34" s="1161"/>
      <c r="O34" s="1162"/>
      <c r="P34" s="1211" t="str">
        <f>IF($C$2="","",IF(F32&gt;=$C$2,"",IF('入力シート（第３年度報告書）'!Q145="","",'入力シート（第３年度報告書）'!Q145)))</f>
        <v/>
      </c>
      <c r="Q34" s="1212"/>
      <c r="R34" s="703" t="s">
        <v>76</v>
      </c>
    </row>
    <row r="35" spans="3:18" s="195" customFormat="1" ht="67.5" customHeight="1">
      <c r="C35" s="1136"/>
      <c r="D35" s="1160" t="s">
        <v>4013</v>
      </c>
      <c r="E35" s="1161"/>
      <c r="F35" s="1195" t="str">
        <f>IF($C$2="","",IF(F32&gt;=$C$2,"",IF('入力シート（第３年度報告書）'!G150="","",'入力シート（第３年度報告書）'!G150)))</f>
        <v/>
      </c>
      <c r="G35" s="1196"/>
      <c r="H35" s="1196"/>
      <c r="I35" s="1147"/>
      <c r="J35" s="1147"/>
      <c r="K35" s="1147"/>
      <c r="L35" s="1147"/>
      <c r="M35" s="1147"/>
      <c r="N35" s="1147"/>
      <c r="O35" s="1147"/>
      <c r="P35" s="1147"/>
      <c r="Q35" s="1147"/>
      <c r="R35" s="1147"/>
    </row>
    <row r="36" spans="3:18" s="195" customFormat="1" ht="18" customHeight="1">
      <c r="C36" s="10"/>
      <c r="D36" s="10"/>
      <c r="E36" s="10"/>
      <c r="F36" s="10"/>
      <c r="G36" s="10"/>
      <c r="H36" s="10"/>
      <c r="I36" s="10"/>
      <c r="J36" s="10"/>
      <c r="K36" s="10"/>
      <c r="L36" s="10"/>
      <c r="M36" s="10"/>
      <c r="N36" s="10"/>
      <c r="O36" s="10"/>
      <c r="P36" s="10"/>
      <c r="Q36" s="10"/>
      <c r="R36" s="10"/>
    </row>
    <row r="37" spans="3:18" s="195" customFormat="1" ht="18" customHeight="1">
      <c r="C37" s="412" t="s">
        <v>3048</v>
      </c>
      <c r="D37" s="10"/>
      <c r="E37" s="10"/>
      <c r="F37" s="10"/>
      <c r="G37" s="10"/>
      <c r="H37" s="10"/>
      <c r="I37" s="10"/>
      <c r="J37" s="10"/>
      <c r="K37" s="10"/>
      <c r="L37" s="10"/>
      <c r="M37" s="10"/>
      <c r="N37" s="10"/>
      <c r="O37" s="10"/>
      <c r="P37" s="10"/>
      <c r="Q37" s="10"/>
      <c r="R37" s="10"/>
    </row>
    <row r="38" spans="3:18" s="195" customFormat="1" ht="27.65" customHeight="1">
      <c r="C38" s="1224" t="s">
        <v>4097</v>
      </c>
      <c r="D38" s="1207" t="s">
        <v>4016</v>
      </c>
      <c r="E38" s="1208"/>
      <c r="F38" s="1208"/>
      <c r="G38" s="1207" t="s">
        <v>4037</v>
      </c>
      <c r="H38" s="1208"/>
      <c r="I38" s="1209"/>
      <c r="J38" s="1207" t="s">
        <v>4017</v>
      </c>
      <c r="K38" s="1208"/>
      <c r="L38" s="1209"/>
      <c r="M38" s="1207" t="s">
        <v>4018</v>
      </c>
      <c r="N38" s="1208"/>
      <c r="O38" s="1209"/>
      <c r="P38" s="1207" t="s">
        <v>4019</v>
      </c>
      <c r="Q38" s="1208"/>
      <c r="R38" s="1209"/>
    </row>
    <row r="39" spans="3:18" s="195" customFormat="1" ht="51" customHeight="1">
      <c r="C39" s="1224"/>
      <c r="D39" s="1222" t="str">
        <f>IF($C$2="","",IF('P3'!E24="","",'P3'!E24))</f>
        <v/>
      </c>
      <c r="E39" s="1223"/>
      <c r="F39" s="451" t="s">
        <v>106</v>
      </c>
      <c r="G39" s="1222" t="str">
        <f>IF($C$2="","",IF('P3'!L24="","",'P3'!L24))</f>
        <v/>
      </c>
      <c r="H39" s="1223"/>
      <c r="I39" s="451" t="s">
        <v>4007</v>
      </c>
      <c r="J39" s="1220" t="str">
        <f>IF($C$2="","",IF(F24&gt;=$C$2,"",IF('入力シート（第３年度報告書）'!AF164="","",'入力シート（第３年度報告書）'!AF164*100)))</f>
        <v/>
      </c>
      <c r="K39" s="1221"/>
      <c r="L39" s="451" t="s">
        <v>4007</v>
      </c>
      <c r="M39" s="1220" t="str">
        <f>IF($C$2="","",IF(F28&gt;=$C$2,"",IF('入力シート（第３年度報告書）'!AF165="","",'入力シート（第３年度報告書）'!AF165*100)))</f>
        <v/>
      </c>
      <c r="N39" s="1221"/>
      <c r="O39" s="451" t="s">
        <v>106</v>
      </c>
      <c r="P39" s="1220" t="str">
        <f>IF($C$2="","",IF(F32&gt;=$C$2,"",IF('入力シート（第３年度報告書）'!AF166="","",'入力シート（第３年度報告書）'!AF166*100)))</f>
        <v/>
      </c>
      <c r="Q39" s="1221"/>
      <c r="R39" s="451" t="s">
        <v>106</v>
      </c>
    </row>
    <row r="40" spans="3:18" s="197" customFormat="1" ht="51" hidden="1" customHeight="1">
      <c r="C40" s="23"/>
      <c r="D40" s="23"/>
      <c r="E40" s="23"/>
      <c r="F40" s="23"/>
      <c r="G40" s="23"/>
      <c r="H40" s="23"/>
      <c r="I40" s="23"/>
      <c r="J40" s="23"/>
      <c r="K40" s="23"/>
      <c r="L40" s="23"/>
      <c r="M40" s="23"/>
      <c r="N40" s="23"/>
      <c r="O40" s="23"/>
      <c r="P40" s="23"/>
      <c r="Q40" s="23"/>
      <c r="R40" s="23"/>
    </row>
    <row r="41" spans="3:18" s="195" customFormat="1" ht="32.25" customHeight="1">
      <c r="C41" s="1134" t="s">
        <v>4091</v>
      </c>
      <c r="D41" s="1206" t="s">
        <v>78</v>
      </c>
      <c r="E41" s="1206"/>
      <c r="F41" s="1206"/>
      <c r="G41" s="1206"/>
      <c r="H41" s="1206"/>
      <c r="I41" s="1206"/>
      <c r="J41" s="1206"/>
      <c r="K41" s="1206"/>
      <c r="L41" s="1206"/>
      <c r="M41" s="1206"/>
      <c r="N41" s="1206"/>
      <c r="O41" s="1206"/>
      <c r="P41" s="1206" t="s">
        <v>4020</v>
      </c>
      <c r="Q41" s="1206"/>
      <c r="R41" s="1206"/>
    </row>
    <row r="42" spans="3:18" s="195" customFormat="1" ht="28.4" customHeight="1">
      <c r="C42" s="1135"/>
      <c r="D42" s="1203" t="str">
        <f>IF($AB$5=0,"",
     CHOOSE($AB$5,
          IF('入力シート（第１年度報告書）'!F203="","",'入力シート（第１年度報告書）'!F203),
          IF('入力シート（第２年度報告書）'!F203="","",'入力シート（第２年度報告書）'!F203),
          IF('入力シート（第３年度報告書）'!F203="","",'入力シート（第３年度報告書）'!F203)))</f>
        <v/>
      </c>
      <c r="E42" s="1204"/>
      <c r="F42" s="1204"/>
      <c r="G42" s="1204"/>
      <c r="H42" s="1204"/>
      <c r="I42" s="1204"/>
      <c r="J42" s="1204"/>
      <c r="K42" s="1204"/>
      <c r="L42" s="1204"/>
      <c r="M42" s="1204"/>
      <c r="N42" s="1204"/>
      <c r="O42" s="1205"/>
      <c r="P42" s="781" t="str">
        <f>IF($AB$5=0,"",
     CHOOSE($AB$5,
            VLOOKUP('入力シート（第１年度報告書）'!E203,'入力シート（第１年度報告書）'!$E$203:$Q$211,11,0)&amp;"",
            VLOOKUP('入力シート（第２年度報告書）'!E203,'入力シート（第２年度報告書）'!$E$203:$Q$211,12,0)&amp;"",
            VLOOKUP('入力シート（第３年度報告書）'!E203,'入力シート（第３年度報告書）'!$E$203:$Q$211,13,0)&amp;""))</f>
        <v/>
      </c>
      <c r="Q42" s="782"/>
      <c r="R42" s="783"/>
    </row>
    <row r="43" spans="3:18" s="195" customFormat="1" ht="28.4" customHeight="1">
      <c r="C43" s="1135"/>
      <c r="D43" s="1203" t="str">
        <f>IF($AB$5=0,"",
     CHOOSE($AB$5,
          IF('入力シート（第１年度報告書）'!F204="","",'入力シート（第１年度報告書）'!F204),
          IF('入力シート（第２年度報告書）'!F204="","",'入力シート（第２年度報告書）'!F204),
          IF('入力シート（第３年度報告書）'!F204="","",'入力シート（第３年度報告書）'!F204)))</f>
        <v/>
      </c>
      <c r="E43" s="1204"/>
      <c r="F43" s="1204"/>
      <c r="G43" s="1204"/>
      <c r="H43" s="1204"/>
      <c r="I43" s="1204"/>
      <c r="J43" s="1204"/>
      <c r="K43" s="1204"/>
      <c r="L43" s="1204"/>
      <c r="M43" s="1204"/>
      <c r="N43" s="1204"/>
      <c r="O43" s="1205"/>
      <c r="P43" s="1210" t="str">
        <f>IF($AB$5=0,"",
     CHOOSE($AB$5,
            VLOOKUP('入力シート（第１年度報告書）'!E204,'入力シート（第１年度報告書）'!$E$203:$Q$211,11,0)&amp;"",
            VLOOKUP('入力シート（第２年度報告書）'!E204,'入力シート（第２年度報告書）'!$E$203:$Q$211,12,0)&amp;"",
            VLOOKUP('入力シート（第３年度報告書）'!E204,'入力シート（第３年度報告書）'!$E$203:$Q$211,13,0)&amp;""))</f>
        <v/>
      </c>
      <c r="Q43" s="1210"/>
      <c r="R43" s="1210"/>
    </row>
    <row r="44" spans="3:18" s="195" customFormat="1" ht="28.4" customHeight="1">
      <c r="C44" s="1135"/>
      <c r="D44" s="1203" t="str">
        <f>IF($AB$5=0,"",
     CHOOSE($AB$5,
          IF('入力シート（第１年度報告書）'!F205="","",'入力シート（第１年度報告書）'!F205),
          IF('入力シート（第２年度報告書）'!F205="","",'入力シート（第２年度報告書）'!F205),
          IF('入力シート（第３年度報告書）'!F205="","",'入力シート（第３年度報告書）'!F205)))</f>
        <v/>
      </c>
      <c r="E44" s="1204"/>
      <c r="F44" s="1204"/>
      <c r="G44" s="1204"/>
      <c r="H44" s="1204"/>
      <c r="I44" s="1204"/>
      <c r="J44" s="1204"/>
      <c r="K44" s="1204"/>
      <c r="L44" s="1204"/>
      <c r="M44" s="1204"/>
      <c r="N44" s="1204"/>
      <c r="O44" s="1205"/>
      <c r="P44" s="1210" t="str">
        <f>IF($AB$5=0,"",
     CHOOSE($AB$5,
            VLOOKUP('入力シート（第１年度報告書）'!E205,'入力シート（第１年度報告書）'!$E$203:$Q$211,11,0)&amp;"",
            VLOOKUP('入力シート（第２年度報告書）'!E205,'入力シート（第２年度報告書）'!$E$203:$Q$211,12,0)&amp;"",
            VLOOKUP('入力シート（第３年度報告書）'!E205,'入力シート（第３年度報告書）'!$E$203:$Q$211,13,0)&amp;""))</f>
        <v/>
      </c>
      <c r="Q44" s="1210"/>
      <c r="R44" s="1210"/>
    </row>
    <row r="45" spans="3:18" s="195" customFormat="1" ht="28.4" customHeight="1">
      <c r="C45" s="1135"/>
      <c r="D45" s="1203" t="str">
        <f>IF($AB$5=0,"",
     CHOOSE($AB$5,
          IF('入力シート（第１年度報告書）'!F206="","",'入力シート（第１年度報告書）'!F206),
          IF('入力シート（第２年度報告書）'!F206="","",'入力シート（第２年度報告書）'!F206),
          IF('入力シート（第３年度報告書）'!F206="","",'入力シート（第３年度報告書）'!F206)))</f>
        <v/>
      </c>
      <c r="E45" s="1204"/>
      <c r="F45" s="1204"/>
      <c r="G45" s="1204"/>
      <c r="H45" s="1204"/>
      <c r="I45" s="1204"/>
      <c r="J45" s="1204"/>
      <c r="K45" s="1204"/>
      <c r="L45" s="1204"/>
      <c r="M45" s="1204"/>
      <c r="N45" s="1204"/>
      <c r="O45" s="1205"/>
      <c r="P45" s="1210" t="str">
        <f>IF($AB$5=0,"",
     CHOOSE($AB$5,
            VLOOKUP('入力シート（第１年度報告書）'!E206,'入力シート（第１年度報告書）'!$E$203:$Q$211,11,0)&amp;"",
            VLOOKUP('入力シート（第２年度報告書）'!E206,'入力シート（第２年度報告書）'!$E$203:$Q$211,12,0)&amp;"",
            VLOOKUP('入力シート（第３年度報告書）'!E206,'入力シート（第３年度報告書）'!$E$203:$Q$211,13,0)&amp;""))</f>
        <v/>
      </c>
      <c r="Q45" s="1210"/>
      <c r="R45" s="1210"/>
    </row>
    <row r="46" spans="3:18" s="195" customFormat="1" ht="28.4" customHeight="1">
      <c r="C46" s="1135"/>
      <c r="D46" s="1203" t="str">
        <f>IF($AB$5=0,"",
     CHOOSE($AB$5,
          IF('入力シート（第１年度報告書）'!F207="","",'入力シート（第１年度報告書）'!F207),
          IF('入力シート（第２年度報告書）'!F207="","",'入力シート（第２年度報告書）'!F207),
          IF('入力シート（第３年度報告書）'!F207="","",'入力シート（第３年度報告書）'!F207)))</f>
        <v/>
      </c>
      <c r="E46" s="1204"/>
      <c r="F46" s="1204"/>
      <c r="G46" s="1204"/>
      <c r="H46" s="1204"/>
      <c r="I46" s="1204"/>
      <c r="J46" s="1204"/>
      <c r="K46" s="1204"/>
      <c r="L46" s="1204"/>
      <c r="M46" s="1204"/>
      <c r="N46" s="1204"/>
      <c r="O46" s="1205"/>
      <c r="P46" s="1210" t="str">
        <f>IF($AB$5=0,"",
     CHOOSE($AB$5,
            VLOOKUP('入力シート（第１年度報告書）'!E207,'入力シート（第１年度報告書）'!$E$203:$Q$211,11,0)&amp;"",
            VLOOKUP('入力シート（第２年度報告書）'!E207,'入力シート（第２年度報告書）'!$E$203:$Q$211,12,0)&amp;"",
            VLOOKUP('入力シート（第３年度報告書）'!E207,'入力シート（第３年度報告書）'!$E$203:$Q$211,13,0)&amp;""))</f>
        <v/>
      </c>
      <c r="Q46" s="1210"/>
      <c r="R46" s="1210"/>
    </row>
    <row r="47" spans="3:18" s="195" customFormat="1" ht="28.4" customHeight="1">
      <c r="C47" s="1135"/>
      <c r="D47" s="1203" t="str">
        <f>IF($AB$5=0,"",
     CHOOSE($AB$5,
          IF('入力シート（第１年度報告書）'!F208="","",'入力シート（第１年度報告書）'!F208),
          IF('入力シート（第２年度報告書）'!F208="","",'入力シート（第２年度報告書）'!F208),
          IF('入力シート（第３年度報告書）'!F208="","",'入力シート（第３年度報告書）'!F208)))</f>
        <v/>
      </c>
      <c r="E47" s="1204"/>
      <c r="F47" s="1204"/>
      <c r="G47" s="1204"/>
      <c r="H47" s="1204"/>
      <c r="I47" s="1204"/>
      <c r="J47" s="1204"/>
      <c r="K47" s="1204"/>
      <c r="L47" s="1204"/>
      <c r="M47" s="1204"/>
      <c r="N47" s="1204"/>
      <c r="O47" s="1205"/>
      <c r="P47" s="1210" t="str">
        <f>IF($AB$5=0,"",
     CHOOSE($AB$5,
            VLOOKUP('入力シート（第１年度報告書）'!E208,'入力シート（第１年度報告書）'!$E$203:$Q$211,11,0)&amp;"",
            VLOOKUP('入力シート（第２年度報告書）'!E208,'入力シート（第２年度報告書）'!$E$203:$Q$211,12,0)&amp;"",
            VLOOKUP('入力シート（第３年度報告書）'!E208,'入力シート（第３年度報告書）'!$E$203:$Q$211,13,0)&amp;""))</f>
        <v/>
      </c>
      <c r="Q47" s="1210"/>
      <c r="R47" s="1210"/>
    </row>
    <row r="48" spans="3:18" s="195" customFormat="1" ht="28.4" customHeight="1">
      <c r="C48" s="1135"/>
      <c r="D48" s="1203" t="str">
        <f>IF($AB$5=0,"",
     CHOOSE($AB$5,
          IF('入力シート（第１年度報告書）'!F209="","",'入力シート（第１年度報告書）'!F209),
          IF('入力シート（第２年度報告書）'!F209="","",'入力シート（第２年度報告書）'!F209),
          IF('入力シート（第３年度報告書）'!F209="","",'入力シート（第３年度報告書）'!F209)))</f>
        <v/>
      </c>
      <c r="E48" s="1204"/>
      <c r="F48" s="1204"/>
      <c r="G48" s="1204"/>
      <c r="H48" s="1204"/>
      <c r="I48" s="1204"/>
      <c r="J48" s="1204"/>
      <c r="K48" s="1204"/>
      <c r="L48" s="1204"/>
      <c r="M48" s="1204"/>
      <c r="N48" s="1204"/>
      <c r="O48" s="1205"/>
      <c r="P48" s="1210" t="str">
        <f>IF($AB$5=0,"",
     CHOOSE($AB$5,
            VLOOKUP('入力シート（第１年度報告書）'!E209,'入力シート（第１年度報告書）'!$E$203:$Q$211,11,0)&amp;"",
            VLOOKUP('入力シート（第２年度報告書）'!E209,'入力シート（第２年度報告書）'!$E$203:$Q$211,12,0)&amp;"",
            VLOOKUP('入力シート（第３年度報告書）'!E209,'入力シート（第３年度報告書）'!$E$203:$Q$211,13,0)&amp;""))</f>
        <v/>
      </c>
      <c r="Q48" s="1210"/>
      <c r="R48" s="1210"/>
    </row>
    <row r="49" spans="3:18" s="195" customFormat="1" ht="28.4" customHeight="1">
      <c r="C49" s="1135"/>
      <c r="D49" s="1203" t="str">
        <f>IF($AB$5=0,"",
     CHOOSE($AB$5,
          IF('入力シート（第１年度報告書）'!F210="","",'入力シート（第１年度報告書）'!F210),
          IF('入力シート（第２年度報告書）'!F210="","",'入力シート（第２年度報告書）'!F210),
          IF('入力シート（第３年度報告書）'!F210="","",'入力シート（第３年度報告書）'!F210)))</f>
        <v/>
      </c>
      <c r="E49" s="1204"/>
      <c r="F49" s="1204"/>
      <c r="G49" s="1204"/>
      <c r="H49" s="1204"/>
      <c r="I49" s="1204"/>
      <c r="J49" s="1204"/>
      <c r="K49" s="1204"/>
      <c r="L49" s="1204"/>
      <c r="M49" s="1204"/>
      <c r="N49" s="1204"/>
      <c r="O49" s="1205"/>
      <c r="P49" s="1210" t="str">
        <f>IF($AB$5=0,"",
     CHOOSE($AB$5,
            VLOOKUP('入力シート（第１年度報告書）'!E210,'入力シート（第１年度報告書）'!$E$203:$Q$211,11,0)&amp;"",
            VLOOKUP('入力シート（第２年度報告書）'!E210,'入力シート（第２年度報告書）'!$E$203:$Q$211,12,0)&amp;"",
            VLOOKUP('入力シート（第３年度報告書）'!E210,'入力シート（第３年度報告書）'!$E$203:$Q$211,13,0)&amp;""))</f>
        <v/>
      </c>
      <c r="Q49" s="1210"/>
      <c r="R49" s="1210"/>
    </row>
    <row r="50" spans="3:18" s="195" customFormat="1" ht="28.4" customHeight="1">
      <c r="C50" s="1136"/>
      <c r="D50" s="1203" t="str">
        <f>IF($AB$5=0,"",
     CHOOSE($AB$5,
          IF('入力シート（第１年度報告書）'!F211="","",'入力シート（第１年度報告書）'!F211),
          IF('入力シート（第２年度報告書）'!F211="","",'入力シート（第２年度報告書）'!F211),
          IF('入力シート（第３年度報告書）'!F211="","",'入力シート（第３年度報告書）'!F211)))</f>
        <v/>
      </c>
      <c r="E50" s="1204"/>
      <c r="F50" s="1204"/>
      <c r="G50" s="1204"/>
      <c r="H50" s="1204"/>
      <c r="I50" s="1204"/>
      <c r="J50" s="1204"/>
      <c r="K50" s="1204"/>
      <c r="L50" s="1204"/>
      <c r="M50" s="1204"/>
      <c r="N50" s="1204"/>
      <c r="O50" s="1205"/>
      <c r="P50" s="1210" t="str">
        <f>IF($AB$5=0,"",
     CHOOSE($AB$5,
            VLOOKUP('入力シート（第１年度報告書）'!E211,'入力シート（第１年度報告書）'!$E$203:$Q$211,11,0)&amp;"",
            VLOOKUP('入力シート（第２年度報告書）'!E211,'入力シート（第２年度報告書）'!$E$203:$Q$211,12,0)&amp;"",
            VLOOKUP('入力シート（第３年度報告書）'!E211,'入力シート（第３年度報告書）'!$E$203:$Q$211,13,0)&amp;""))</f>
        <v/>
      </c>
      <c r="Q50" s="1210"/>
      <c r="R50" s="1210"/>
    </row>
    <row r="51" spans="3:18" s="195" customFormat="1" ht="28.4" hidden="1" customHeight="1">
      <c r="C51" s="28"/>
      <c r="D51" s="28"/>
      <c r="E51" s="28"/>
      <c r="F51" s="28"/>
      <c r="G51" s="28"/>
      <c r="H51" s="28"/>
      <c r="I51" s="28"/>
      <c r="J51" s="28"/>
      <c r="K51" s="28"/>
      <c r="L51" s="28"/>
      <c r="M51" s="28"/>
      <c r="N51" s="28"/>
      <c r="O51" s="28"/>
      <c r="P51" s="28"/>
      <c r="Q51" s="28"/>
      <c r="R51" s="28"/>
    </row>
    <row r="52" spans="3:18" s="195" customFormat="1" ht="32.25" customHeight="1">
      <c r="C52" s="1134" t="s">
        <v>4021</v>
      </c>
      <c r="D52" s="1225" t="s">
        <v>78</v>
      </c>
      <c r="E52" s="1206"/>
      <c r="F52" s="1225"/>
      <c r="G52" s="1225"/>
      <c r="H52" s="1225"/>
      <c r="I52" s="1215" t="s">
        <v>4092</v>
      </c>
      <c r="J52" s="1208"/>
      <c r="K52" s="1208"/>
      <c r="L52" s="1208"/>
      <c r="M52" s="1208"/>
      <c r="N52" s="1208"/>
      <c r="O52" s="1209"/>
      <c r="P52" s="1207" t="s">
        <v>4020</v>
      </c>
      <c r="Q52" s="1208"/>
      <c r="R52" s="1209"/>
    </row>
    <row r="53" spans="3:18" s="195" customFormat="1" ht="60" customHeight="1">
      <c r="C53" s="1135"/>
      <c r="D53" s="1216" t="str">
        <f>IF($AB$5=0,"",
     CHOOSE($AB$5,
         IF('入力シート（第１年度報告書）'!F223="","",'入力シート（第１年度報告書）'!F223),
         IF('入力シート（第２年度報告書）'!F223="","",'入力シート（第２年度報告書）'!F223),
         IF('入力シート（第３年度報告書）'!F223="","",'入力シート（第３年度報告書）'!F223)))</f>
        <v/>
      </c>
      <c r="E53" s="1147"/>
      <c r="F53" s="1216"/>
      <c r="G53" s="1147"/>
      <c r="H53" s="1216"/>
      <c r="I53" s="1216" t="str">
        <f>IF($AB$5=0,"",
     CHOOSE($AB$5,
         IF('入力シート（第１年度報告書）'!G223="","",'入力シート（第１年度報告書）'!G223),
         IF('入力シート（第２年度報告書）'!G223="","",'入力シート（第２年度報告書）'!G223),
         IF('入力シート（第３年度報告書）'!G223="","",'入力シート（第３年度報告書）'!G223)))</f>
        <v/>
      </c>
      <c r="J53" s="1216"/>
      <c r="K53" s="1216"/>
      <c r="L53" s="1216"/>
      <c r="M53" s="1216"/>
      <c r="N53" s="1216"/>
      <c r="O53" s="1216"/>
      <c r="P53" s="801" t="str">
        <f>IF($AB$5=0,"",
     CHOOSE($AB$5,
            VLOOKUP('入力シート（第１年度報告書）'!E223,'入力シート（第１年度報告書）'!$E$223:$Q$232,11,0)&amp;"",
            VLOOKUP('入力シート（第２年度報告書）'!E223,'入力シート（第２年度報告書）'!$E$223:$Q$232,12,0)&amp;"",
            VLOOKUP('入力シート（第３年度報告書）'!E223,'入力シート（第３年度報告書）'!$E$223:$Q$232,13,0)&amp;""))</f>
        <v/>
      </c>
      <c r="Q53" s="926"/>
      <c r="R53" s="802"/>
    </row>
    <row r="54" spans="3:18" s="195" customFormat="1" ht="60" customHeight="1">
      <c r="C54" s="1135"/>
      <c r="D54" s="1216" t="str">
        <f>IF($AB$5=0,"",
     CHOOSE($AB$5,
         IF('入力シート（第１年度報告書）'!F224="","",'入力シート（第１年度報告書）'!F224),
         IF('入力シート（第２年度報告書）'!F224="","",'入力シート（第２年度報告書）'!F224),
         IF('入力シート（第３年度報告書）'!F224="","",'入力シート（第３年度報告書）'!F224)))</f>
        <v/>
      </c>
      <c r="E54" s="1147"/>
      <c r="F54" s="1216"/>
      <c r="G54" s="1147"/>
      <c r="H54" s="1216"/>
      <c r="I54" s="1216" t="str">
        <f>IF($AB$5=0,"",
     CHOOSE($AB$5,
         IF('入力シート（第１年度報告書）'!G224="","",'入力シート（第１年度報告書）'!G224),
         IF('入力シート（第２年度報告書）'!G224="","",'入力シート（第２年度報告書）'!G224),
         IF('入力シート（第３年度報告書）'!G224="","",'入力シート（第３年度報告書）'!G224)))</f>
        <v/>
      </c>
      <c r="J54" s="1216"/>
      <c r="K54" s="1216"/>
      <c r="L54" s="1216"/>
      <c r="M54" s="1216"/>
      <c r="N54" s="1216"/>
      <c r="O54" s="1216"/>
      <c r="P54" s="801" t="str">
        <f>IF($AB$5=0,"",
     CHOOSE($AB$5,
            VLOOKUP('入力シート（第１年度報告書）'!E224,'入力シート（第１年度報告書）'!$E$223:$Q$232,11,0)&amp;"",
            VLOOKUP('入力シート（第２年度報告書）'!E224,'入力シート（第２年度報告書）'!$E$223:$Q$232,12,0)&amp;"",
            VLOOKUP('入力シート（第３年度報告書）'!E224,'入力シート（第３年度報告書）'!$E$223:$Q$232,13,0)&amp;""))</f>
        <v/>
      </c>
      <c r="Q54" s="926"/>
      <c r="R54" s="802"/>
    </row>
    <row r="55" spans="3:18" s="195" customFormat="1" ht="60" customHeight="1">
      <c r="C55" s="1135"/>
      <c r="D55" s="1216" t="str">
        <f>IF($AB$5=0,"",
     CHOOSE($AB$5,
         IF('入力シート（第１年度報告書）'!F225="","",'入力シート（第１年度報告書）'!F225),
         IF('入力シート（第２年度報告書）'!F225="","",'入力シート（第２年度報告書）'!F225),
         IF('入力シート（第３年度報告書）'!F225="","",'入力シート（第３年度報告書）'!F225)))</f>
        <v/>
      </c>
      <c r="E55" s="1147"/>
      <c r="F55" s="1216"/>
      <c r="G55" s="1147"/>
      <c r="H55" s="1216"/>
      <c r="I55" s="1216" t="str">
        <f>IF($AB$5=0,"",
     CHOOSE($AB$5,
         IF('入力シート（第１年度報告書）'!G225="","",'入力シート（第１年度報告書）'!G225),
         IF('入力シート（第２年度報告書）'!G225="","",'入力シート（第２年度報告書）'!G225),
         IF('入力シート（第３年度報告書）'!G225="","",'入力シート（第３年度報告書）'!G225)))</f>
        <v/>
      </c>
      <c r="J55" s="1216"/>
      <c r="K55" s="1216"/>
      <c r="L55" s="1216"/>
      <c r="M55" s="1216"/>
      <c r="N55" s="1216"/>
      <c r="O55" s="1216"/>
      <c r="P55" s="801" t="str">
        <f>IF($AB$5=0,"",
     CHOOSE($AB$5,
            VLOOKUP('入力シート（第１年度報告書）'!E225,'入力シート（第１年度報告書）'!$E$223:$Q$232,11,0)&amp;"",
            VLOOKUP('入力シート（第２年度報告書）'!E225,'入力シート（第２年度報告書）'!$E$223:$Q$232,12,0)&amp;"",
            VLOOKUP('入力シート（第３年度報告書）'!E225,'入力シート（第３年度報告書）'!$E$223:$Q$232,13,0)&amp;""))</f>
        <v/>
      </c>
      <c r="Q55" s="926"/>
      <c r="R55" s="802"/>
    </row>
    <row r="56" spans="3:18" s="195" customFormat="1" ht="60" customHeight="1">
      <c r="C56" s="1135"/>
      <c r="D56" s="1216" t="str">
        <f>IF($AB$5=0,"",
     CHOOSE($AB$5,
         IF('入力シート（第１年度報告書）'!F226="","",'入力シート（第１年度報告書）'!F226),
         IF('入力シート（第２年度報告書）'!F226="","",'入力シート（第２年度報告書）'!F226),
         IF('入力シート（第３年度報告書）'!F226="","",'入力シート（第３年度報告書）'!F226)))</f>
        <v/>
      </c>
      <c r="E56" s="1147"/>
      <c r="F56" s="1216"/>
      <c r="G56" s="1147"/>
      <c r="H56" s="1216"/>
      <c r="I56" s="1216" t="str">
        <f>IF($AB$5=0,"",
     CHOOSE($AB$5,
         IF('入力シート（第１年度報告書）'!G226="","",'入力シート（第１年度報告書）'!G226),
         IF('入力シート（第２年度報告書）'!G226="","",'入力シート（第２年度報告書）'!G226),
         IF('入力シート（第３年度報告書）'!G226="","",'入力シート（第３年度報告書）'!G226)))</f>
        <v/>
      </c>
      <c r="J56" s="1216"/>
      <c r="K56" s="1216"/>
      <c r="L56" s="1216"/>
      <c r="M56" s="1216"/>
      <c r="N56" s="1216"/>
      <c r="O56" s="1216"/>
      <c r="P56" s="801" t="str">
        <f>IF($AB$5=0,"",
     CHOOSE($AB$5,
            VLOOKUP('入力シート（第１年度報告書）'!E226,'入力シート（第１年度報告書）'!$E$223:$Q$232,11,0)&amp;"",
            VLOOKUP('入力シート（第２年度報告書）'!E226,'入力シート（第２年度報告書）'!$E$223:$Q$232,12,0)&amp;"",
            VLOOKUP('入力シート（第３年度報告書）'!E226,'入力シート（第３年度報告書）'!$E$223:$Q$232,13,0)&amp;""))</f>
        <v/>
      </c>
      <c r="Q56" s="926"/>
      <c r="R56" s="802"/>
    </row>
    <row r="57" spans="3:18" s="195" customFormat="1" ht="60" customHeight="1">
      <c r="C57" s="1135"/>
      <c r="D57" s="1216" t="str">
        <f>IF($AB$5=0,"",
     CHOOSE($AB$5,
         IF('入力シート（第１年度報告書）'!F227="","",'入力シート（第１年度報告書）'!F227),
         IF('入力シート（第２年度報告書）'!F227="","",'入力シート（第２年度報告書）'!F227),
         IF('入力シート（第３年度報告書）'!F227="","",'入力シート（第３年度報告書）'!F227)))</f>
        <v/>
      </c>
      <c r="E57" s="1147"/>
      <c r="F57" s="1216"/>
      <c r="G57" s="1147"/>
      <c r="H57" s="1216"/>
      <c r="I57" s="1216" t="str">
        <f>IF($AB$5=0,"",
     CHOOSE($AB$5,
         IF('入力シート（第１年度報告書）'!G227="","",'入力シート（第１年度報告書）'!G227),
         IF('入力シート（第２年度報告書）'!G227="","",'入力シート（第２年度報告書）'!G227),
         IF('入力シート（第３年度報告書）'!G227="","",'入力シート（第３年度報告書）'!G227)))</f>
        <v/>
      </c>
      <c r="J57" s="1216"/>
      <c r="K57" s="1216"/>
      <c r="L57" s="1216"/>
      <c r="M57" s="1216"/>
      <c r="N57" s="1216"/>
      <c r="O57" s="1216"/>
      <c r="P57" s="801" t="str">
        <f>IF($AB$5=0,"",
     CHOOSE($AB$5,
            VLOOKUP('入力シート（第１年度報告書）'!E227,'入力シート（第１年度報告書）'!$E$223:$Q$232,11,0)&amp;"",
            VLOOKUP('入力シート（第２年度報告書）'!E227,'入力シート（第２年度報告書）'!$E$223:$Q$232,12,0)&amp;"",
            VLOOKUP('入力シート（第３年度報告書）'!E227,'入力シート（第３年度報告書）'!$E$223:$Q$232,13,0)&amp;""))</f>
        <v/>
      </c>
      <c r="Q57" s="926"/>
      <c r="R57" s="802"/>
    </row>
    <row r="58" spans="3:18" s="195" customFormat="1" ht="60" customHeight="1">
      <c r="C58" s="1135"/>
      <c r="D58" s="1216" t="str">
        <f>IF($AB$5=0,"",
     CHOOSE($AB$5,
         IF('入力シート（第１年度報告書）'!F228="","",'入力シート（第１年度報告書）'!F228),
         IF('入力シート（第２年度報告書）'!F228="","",'入力シート（第２年度報告書）'!F228),
         IF('入力シート（第３年度報告書）'!F228="","",'入力シート（第３年度報告書）'!F228)))</f>
        <v/>
      </c>
      <c r="E58" s="1147"/>
      <c r="F58" s="1216"/>
      <c r="G58" s="1147"/>
      <c r="H58" s="1216"/>
      <c r="I58" s="1216" t="str">
        <f>IF($AB$5=0,"",
     CHOOSE($AB$5,
         IF('入力シート（第１年度報告書）'!G228="","",'入力シート（第１年度報告書）'!G228),
         IF('入力シート（第２年度報告書）'!G228="","",'入力シート（第２年度報告書）'!G228),
         IF('入力シート（第３年度報告書）'!G228="","",'入力シート（第３年度報告書）'!G228)))</f>
        <v/>
      </c>
      <c r="J58" s="1216"/>
      <c r="K58" s="1216"/>
      <c r="L58" s="1216"/>
      <c r="M58" s="1216"/>
      <c r="N58" s="1216"/>
      <c r="O58" s="1216"/>
      <c r="P58" s="801" t="str">
        <f>IF($AB$5=0,"",
     CHOOSE($AB$5,
            VLOOKUP('入力シート（第１年度報告書）'!E228,'入力シート（第１年度報告書）'!$E$223:$Q$232,11,0)&amp;"",
            VLOOKUP('入力シート（第２年度報告書）'!E228,'入力シート（第２年度報告書）'!$E$223:$Q$232,12,0)&amp;"",
            VLOOKUP('入力シート（第３年度報告書）'!E228,'入力シート（第３年度報告書）'!$E$223:$Q$232,13,0)&amp;""))</f>
        <v/>
      </c>
      <c r="Q58" s="926"/>
      <c r="R58" s="802"/>
    </row>
    <row r="59" spans="3:18" s="195" customFormat="1" ht="60" customHeight="1">
      <c r="C59" s="1135"/>
      <c r="D59" s="1216" t="str">
        <f>IF($AB$5=0,"",
     CHOOSE($AB$5,
         IF('入力シート（第１年度報告書）'!F229="","",'入力シート（第１年度報告書）'!F229),
         IF('入力シート（第２年度報告書）'!F229="","",'入力シート（第２年度報告書）'!F229),
         IF('入力シート（第３年度報告書）'!F229="","",'入力シート（第３年度報告書）'!F229)))</f>
        <v/>
      </c>
      <c r="E59" s="1147"/>
      <c r="F59" s="1216"/>
      <c r="G59" s="1147"/>
      <c r="H59" s="1216"/>
      <c r="I59" s="1216" t="str">
        <f>IF($AB$5=0,"",
     CHOOSE($AB$5,
         IF('入力シート（第１年度報告書）'!G229="","",'入力シート（第１年度報告書）'!G229),
         IF('入力シート（第２年度報告書）'!G229="","",'入力シート（第２年度報告書）'!G229),
         IF('入力シート（第３年度報告書）'!G229="","",'入力シート（第３年度報告書）'!G229)))</f>
        <v/>
      </c>
      <c r="J59" s="1216"/>
      <c r="K59" s="1216"/>
      <c r="L59" s="1216"/>
      <c r="M59" s="1216"/>
      <c r="N59" s="1216"/>
      <c r="O59" s="1216"/>
      <c r="P59" s="801" t="str">
        <f>IF($AB$5=0,"",
     CHOOSE($AB$5,
            VLOOKUP('入力シート（第１年度報告書）'!E229,'入力シート（第１年度報告書）'!$E$223:$Q$232,11,0)&amp;"",
            VLOOKUP('入力シート（第２年度報告書）'!E229,'入力シート（第２年度報告書）'!$E$223:$Q$232,12,0)&amp;"",
            VLOOKUP('入力シート（第３年度報告書）'!E229,'入力シート（第３年度報告書）'!$E$223:$Q$232,13,0)&amp;""))</f>
        <v/>
      </c>
      <c r="Q59" s="926"/>
      <c r="R59" s="802"/>
    </row>
    <row r="60" spans="3:18" s="195" customFormat="1" ht="60" customHeight="1">
      <c r="C60" s="1135"/>
      <c r="D60" s="1216" t="str">
        <f>IF($AB$5=0,"",
     CHOOSE($AB$5,
         IF('入力シート（第１年度報告書）'!F230="","",'入力シート（第１年度報告書）'!F230),
         IF('入力シート（第２年度報告書）'!F230="","",'入力シート（第２年度報告書）'!F230),
         IF('入力シート（第３年度報告書）'!F230="","",'入力シート（第３年度報告書）'!F230)))</f>
        <v/>
      </c>
      <c r="E60" s="1147"/>
      <c r="F60" s="1216"/>
      <c r="G60" s="1147"/>
      <c r="H60" s="1216"/>
      <c r="I60" s="1216" t="str">
        <f>IF($AB$5=0,"",
     CHOOSE($AB$5,
         IF('入力シート（第１年度報告書）'!G230="","",'入力シート（第１年度報告書）'!G230),
         IF('入力シート（第２年度報告書）'!G230="","",'入力シート（第２年度報告書）'!G230),
         IF('入力シート（第３年度報告書）'!G230="","",'入力シート（第３年度報告書）'!G230)))</f>
        <v/>
      </c>
      <c r="J60" s="1216"/>
      <c r="K60" s="1216"/>
      <c r="L60" s="1216"/>
      <c r="M60" s="1216"/>
      <c r="N60" s="1216"/>
      <c r="O60" s="1216"/>
      <c r="P60" s="801" t="str">
        <f>IF($AB$5=0,"",
     CHOOSE($AB$5,
            VLOOKUP('入力シート（第１年度報告書）'!E230,'入力シート（第１年度報告書）'!$E$223:$Q$232,11,0)&amp;"",
            VLOOKUP('入力シート（第２年度報告書）'!E230,'入力シート（第２年度報告書）'!$E$223:$Q$232,12,0)&amp;"",
            VLOOKUP('入力シート（第３年度報告書）'!E230,'入力シート（第３年度報告書）'!$E$223:$Q$232,13,0)&amp;""))</f>
        <v/>
      </c>
      <c r="Q60" s="926"/>
      <c r="R60" s="802"/>
    </row>
    <row r="61" spans="3:18" s="195" customFormat="1" ht="60" customHeight="1">
      <c r="C61" s="1135"/>
      <c r="D61" s="1216" t="str">
        <f>IF($AB$5=0,"",
     CHOOSE($AB$5,
         IF('入力シート（第１年度報告書）'!F231="","",'入力シート（第１年度報告書）'!F231),
         IF('入力シート（第２年度報告書）'!F231="","",'入力シート（第２年度報告書）'!F231),
         IF('入力シート（第３年度報告書）'!F231="","",'入力シート（第３年度報告書）'!F231)))</f>
        <v/>
      </c>
      <c r="E61" s="1147"/>
      <c r="F61" s="1216"/>
      <c r="G61" s="1147"/>
      <c r="H61" s="1216"/>
      <c r="I61" s="1216" t="str">
        <f>IF($AB$5=0,"",
     CHOOSE($AB$5,
         IF('入力シート（第１年度報告書）'!G231="","",'入力シート（第１年度報告書）'!G231),
         IF('入力シート（第２年度報告書）'!G231="","",'入力シート（第２年度報告書）'!G231),
         IF('入力シート（第３年度報告書）'!G231="","",'入力シート（第３年度報告書）'!G231)))</f>
        <v/>
      </c>
      <c r="J61" s="1216"/>
      <c r="K61" s="1216"/>
      <c r="L61" s="1216"/>
      <c r="M61" s="1216"/>
      <c r="N61" s="1216"/>
      <c r="O61" s="1216"/>
      <c r="P61" s="801" t="str">
        <f>IF($AB$5=0,"",
     CHOOSE($AB$5,
            VLOOKUP('入力シート（第１年度報告書）'!E231,'入力シート（第１年度報告書）'!$E$223:$Q$232,11,0)&amp;"",
            VLOOKUP('入力シート（第２年度報告書）'!E231,'入力シート（第２年度報告書）'!$E$223:$Q$232,12,0)&amp;"",
            VLOOKUP('入力シート（第３年度報告書）'!E231,'入力シート（第３年度報告書）'!$E$223:$Q$232,13,0)&amp;""))</f>
        <v/>
      </c>
      <c r="Q61" s="926"/>
      <c r="R61" s="802"/>
    </row>
    <row r="62" spans="3:18" s="195" customFormat="1" ht="60" customHeight="1">
      <c r="C62" s="1136"/>
      <c r="D62" s="1216" t="str">
        <f>IF($AB$5=0,"",
     CHOOSE($AB$5,
         IF('入力シート（第１年度報告書）'!F232="","",'入力シート（第１年度報告書）'!F232),
         IF('入力シート（第２年度報告書）'!F232="","",'入力シート（第２年度報告書）'!F232),
         IF('入力シート（第３年度報告書）'!F232="","",'入力シート（第３年度報告書）'!F232)))</f>
        <v/>
      </c>
      <c r="E62" s="1147"/>
      <c r="F62" s="1216"/>
      <c r="G62" s="1147"/>
      <c r="H62" s="1216"/>
      <c r="I62" s="1216" t="str">
        <f>IF($AB$5=0,"",
     CHOOSE($AB$5,
         IF('入力シート（第１年度報告書）'!G232="","",'入力シート（第１年度報告書）'!G232),
         IF('入力シート（第２年度報告書）'!G232="","",'入力シート（第２年度報告書）'!G232),
         IF('入力シート（第３年度報告書）'!G232="","",'入力シート（第３年度報告書）'!G232)))</f>
        <v/>
      </c>
      <c r="J62" s="1216"/>
      <c r="K62" s="1216"/>
      <c r="L62" s="1216"/>
      <c r="M62" s="1216"/>
      <c r="N62" s="1216"/>
      <c r="O62" s="1216"/>
      <c r="P62" s="801" t="str">
        <f>IF($AB$5=0,"",
     CHOOSE($AB$5,
            VLOOKUP('入力シート（第１年度報告書）'!E232,'入力シート（第１年度報告書）'!$E$223:$Q$232,11,0)&amp;"",
            VLOOKUP('入力シート（第２年度報告書）'!E232,'入力シート（第２年度報告書）'!$E$223:$Q$232,12,0)&amp;"",
            VLOOKUP('入力シート（第３年度報告書）'!E232,'入力シート（第３年度報告書）'!$E$223:$Q$232,13,0)&amp;""))</f>
        <v/>
      </c>
      <c r="Q62" s="926"/>
      <c r="R62" s="802"/>
    </row>
  </sheetData>
  <sheetProtection algorithmName="SHA-512" hashValue="UiM2/XqminTMkOEvh2x4Bhfn2KiUn0SDRHRbXqVGJz1oH2kdTmMe2tTgoB3qytzqEekJrwHs/PRoxjiKuX82xQ==" saltValue="17+Mp6a/cOgL1X8wKvhthA==" spinCount="100000" sheet="1" objects="1" scenarios="1" selectLockedCells="1"/>
  <mergeCells count="143">
    <mergeCell ref="D19:E20"/>
    <mergeCell ref="I20:O20"/>
    <mergeCell ref="P20:Q20"/>
    <mergeCell ref="D21:E23"/>
    <mergeCell ref="F24:G26"/>
    <mergeCell ref="P23:Q23"/>
    <mergeCell ref="I23:O23"/>
    <mergeCell ref="I26:O26"/>
    <mergeCell ref="N25:O25"/>
    <mergeCell ref="I25:J25"/>
    <mergeCell ref="H21:H23"/>
    <mergeCell ref="F21:G23"/>
    <mergeCell ref="H24:H26"/>
    <mergeCell ref="C52:C62"/>
    <mergeCell ref="P39:Q39"/>
    <mergeCell ref="M39:N39"/>
    <mergeCell ref="J39:K39"/>
    <mergeCell ref="G39:H39"/>
    <mergeCell ref="D39:E39"/>
    <mergeCell ref="C38:C39"/>
    <mergeCell ref="P47:R47"/>
    <mergeCell ref="P48:R48"/>
    <mergeCell ref="P57:R57"/>
    <mergeCell ref="P58:R58"/>
    <mergeCell ref="P59:R59"/>
    <mergeCell ref="P60:R60"/>
    <mergeCell ref="P61:R61"/>
    <mergeCell ref="I61:O61"/>
    <mergeCell ref="D62:H62"/>
    <mergeCell ref="I62:O62"/>
    <mergeCell ref="P62:R62"/>
    <mergeCell ref="I53:O53"/>
    <mergeCell ref="D61:H61"/>
    <mergeCell ref="P44:R44"/>
    <mergeCell ref="D52:H52"/>
    <mergeCell ref="D60:H60"/>
    <mergeCell ref="I60:O60"/>
    <mergeCell ref="C13:C15"/>
    <mergeCell ref="C19:C23"/>
    <mergeCell ref="C24:C35"/>
    <mergeCell ref="K32:L32"/>
    <mergeCell ref="P32:Q32"/>
    <mergeCell ref="K33:L33"/>
    <mergeCell ref="P33:Q33"/>
    <mergeCell ref="P34:Q34"/>
    <mergeCell ref="K28:L28"/>
    <mergeCell ref="P28:Q28"/>
    <mergeCell ref="K29:L29"/>
    <mergeCell ref="P29:Q29"/>
    <mergeCell ref="P30:Q30"/>
    <mergeCell ref="K22:L22"/>
    <mergeCell ref="K21:L21"/>
    <mergeCell ref="K19:L19"/>
    <mergeCell ref="F27:R27"/>
    <mergeCell ref="P25:Q25"/>
    <mergeCell ref="P24:Q24"/>
    <mergeCell ref="I19:J19"/>
    <mergeCell ref="N24:O24"/>
    <mergeCell ref="I24:J24"/>
    <mergeCell ref="H19:H20"/>
    <mergeCell ref="F19:G20"/>
    <mergeCell ref="I58:O58"/>
    <mergeCell ref="D59:H59"/>
    <mergeCell ref="I59:O59"/>
    <mergeCell ref="D56:H56"/>
    <mergeCell ref="I56:O56"/>
    <mergeCell ref="D57:H57"/>
    <mergeCell ref="I57:O57"/>
    <mergeCell ref="D54:H54"/>
    <mergeCell ref="I54:O54"/>
    <mergeCell ref="D55:H55"/>
    <mergeCell ref="D58:H58"/>
    <mergeCell ref="I52:O52"/>
    <mergeCell ref="D53:H53"/>
    <mergeCell ref="P53:R53"/>
    <mergeCell ref="P52:R52"/>
    <mergeCell ref="P54:R54"/>
    <mergeCell ref="P55:R55"/>
    <mergeCell ref="P56:R56"/>
    <mergeCell ref="I55:O55"/>
    <mergeCell ref="D12:R12"/>
    <mergeCell ref="I22:J22"/>
    <mergeCell ref="N22:O22"/>
    <mergeCell ref="N21:O21"/>
    <mergeCell ref="I21:J21"/>
    <mergeCell ref="N19:O19"/>
    <mergeCell ref="P49:R49"/>
    <mergeCell ref="P50:R50"/>
    <mergeCell ref="P46:R46"/>
    <mergeCell ref="D47:O47"/>
    <mergeCell ref="D48:O48"/>
    <mergeCell ref="D49:O49"/>
    <mergeCell ref="D50:O50"/>
    <mergeCell ref="D46:O46"/>
    <mergeCell ref="D24:E26"/>
    <mergeCell ref="D35:E35"/>
    <mergeCell ref="D10:R10"/>
    <mergeCell ref="D9:R9"/>
    <mergeCell ref="M38:O38"/>
    <mergeCell ref="J38:L38"/>
    <mergeCell ref="G38:I38"/>
    <mergeCell ref="D45:O45"/>
    <mergeCell ref="D44:O44"/>
    <mergeCell ref="D38:F38"/>
    <mergeCell ref="P42:R42"/>
    <mergeCell ref="P41:R41"/>
    <mergeCell ref="P43:R43"/>
    <mergeCell ref="P38:R38"/>
    <mergeCell ref="E15:R15"/>
    <mergeCell ref="P45:R45"/>
    <mergeCell ref="P22:Q22"/>
    <mergeCell ref="P21:Q21"/>
    <mergeCell ref="E14:R14"/>
    <mergeCell ref="E13:R13"/>
    <mergeCell ref="D11:R11"/>
    <mergeCell ref="P19:Q19"/>
    <mergeCell ref="P26:Q26"/>
    <mergeCell ref="K25:L25"/>
    <mergeCell ref="K24:L24"/>
    <mergeCell ref="D32:E34"/>
    <mergeCell ref="C41:C50"/>
    <mergeCell ref="D31:E31"/>
    <mergeCell ref="D28:E30"/>
    <mergeCell ref="D27:E27"/>
    <mergeCell ref="F31:R31"/>
    <mergeCell ref="F35:R35"/>
    <mergeCell ref="H32:H34"/>
    <mergeCell ref="F32:G34"/>
    <mergeCell ref="F28:G30"/>
    <mergeCell ref="I30:O30"/>
    <mergeCell ref="I34:O34"/>
    <mergeCell ref="I33:J33"/>
    <mergeCell ref="N33:O33"/>
    <mergeCell ref="N32:O32"/>
    <mergeCell ref="I32:J32"/>
    <mergeCell ref="N29:O29"/>
    <mergeCell ref="N28:O28"/>
    <mergeCell ref="I29:J29"/>
    <mergeCell ref="I28:J28"/>
    <mergeCell ref="H28:H30"/>
    <mergeCell ref="D42:O42"/>
    <mergeCell ref="D43:O43"/>
    <mergeCell ref="D41:O41"/>
  </mergeCells>
  <phoneticPr fontId="1"/>
  <conditionalFormatting sqref="P20 P30 P34">
    <cfRule type="expression" dxfId="68" priority="1" stopIfTrue="1">
      <formula>$G20&lt;&gt;""</formula>
    </cfRule>
  </conditionalFormatting>
  <conditionalFormatting sqref="P23">
    <cfRule type="expression" dxfId="67" priority="2" stopIfTrue="1">
      <formula>$G23&lt;&gt;""</formula>
    </cfRule>
  </conditionalFormatting>
  <conditionalFormatting sqref="P26">
    <cfRule type="expression" dxfId="66" priority="397" stopIfTrue="1">
      <formula>$G26&lt;&gt;""</formula>
    </cfRule>
  </conditionalFormatting>
  <dataValidations count="1">
    <dataValidation imeMode="halfAlpha" allowBlank="1" showInputMessage="1" showErrorMessage="1" sqref="P34 P23 P30 P26 P20" xr:uid="{C5CD7772-8E7F-4A89-AC58-26443D6DE484}"/>
  </dataValidations>
  <printOptions horizontalCentered="1"/>
  <pageMargins left="0.70866141732283472" right="0.55118110236220474" top="0.74803149606299213" bottom="0.74803149606299213" header="0.31496062992125984" footer="0.31496062992125984"/>
  <pageSetup paperSize="9" scale="75" fitToHeight="2" orientation="portrait" r:id="rId1"/>
  <headerFooter>
    <oddHeader>&amp;L&amp;"メイリオ,レギュラー"様式第２号別紙１</oddHeader>
    <oddFooter>&amp;R&amp;"メイリオ,レギュラー"&amp;8（特定事業者（運送事業者）用</oddFooter>
  </headerFooter>
  <rowBreaks count="1" manualBreakCount="1">
    <brk id="36" min="2" max="1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1215AF-A8FB-4E47-986A-1EE07E2261B5}">
          <x14:formula1>
            <xm:f>OFFSET(基本設定シート!$C$13,0,0,基本設定シート!$H$13)</xm:f>
          </x14:formula1>
          <xm:sqref>C2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0">
    <tabColor rgb="FFFFC000"/>
    <pageSetUpPr fitToPage="1"/>
  </sheetPr>
  <dimension ref="A1:Z27"/>
  <sheetViews>
    <sheetView showGridLines="0" view="pageBreakPreview" zoomScaleNormal="100" zoomScaleSheetLayoutView="100" workbookViewId="0">
      <pane ySplit="3" topLeftCell="A4" activePane="bottomLeft" state="frozen"/>
      <selection activeCell="AF17" sqref="AF17"/>
      <selection pane="bottomLeft" activeCell="I5" sqref="I5:J5"/>
    </sheetView>
  </sheetViews>
  <sheetFormatPr defaultColWidth="8.90625" defaultRowHeight="17.5"/>
  <cols>
    <col min="1" max="37" width="5.6328125" style="24" customWidth="1"/>
    <col min="38" max="16384" width="8.90625" style="24"/>
  </cols>
  <sheetData>
    <row r="1" spans="1:26">
      <c r="Z1" s="14"/>
    </row>
    <row r="3" spans="1:26" ht="25.5" customHeight="1">
      <c r="B3" s="1114" t="s">
        <v>68</v>
      </c>
      <c r="C3" s="1114"/>
      <c r="D3" s="1114"/>
      <c r="E3" s="1114"/>
      <c r="F3" s="1114"/>
      <c r="G3" s="1114"/>
      <c r="H3" s="1114"/>
      <c r="I3" s="1114"/>
      <c r="J3" s="1114"/>
      <c r="K3" s="1114"/>
      <c r="L3" s="1114"/>
      <c r="M3" s="1114"/>
      <c r="N3" s="1114"/>
    </row>
    <row r="4" spans="1:26" s="10" customFormat="1" ht="16"/>
    <row r="5" spans="1:26" s="10" customFormat="1" ht="26.25" customHeight="1">
      <c r="I5" s="1229"/>
      <c r="J5" s="1229"/>
      <c r="K5" s="378" t="s">
        <v>2</v>
      </c>
      <c r="L5" s="4"/>
      <c r="M5" s="378" t="s">
        <v>1</v>
      </c>
      <c r="N5" s="4"/>
      <c r="O5" s="378" t="s">
        <v>0</v>
      </c>
      <c r="S5" s="23"/>
      <c r="U5" s="23"/>
    </row>
    <row r="6" spans="1:26" s="10" customFormat="1" ht="26.25" customHeight="1">
      <c r="Q6" s="452"/>
    </row>
    <row r="7" spans="1:26" s="10" customFormat="1" ht="26.25" customHeight="1">
      <c r="A7" s="10" t="s">
        <v>3</v>
      </c>
    </row>
    <row r="8" spans="1:26" s="10" customFormat="1" ht="16"/>
    <row r="9" spans="1:26" s="10" customFormat="1" ht="27" customHeight="1">
      <c r="G9" s="1120" t="s">
        <v>4</v>
      </c>
      <c r="H9" s="1120"/>
      <c r="I9" s="1124" t="str">
        <f>IF('P2'!J8="","",'P2'!J8)</f>
        <v/>
      </c>
      <c r="J9" s="1124"/>
      <c r="K9" s="1124"/>
      <c r="L9" s="1124"/>
      <c r="M9" s="1124"/>
      <c r="N9" s="1124"/>
    </row>
    <row r="10" spans="1:26" s="10" customFormat="1" ht="16.5" customHeight="1">
      <c r="G10" s="406"/>
      <c r="H10" s="406"/>
      <c r="I10" s="407"/>
      <c r="J10" s="407"/>
      <c r="K10" s="407"/>
      <c r="L10" s="407"/>
      <c r="M10" s="407"/>
      <c r="N10" s="407"/>
    </row>
    <row r="11" spans="1:26" s="10" customFormat="1" ht="27" customHeight="1">
      <c r="G11" s="1120" t="s">
        <v>19</v>
      </c>
      <c r="H11" s="1120"/>
      <c r="I11" s="1124" t="str">
        <f>IF('P2'!J9="","",'P2'!J9)</f>
        <v/>
      </c>
      <c r="J11" s="1124"/>
      <c r="K11" s="1124"/>
      <c r="L11" s="1124"/>
      <c r="M11" s="1124"/>
      <c r="N11" s="1124"/>
    </row>
    <row r="12" spans="1:26" s="10" customFormat="1" ht="16.5" customHeight="1">
      <c r="G12" s="406"/>
      <c r="H12" s="406"/>
      <c r="I12" s="407"/>
      <c r="J12" s="407"/>
      <c r="K12" s="407"/>
      <c r="L12" s="407"/>
      <c r="M12" s="407"/>
      <c r="N12" s="407"/>
    </row>
    <row r="13" spans="1:26" s="10" customFormat="1" ht="27" customHeight="1">
      <c r="G13" s="1120" t="s">
        <v>34</v>
      </c>
      <c r="H13" s="1120"/>
      <c r="I13" s="1124" t="str">
        <f>IF('P2'!J10="","",'P2'!J10)</f>
        <v/>
      </c>
      <c r="J13" s="1124"/>
      <c r="K13" s="1124"/>
      <c r="L13" s="1124"/>
      <c r="M13" s="1124"/>
      <c r="N13" s="1124"/>
      <c r="O13" s="378"/>
    </row>
    <row r="14" spans="1:26" s="10" customFormat="1" ht="16"/>
    <row r="15" spans="1:26" s="10" customFormat="1" ht="22.5" customHeight="1"/>
    <row r="16" spans="1:26" s="10" customFormat="1" ht="18.75" customHeight="1">
      <c r="A16" s="1123" t="s">
        <v>3978</v>
      </c>
      <c r="B16" s="1123"/>
      <c r="C16" s="1123"/>
      <c r="D16" s="1123"/>
      <c r="E16" s="1123"/>
      <c r="F16" s="1123"/>
      <c r="G16" s="1123"/>
      <c r="H16" s="1123"/>
      <c r="I16" s="1123"/>
      <c r="J16" s="1123"/>
      <c r="K16" s="1123"/>
      <c r="L16" s="1123"/>
      <c r="M16" s="1123"/>
      <c r="N16" s="1123"/>
      <c r="O16" s="1123"/>
    </row>
    <row r="17" spans="1:15" s="10" customFormat="1" ht="18.75" customHeight="1">
      <c r="A17" s="1123"/>
      <c r="B17" s="1123"/>
      <c r="C17" s="1123"/>
      <c r="D17" s="1123"/>
      <c r="E17" s="1123"/>
      <c r="F17" s="1123"/>
      <c r="G17" s="1123"/>
      <c r="H17" s="1123"/>
      <c r="I17" s="1123"/>
      <c r="J17" s="1123"/>
      <c r="K17" s="1123"/>
      <c r="L17" s="1123"/>
      <c r="M17" s="1123"/>
      <c r="N17" s="1123"/>
      <c r="O17" s="1123"/>
    </row>
    <row r="18" spans="1:15" s="10" customFormat="1" ht="24.75" customHeight="1">
      <c r="A18" s="409"/>
      <c r="B18" s="409"/>
      <c r="C18" s="409"/>
      <c r="D18" s="409"/>
      <c r="E18" s="409"/>
      <c r="F18" s="409"/>
      <c r="G18" s="409"/>
      <c r="H18" s="409"/>
      <c r="I18" s="409"/>
      <c r="J18" s="409"/>
      <c r="K18" s="409"/>
      <c r="L18" s="409"/>
      <c r="M18" s="409"/>
      <c r="N18" s="409"/>
      <c r="O18" s="409"/>
    </row>
    <row r="19" spans="1:15" s="10" customFormat="1" ht="16"/>
    <row r="20" spans="1:15" s="10" customFormat="1" ht="24.75" customHeight="1">
      <c r="H20" s="378" t="s">
        <v>70</v>
      </c>
    </row>
    <row r="21" spans="1:15" s="10" customFormat="1" ht="24.75" customHeight="1">
      <c r="H21" s="378"/>
    </row>
    <row r="22" spans="1:15" s="10" customFormat="1" ht="16"/>
    <row r="23" spans="1:15" s="10" customFormat="1" ht="27" customHeight="1">
      <c r="B23" s="1120" t="s">
        <v>4</v>
      </c>
      <c r="C23" s="1120"/>
      <c r="E23" s="1228"/>
      <c r="F23" s="1228"/>
      <c r="G23" s="1228"/>
      <c r="H23" s="1228"/>
      <c r="I23" s="1228"/>
      <c r="J23" s="1228"/>
      <c r="K23" s="1228"/>
      <c r="L23" s="1228"/>
      <c r="M23" s="1228"/>
      <c r="N23" s="1228"/>
    </row>
    <row r="24" spans="1:15" s="10" customFormat="1" ht="16.5" customHeight="1">
      <c r="B24" s="406"/>
      <c r="C24" s="406"/>
    </row>
    <row r="25" spans="1:15" s="10" customFormat="1" ht="27" customHeight="1">
      <c r="B25" s="1120" t="s">
        <v>69</v>
      </c>
      <c r="C25" s="1120"/>
      <c r="E25" s="1228"/>
      <c r="F25" s="1228"/>
      <c r="G25" s="1228"/>
      <c r="H25" s="1228"/>
      <c r="I25" s="1228"/>
      <c r="J25" s="1228"/>
      <c r="K25" s="1228"/>
      <c r="L25" s="1228"/>
      <c r="M25" s="1228"/>
      <c r="N25" s="1228"/>
    </row>
    <row r="26" spans="1:15" s="10" customFormat="1" ht="16.5" customHeight="1">
      <c r="B26" s="406"/>
      <c r="C26" s="406"/>
    </row>
    <row r="27" spans="1:15" s="10" customFormat="1" ht="27" customHeight="1">
      <c r="B27" s="1120" t="s">
        <v>31</v>
      </c>
      <c r="C27" s="1120"/>
      <c r="E27" s="1228"/>
      <c r="F27" s="1228"/>
      <c r="G27" s="1228"/>
      <c r="H27" s="1228"/>
      <c r="I27" s="1228"/>
      <c r="J27" s="1228"/>
      <c r="K27" s="1228"/>
      <c r="L27" s="1228"/>
      <c r="M27" s="1228"/>
      <c r="N27" s="1228"/>
      <c r="O27" s="378"/>
    </row>
  </sheetData>
  <sheetProtection algorithmName="SHA-512" hashValue="m3NwssXGUjp0ADr37YvXQnxjfmWACrIvk35sVgk2jsCpCyCz//bolAOEs+4FgW/mYcxZQ1p+d0mq73Zbi9fLWA==" saltValue="ZTxCrcTDZlNxT5oaABKpxw==" spinCount="100000" sheet="1" objects="1" scenarios="1" selectLockedCells="1"/>
  <mergeCells count="15">
    <mergeCell ref="G13:H13"/>
    <mergeCell ref="I13:N13"/>
    <mergeCell ref="A16:O17"/>
    <mergeCell ref="B3:N3"/>
    <mergeCell ref="I5:J5"/>
    <mergeCell ref="G9:H9"/>
    <mergeCell ref="I9:N9"/>
    <mergeCell ref="G11:H11"/>
    <mergeCell ref="I11:N11"/>
    <mergeCell ref="B23:C23"/>
    <mergeCell ref="B25:C25"/>
    <mergeCell ref="B27:C27"/>
    <mergeCell ref="E23:N23"/>
    <mergeCell ref="E25:N25"/>
    <mergeCell ref="E27:N27"/>
  </mergeCells>
  <phoneticPr fontId="1"/>
  <conditionalFormatting sqref="E23:N23 E25:N25 E27:N27">
    <cfRule type="expression" dxfId="65" priority="3">
      <formula>E23&lt;&gt;""</formula>
    </cfRule>
  </conditionalFormatting>
  <conditionalFormatting sqref="I5:J5 L5 N5">
    <cfRule type="expression" dxfId="64" priority="1">
      <formula>I5&lt;&gt;""</formula>
    </cfRule>
  </conditionalFormatting>
  <conditionalFormatting sqref="Q6">
    <cfRule type="expression" dxfId="63" priority="4">
      <formula>$AA$1&gt;1</formula>
    </cfRule>
  </conditionalFormatting>
  <dataValidations count="4">
    <dataValidation imeMode="hiragana" allowBlank="1" showInputMessage="1" showErrorMessage="1" sqref="E23:N23 E25:N25 E27:N27" xr:uid="{00000000-0002-0000-1700-000000000000}"/>
    <dataValidation type="whole" imeMode="halfAlpha" allowBlank="1" showErrorMessage="1" promptTitle="　年 ⇒ 月 ⇒ 日 の順番で選択して下さい。" prompt=" " sqref="L5" xr:uid="{BB2C0453-87C7-4800-82A3-AD5602FC280D}">
      <formula1>1</formula1>
      <formula2>12</formula2>
    </dataValidation>
    <dataValidation type="whole" errorStyle="warning" imeMode="halfAlpha" allowBlank="1" showErrorMessage="1" promptTitle="　年 ⇒ 月 ⇒ 日 の順番で選択して下さい。" prompt=" " sqref="I5:J5" xr:uid="{97229D52-A896-4539-A604-D4DC2AE8C3C7}">
      <formula1>2026</formula1>
      <formula2>2030</formula2>
    </dataValidation>
    <dataValidation type="whole" imeMode="halfAlpha" allowBlank="1" showErrorMessage="1" promptTitle="　年 ⇒ 月 ⇒ 日 の順番で選択して下さい。" prompt=" 　" sqref="N5" xr:uid="{4EA03342-D824-4690-BBAD-36B80F81C65E}">
      <formula1>1</formula1>
      <formula2>31</formula2>
    </dataValidation>
  </dataValidations>
  <printOptions horizontalCentered="1"/>
  <pageMargins left="0.70866141732283472" right="0.51181102362204722" top="0.55118110236220474" bottom="0.55118110236220474" header="0.31496062992125984" footer="0.31496062992125984"/>
  <pageSetup paperSize="9" scale="95" orientation="portrait" r:id="rId1"/>
  <headerFooter>
    <oddHeader>&amp;L&amp;"メイリオ,レギュラー"様式第１号別添</oddHeader>
    <oddFooter>&amp;R&amp;"メイリオ,レギュラー"&amp;8（特定事業者（運送事業者）用</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750D0-07C3-41CF-B929-0C11DEA37C09}">
  <sheetPr codeName="Sheet11">
    <tabColor theme="9" tint="0.39997558519241921"/>
    <pageSetUpPr fitToPage="1"/>
  </sheetPr>
  <dimension ref="A1:N56"/>
  <sheetViews>
    <sheetView showGridLines="0" view="pageBreakPreview" zoomScaleNormal="100" zoomScaleSheetLayoutView="100" workbookViewId="0"/>
  </sheetViews>
  <sheetFormatPr defaultColWidth="8.90625" defaultRowHeight="16" outlineLevelRow="1"/>
  <cols>
    <col min="1" max="23" width="9.453125" style="195" customWidth="1"/>
    <col min="24" max="16384" width="8.90625" style="195"/>
  </cols>
  <sheetData>
    <row r="1" spans="1:14">
      <c r="A1" s="10"/>
      <c r="B1" s="10"/>
      <c r="C1" s="10"/>
      <c r="D1" s="10"/>
      <c r="E1" s="10"/>
      <c r="F1" s="10"/>
      <c r="G1" s="10"/>
      <c r="H1" s="10"/>
      <c r="I1" s="10"/>
      <c r="J1" s="10"/>
      <c r="K1" s="10"/>
      <c r="L1" s="10"/>
      <c r="M1" s="10"/>
    </row>
    <row r="2" spans="1:14" ht="36.75" customHeight="1">
      <c r="A2" s="1230" t="s">
        <v>4040</v>
      </c>
      <c r="B2" s="1231"/>
      <c r="C2" s="1232"/>
      <c r="D2" s="453" t="s">
        <v>4304</v>
      </c>
      <c r="E2" s="454" t="s">
        <v>4022</v>
      </c>
      <c r="F2" s="10"/>
      <c r="G2" s="10"/>
      <c r="H2" s="10"/>
      <c r="I2" s="10"/>
      <c r="J2" s="10"/>
      <c r="K2" s="10"/>
      <c r="L2" s="10"/>
      <c r="M2" s="10"/>
    </row>
    <row r="3" spans="1:14" ht="21.75" customHeight="1">
      <c r="A3" s="1233" t="s">
        <v>4038</v>
      </c>
      <c r="B3" s="1234" t="s">
        <v>4023</v>
      </c>
      <c r="C3" s="1235"/>
      <c r="D3" s="454">
        <v>50</v>
      </c>
      <c r="E3" s="455" t="str">
        <f>IF(I18&lt;I33,I33,I18)</f>
        <v/>
      </c>
      <c r="F3" s="10"/>
      <c r="G3" s="10"/>
      <c r="H3" s="10"/>
      <c r="I3" s="10"/>
      <c r="J3" s="10"/>
      <c r="K3" s="10"/>
      <c r="L3" s="10"/>
      <c r="M3" s="10"/>
    </row>
    <row r="4" spans="1:14" ht="21.75" customHeight="1">
      <c r="A4" s="1233"/>
      <c r="B4" s="1234" t="s">
        <v>4024</v>
      </c>
      <c r="C4" s="1235"/>
      <c r="D4" s="454">
        <v>50</v>
      </c>
      <c r="E4" s="455" t="str">
        <f>IF(I20&lt;I35,I35,I20)</f>
        <v/>
      </c>
      <c r="F4" s="10"/>
      <c r="G4" s="10"/>
      <c r="H4" s="10"/>
      <c r="I4" s="10"/>
      <c r="J4" s="10"/>
      <c r="K4" s="10"/>
      <c r="L4" s="10"/>
      <c r="M4" s="10"/>
    </row>
    <row r="5" spans="1:14" ht="21.75" customHeight="1">
      <c r="A5" s="1236" t="s">
        <v>4039</v>
      </c>
      <c r="B5" s="1234" t="s">
        <v>4026</v>
      </c>
      <c r="C5" s="1235"/>
      <c r="D5" s="454">
        <v>50</v>
      </c>
      <c r="E5" s="455" t="str">
        <f>IF(F43&lt;&gt;"",F43,IF(F42&lt;&gt;"",F42,IF(F41&lt;&gt;"",F41,"")))</f>
        <v/>
      </c>
      <c r="F5" s="404"/>
      <c r="G5" s="10"/>
      <c r="H5" s="10"/>
      <c r="I5" s="10"/>
      <c r="J5" s="10"/>
      <c r="K5" s="10"/>
      <c r="L5" s="10"/>
      <c r="M5" s="10"/>
    </row>
    <row r="6" spans="1:14" ht="21.75" customHeight="1" thickBot="1">
      <c r="A6" s="1237"/>
      <c r="B6" s="1238" t="s">
        <v>4305</v>
      </c>
      <c r="C6" s="1239"/>
      <c r="D6" s="456">
        <v>50</v>
      </c>
      <c r="E6" s="457" t="str">
        <f>IF(F43&lt;&gt;"",IF(SUM(D49,C55)&gt;=D6,D6,SUM(D49,C55)),IF(F42&lt;&gt;"",IF(SUM(D48,C54)&gt;=D6,D6,SUM(D48,C54)),IF(F41&lt;&gt;"",IF(SUM(D47,C53)&gt;=D6,D6,SUM(D47,C53)),"")))</f>
        <v/>
      </c>
      <c r="F6" s="458"/>
      <c r="G6" s="10"/>
      <c r="H6" s="10"/>
      <c r="I6" s="10"/>
      <c r="J6" s="10"/>
      <c r="K6" s="10"/>
      <c r="L6" s="10"/>
      <c r="M6" s="10"/>
      <c r="N6" s="196"/>
    </row>
    <row r="7" spans="1:14" ht="21.75" customHeight="1" thickTop="1" thickBot="1">
      <c r="A7" s="1240" t="s">
        <v>81</v>
      </c>
      <c r="B7" s="1241"/>
      <c r="C7" s="1242"/>
      <c r="D7" s="459">
        <v>200</v>
      </c>
      <c r="E7" s="460">
        <f>ROUNDDOWN(SUM(E3:E6),0)</f>
        <v>0</v>
      </c>
      <c r="F7" s="461" t="s">
        <v>4306</v>
      </c>
      <c r="G7" s="462" t="s">
        <v>4041</v>
      </c>
      <c r="H7" s="463" t="str">
        <f>IF(E7&gt;=A11,C11,IF(AND(E7&gt;=A12,E7&lt;B12),C12,IF(E7&lt;B13,C13,"-")))</f>
        <v>B</v>
      </c>
      <c r="I7" s="10"/>
      <c r="J7" s="10"/>
      <c r="K7" s="10"/>
      <c r="L7" s="10"/>
      <c r="M7" s="10"/>
    </row>
    <row r="8" spans="1:14" ht="22.75" customHeight="1">
      <c r="A8" s="10"/>
      <c r="B8" s="10"/>
      <c r="C8" s="10"/>
      <c r="D8" s="10"/>
      <c r="E8" s="10"/>
      <c r="F8" s="10"/>
      <c r="G8" s="253" t="str">
        <f>IF(H7=C13,"（"&amp;C12&amp;"評価まであと"&amp;ROUNDUP(A12-E7,0)&amp;"点)",IF(H7=C12,"（"&amp;C11&amp;"評価まであと"&amp;ROUNDUP(A11-E7,0)&amp;"点）",IF(H7=C11,"","")))</f>
        <v>（A評価まであと130点)</v>
      </c>
      <c r="H8" s="10"/>
      <c r="I8" s="10"/>
      <c r="J8" s="10"/>
      <c r="K8" s="10"/>
      <c r="L8" s="10"/>
      <c r="M8" s="10"/>
    </row>
    <row r="9" spans="1:14">
      <c r="A9" s="1210" t="s">
        <v>4022</v>
      </c>
      <c r="B9" s="1210"/>
      <c r="C9" s="1210" t="s">
        <v>4041</v>
      </c>
      <c r="D9" s="10"/>
      <c r="E9" s="10"/>
      <c r="F9" s="10"/>
      <c r="G9" s="10"/>
      <c r="H9" s="10"/>
      <c r="I9" s="10"/>
      <c r="J9" s="10"/>
      <c r="K9" s="10"/>
      <c r="L9" s="10"/>
      <c r="M9" s="10"/>
    </row>
    <row r="10" spans="1:14">
      <c r="A10" s="125" t="s">
        <v>4045</v>
      </c>
      <c r="B10" s="125" t="s">
        <v>4046</v>
      </c>
      <c r="C10" s="1210"/>
      <c r="D10" s="10"/>
      <c r="E10" s="10"/>
      <c r="F10" s="10"/>
      <c r="G10" s="10"/>
      <c r="H10" s="10"/>
      <c r="I10" s="10"/>
      <c r="J10" s="10"/>
      <c r="K10" s="10"/>
      <c r="L10" s="10"/>
      <c r="M10" s="10"/>
    </row>
    <row r="11" spans="1:14">
      <c r="A11" s="125">
        <v>160</v>
      </c>
      <c r="B11" s="125"/>
      <c r="C11" s="125" t="s">
        <v>4042</v>
      </c>
      <c r="D11" s="10"/>
      <c r="E11" s="10"/>
      <c r="F11" s="10"/>
      <c r="G11" s="10"/>
      <c r="H11" s="10"/>
      <c r="I11" s="10"/>
      <c r="J11" s="10"/>
      <c r="K11" s="10"/>
      <c r="L11" s="10"/>
      <c r="M11" s="10"/>
    </row>
    <row r="12" spans="1:14">
      <c r="A12" s="125">
        <v>130</v>
      </c>
      <c r="B12" s="125">
        <v>160</v>
      </c>
      <c r="C12" s="125" t="s">
        <v>4043</v>
      </c>
      <c r="D12" s="10"/>
      <c r="E12" s="10"/>
      <c r="F12" s="10"/>
      <c r="G12" s="10"/>
      <c r="H12" s="10"/>
      <c r="I12" s="10"/>
      <c r="J12" s="10"/>
      <c r="K12" s="10"/>
      <c r="L12" s="10"/>
      <c r="M12" s="10"/>
    </row>
    <row r="13" spans="1:14">
      <c r="A13" s="125"/>
      <c r="B13" s="125">
        <v>130</v>
      </c>
      <c r="C13" s="125" t="s">
        <v>4044</v>
      </c>
      <c r="D13" s="10"/>
      <c r="E13" s="10"/>
      <c r="F13" s="10"/>
      <c r="G13" s="10"/>
      <c r="H13" s="10"/>
      <c r="I13" s="10"/>
      <c r="J13" s="10"/>
      <c r="K13" s="10"/>
      <c r="L13" s="10"/>
      <c r="M13" s="10"/>
    </row>
    <row r="14" spans="1:14">
      <c r="A14" s="10"/>
      <c r="B14" s="10"/>
      <c r="C14" s="10"/>
      <c r="D14" s="10"/>
      <c r="E14" s="10"/>
      <c r="F14" s="10"/>
      <c r="G14" s="10"/>
      <c r="H14" s="10"/>
      <c r="I14" s="10"/>
      <c r="J14" s="10"/>
      <c r="K14" s="10"/>
      <c r="L14" s="10"/>
      <c r="M14" s="10"/>
    </row>
    <row r="15" spans="1:14" ht="19" hidden="1" outlineLevel="1">
      <c r="A15" s="42" t="s">
        <v>4307</v>
      </c>
      <c r="B15" s="10"/>
      <c r="C15" s="10"/>
      <c r="D15" s="10"/>
      <c r="E15" s="10"/>
      <c r="F15" s="10"/>
      <c r="G15" s="10"/>
      <c r="H15" s="10"/>
      <c r="I15" s="10"/>
      <c r="J15" s="10"/>
      <c r="K15" s="10"/>
      <c r="L15" s="10"/>
      <c r="M15" s="10"/>
    </row>
    <row r="16" spans="1:14" ht="17.5" hidden="1" outlineLevel="1">
      <c r="A16" s="58" t="s">
        <v>4308</v>
      </c>
      <c r="B16" s="10"/>
      <c r="C16" s="10"/>
      <c r="D16" s="10"/>
      <c r="E16" s="10"/>
      <c r="F16" s="10"/>
      <c r="G16" s="10"/>
      <c r="H16" s="10"/>
      <c r="I16" s="10"/>
      <c r="J16" s="10"/>
      <c r="K16" s="10"/>
      <c r="L16" s="10"/>
      <c r="M16" s="10"/>
    </row>
    <row r="17" spans="1:13" hidden="1" outlineLevel="1">
      <c r="A17" s="1233"/>
      <c r="B17" s="1233"/>
      <c r="C17" s="1233"/>
      <c r="D17" s="454" t="s">
        <v>4016</v>
      </c>
      <c r="E17" s="454" t="s">
        <v>4009</v>
      </c>
      <c r="F17" s="454" t="s">
        <v>4014</v>
      </c>
      <c r="G17" s="454" t="s">
        <v>4015</v>
      </c>
      <c r="H17" s="454" t="s">
        <v>4309</v>
      </c>
      <c r="I17" s="454" t="s">
        <v>4022</v>
      </c>
      <c r="J17" s="10"/>
      <c r="K17" s="713">
        <v>0.04</v>
      </c>
      <c r="L17" s="713"/>
      <c r="M17" s="464">
        <v>50</v>
      </c>
    </row>
    <row r="18" spans="1:13" hidden="1" outlineLevel="1">
      <c r="A18" s="1233" t="s">
        <v>4023</v>
      </c>
      <c r="B18" s="1243" t="s">
        <v>4504</v>
      </c>
      <c r="C18" s="1243"/>
      <c r="D18" s="125" t="str">
        <f>'R3'!K19</f>
        <v/>
      </c>
      <c r="E18" s="125" t="str">
        <f>'R3'!K24</f>
        <v/>
      </c>
      <c r="F18" s="125" t="str">
        <f>'R3'!K28</f>
        <v/>
      </c>
      <c r="G18" s="125" t="str">
        <f>'R3'!K32</f>
        <v/>
      </c>
      <c r="H18" s="125" t="s">
        <v>25</v>
      </c>
      <c r="I18" s="927" t="str">
        <f>IF(H19="","",IF(H19&gt;=$K$17,$M$17,IF(AND(H19&gt;=$K$18,H19&lt;$L$18),$M$18,IF(AND(H19&gt;=$K$19,H19&lt;$L$19),$M$19,IF(AND(H19&gt;=$K$20,H19&lt;$L$20),$M$20,$M$21)))))</f>
        <v/>
      </c>
      <c r="J18" s="10"/>
      <c r="K18" s="713">
        <v>0.03</v>
      </c>
      <c r="L18" s="713">
        <v>0.04</v>
      </c>
      <c r="M18" s="464">
        <v>40</v>
      </c>
    </row>
    <row r="19" spans="1:13" hidden="1" outlineLevel="1">
      <c r="A19" s="1233"/>
      <c r="B19" s="1243" t="s">
        <v>4310</v>
      </c>
      <c r="C19" s="1243"/>
      <c r="D19" s="125" t="s">
        <v>25</v>
      </c>
      <c r="E19" s="466" t="str">
        <f>'R3'!K25</f>
        <v/>
      </c>
      <c r="F19" s="466" t="str">
        <f>'R3'!K29</f>
        <v/>
      </c>
      <c r="G19" s="466" t="str">
        <f>'R3'!K33</f>
        <v/>
      </c>
      <c r="H19" s="125" t="str">
        <f>IFERROR(AVERAGE(E19:G19),"")</f>
        <v/>
      </c>
      <c r="I19" s="928"/>
      <c r="J19" s="10"/>
      <c r="K19" s="713">
        <v>0.02</v>
      </c>
      <c r="L19" s="713">
        <v>0.03</v>
      </c>
      <c r="M19" s="464">
        <v>30</v>
      </c>
    </row>
    <row r="20" spans="1:13" hidden="1" outlineLevel="1">
      <c r="A20" s="1233" t="s">
        <v>4024</v>
      </c>
      <c r="B20" s="1243" t="s">
        <v>4505</v>
      </c>
      <c r="C20" s="1243"/>
      <c r="D20" s="125" t="str">
        <f>'R3'!P19</f>
        <v/>
      </c>
      <c r="E20" s="125" t="str">
        <f>'R3'!P24</f>
        <v/>
      </c>
      <c r="F20" s="125" t="str">
        <f>'R3'!P28</f>
        <v/>
      </c>
      <c r="G20" s="125" t="str">
        <f>'R3'!P32</f>
        <v/>
      </c>
      <c r="H20" s="125" t="s">
        <v>25</v>
      </c>
      <c r="I20" s="927" t="str">
        <f>IF(H21="","",IF(H21&gt;=$K$17,$M$17,IF(AND(H21&gt;=$K$18,H21&lt;$L$18),$M$18,IF(AND(H21&gt;=$K$19,H21&lt;$L$19),$M$19,IF(AND(H21&gt;=$K$20,H21&lt;$L$20),$M$20,$M$21)))))</f>
        <v/>
      </c>
      <c r="J20" s="10"/>
      <c r="K20" s="713">
        <v>0</v>
      </c>
      <c r="L20" s="713">
        <v>0.02</v>
      </c>
      <c r="M20" s="464">
        <v>20</v>
      </c>
    </row>
    <row r="21" spans="1:13" hidden="1" outlineLevel="1">
      <c r="A21" s="1233"/>
      <c r="B21" s="1243" t="s">
        <v>4310</v>
      </c>
      <c r="C21" s="1243"/>
      <c r="D21" s="125" t="s">
        <v>25</v>
      </c>
      <c r="E21" s="466" t="str">
        <f>'R3'!P25</f>
        <v/>
      </c>
      <c r="F21" s="466" t="str">
        <f>'R3'!P29</f>
        <v/>
      </c>
      <c r="G21" s="466" t="str">
        <f>'R3'!P33</f>
        <v/>
      </c>
      <c r="H21" s="125" t="str">
        <f>IFERROR(AVERAGE(E21:G21),"")</f>
        <v/>
      </c>
      <c r="I21" s="928"/>
      <c r="J21" s="10"/>
      <c r="K21" s="713"/>
      <c r="L21" s="713">
        <v>0</v>
      </c>
      <c r="M21" s="464">
        <v>0</v>
      </c>
    </row>
    <row r="22" spans="1:13" ht="9" hidden="1" customHeight="1" outlineLevel="1">
      <c r="A22" s="10"/>
      <c r="B22" s="10"/>
      <c r="C22" s="10"/>
      <c r="D22" s="10"/>
      <c r="E22" s="10"/>
      <c r="F22" s="10"/>
      <c r="G22" s="10"/>
      <c r="H22" s="10"/>
      <c r="I22" s="10"/>
      <c r="J22" s="10"/>
      <c r="K22" s="10"/>
      <c r="L22" s="10"/>
      <c r="M22" s="10"/>
    </row>
    <row r="23" spans="1:13" ht="17.5" hidden="1" outlineLevel="1">
      <c r="A23" s="58" t="s">
        <v>4311</v>
      </c>
      <c r="B23" s="10"/>
      <c r="C23" s="10"/>
      <c r="D23" s="10"/>
      <c r="E23" s="10"/>
      <c r="F23" s="10"/>
      <c r="G23" s="10"/>
      <c r="H23" s="10"/>
      <c r="I23" s="10"/>
      <c r="J23" s="10"/>
      <c r="K23" s="10"/>
      <c r="L23" s="10"/>
      <c r="M23" s="10"/>
    </row>
    <row r="24" spans="1:13" hidden="1" outlineLevel="1">
      <c r="A24" s="10" t="s">
        <v>4312</v>
      </c>
      <c r="B24" s="10"/>
      <c r="C24" s="10"/>
      <c r="D24" s="10"/>
      <c r="E24" s="10"/>
      <c r="F24" s="10"/>
      <c r="G24" s="10"/>
      <c r="H24" s="10"/>
      <c r="I24" s="10"/>
      <c r="J24" s="10"/>
      <c r="K24" s="10"/>
      <c r="L24" s="10"/>
      <c r="M24" s="10"/>
    </row>
    <row r="25" spans="1:13" hidden="1" outlineLevel="1">
      <c r="A25" s="1233" t="s">
        <v>4506</v>
      </c>
      <c r="B25" s="1233"/>
      <c r="C25" s="1233"/>
      <c r="D25" s="1233"/>
      <c r="E25" s="1233"/>
      <c r="F25" s="1233"/>
      <c r="G25" s="1233"/>
      <c r="H25" s="1233"/>
      <c r="I25" s="1233"/>
      <c r="J25" s="1244" t="s">
        <v>4507</v>
      </c>
      <c r="K25" s="1244" t="s">
        <v>4313</v>
      </c>
      <c r="L25" s="1244" t="s">
        <v>4314</v>
      </c>
      <c r="M25" s="1244" t="s">
        <v>4315</v>
      </c>
    </row>
    <row r="26" spans="1:13" hidden="1" outlineLevel="1">
      <c r="A26" s="1233" t="s">
        <v>4316</v>
      </c>
      <c r="B26" s="1233"/>
      <c r="C26" s="1233"/>
      <c r="D26" s="1233"/>
      <c r="E26" s="1233"/>
      <c r="F26" s="1244" t="s">
        <v>4317</v>
      </c>
      <c r="G26" s="1244" t="s">
        <v>4492</v>
      </c>
      <c r="H26" s="1245"/>
      <c r="I26" s="1245" t="s">
        <v>4144</v>
      </c>
      <c r="J26" s="1245"/>
      <c r="K26" s="1245"/>
      <c r="L26" s="1245"/>
      <c r="M26" s="1245"/>
    </row>
    <row r="27" spans="1:13" ht="16.5" hidden="1" customHeight="1" outlineLevel="1">
      <c r="A27" s="1233" t="s">
        <v>4318</v>
      </c>
      <c r="B27" s="1233"/>
      <c r="C27" s="1233"/>
      <c r="D27" s="454" t="s">
        <v>4319</v>
      </c>
      <c r="E27" s="454" t="s">
        <v>4023</v>
      </c>
      <c r="F27" s="1245"/>
      <c r="G27" s="1245"/>
      <c r="H27" s="1245"/>
      <c r="I27" s="1245"/>
      <c r="J27" s="1245"/>
      <c r="K27" s="1245"/>
      <c r="L27" s="1245"/>
      <c r="M27" s="1245"/>
    </row>
    <row r="28" spans="1:13" ht="54.75" hidden="1" customHeight="1" outlineLevel="1">
      <c r="A28" s="467" t="s">
        <v>4320</v>
      </c>
      <c r="B28" s="467" t="s">
        <v>4321</v>
      </c>
      <c r="C28" s="467" t="s">
        <v>4322</v>
      </c>
      <c r="D28" s="467" t="s">
        <v>4323</v>
      </c>
      <c r="E28" s="467" t="s">
        <v>4324</v>
      </c>
      <c r="F28" s="1246"/>
      <c r="G28" s="1246"/>
      <c r="H28" s="1246"/>
      <c r="I28" s="1246"/>
      <c r="J28" s="1246"/>
      <c r="K28" s="1246"/>
      <c r="L28" s="1246"/>
      <c r="M28" s="1246"/>
    </row>
    <row r="29" spans="1:13" ht="16.5" hidden="1" outlineLevel="1" thickBot="1">
      <c r="A29" s="468" t="s">
        <v>4325</v>
      </c>
      <c r="B29" s="468" t="s">
        <v>4325</v>
      </c>
      <c r="C29" s="468" t="s">
        <v>4325</v>
      </c>
      <c r="D29" s="468" t="s">
        <v>4508</v>
      </c>
      <c r="E29" s="468" t="s">
        <v>4499</v>
      </c>
      <c r="F29" s="468" t="s">
        <v>4499</v>
      </c>
      <c r="G29" s="468" t="s">
        <v>4499</v>
      </c>
      <c r="H29" s="468" t="s">
        <v>4499</v>
      </c>
      <c r="I29" s="468" t="s">
        <v>4499</v>
      </c>
      <c r="J29" s="468" t="s">
        <v>4499</v>
      </c>
      <c r="K29" s="469" t="s">
        <v>4499</v>
      </c>
      <c r="L29" s="468" t="s">
        <v>4326</v>
      </c>
      <c r="M29" s="469" t="s">
        <v>4509</v>
      </c>
    </row>
    <row r="30" spans="1:13" ht="16.5" hidden="1" outlineLevel="1" thickBot="1">
      <c r="A30" s="125" t="str">
        <f>'P1'!K20</f>
        <v/>
      </c>
      <c r="B30" s="125" t="str">
        <f>'P1'!K21</f>
        <v/>
      </c>
      <c r="C30" s="125" t="s">
        <v>4491</v>
      </c>
      <c r="D30" s="125">
        <f>基本設定シート!D18</f>
        <v>0.42099999999999999</v>
      </c>
      <c r="E30" s="125">
        <f>SUM(A30:C30)*D30</f>
        <v>0</v>
      </c>
      <c r="F30" s="125" t="s">
        <v>4491</v>
      </c>
      <c r="G30" s="125">
        <f>'P1'!N15</f>
        <v>0</v>
      </c>
      <c r="H30" s="125" t="s">
        <v>4491</v>
      </c>
      <c r="I30" s="125" t="s">
        <v>4491</v>
      </c>
      <c r="J30" s="379" t="str">
        <f>'P1'!G36</f>
        <v/>
      </c>
      <c r="K30" s="470">
        <f>SUM(E30:J30)</f>
        <v>0</v>
      </c>
      <c r="L30" s="380" t="str">
        <f>'P1'!G57</f>
        <v/>
      </c>
      <c r="M30" s="470" t="str">
        <f>IFERROR(K30/L30,"")</f>
        <v/>
      </c>
    </row>
    <row r="31" spans="1:13" hidden="1" outlineLevel="1">
      <c r="A31" s="10"/>
      <c r="B31" s="10"/>
      <c r="C31" s="10"/>
      <c r="D31" s="10"/>
      <c r="E31" s="10"/>
      <c r="F31" s="10"/>
      <c r="G31" s="10"/>
      <c r="H31" s="10"/>
      <c r="I31" s="10"/>
      <c r="J31" s="10"/>
      <c r="K31" s="10"/>
      <c r="L31" s="10"/>
      <c r="M31" s="10"/>
    </row>
    <row r="32" spans="1:13" hidden="1" outlineLevel="1">
      <c r="A32" s="1233"/>
      <c r="B32" s="1233"/>
      <c r="C32" s="1233"/>
      <c r="D32" s="454" t="s">
        <v>4016</v>
      </c>
      <c r="E32" s="454" t="s">
        <v>4009</v>
      </c>
      <c r="F32" s="454" t="s">
        <v>4014</v>
      </c>
      <c r="G32" s="454" t="s">
        <v>4015</v>
      </c>
      <c r="H32" s="454" t="s">
        <v>4309</v>
      </c>
      <c r="I32" s="454" t="s">
        <v>4022</v>
      </c>
      <c r="J32" s="10"/>
      <c r="K32" s="713">
        <v>0.8</v>
      </c>
      <c r="L32" s="713"/>
      <c r="M32" s="464">
        <v>50</v>
      </c>
    </row>
    <row r="33" spans="1:13" hidden="1" outlineLevel="1">
      <c r="A33" s="1233" t="s">
        <v>4023</v>
      </c>
      <c r="B33" s="1243" t="s">
        <v>4504</v>
      </c>
      <c r="C33" s="1243"/>
      <c r="D33" s="125">
        <f>K30</f>
        <v>0</v>
      </c>
      <c r="E33" s="125" t="str">
        <f>E18</f>
        <v/>
      </c>
      <c r="F33" s="125" t="str">
        <f t="shared" ref="F33:G33" si="0">F18</f>
        <v/>
      </c>
      <c r="G33" s="125" t="str">
        <f t="shared" si="0"/>
        <v/>
      </c>
      <c r="H33" s="125" t="s">
        <v>25</v>
      </c>
      <c r="I33" s="927" t="str">
        <f>IF(H34="","",IF(H34&gt;=$K$32,$M$32,IF(AND(H34&gt;=$K$33,H34&lt;$L$33),$M$33,IF(AND(H34&gt;=$K$34,H34&lt;$L$34),$M$34,IF(AND(H34&gt;=$K$35,H34&lt;$L$35),$M$35,$M$36)))))</f>
        <v/>
      </c>
      <c r="J33" s="10"/>
      <c r="K33" s="713">
        <v>0.6</v>
      </c>
      <c r="L33" s="713">
        <v>0.8</v>
      </c>
      <c r="M33" s="464">
        <v>40</v>
      </c>
    </row>
    <row r="34" spans="1:13" hidden="1" outlineLevel="1">
      <c r="A34" s="1233"/>
      <c r="B34" s="1243" t="s">
        <v>4310</v>
      </c>
      <c r="C34" s="1243"/>
      <c r="D34" s="125" t="s">
        <v>25</v>
      </c>
      <c r="E34" s="720" t="str">
        <f>IFERROR(($D$33-E33)/$D$33,"---")</f>
        <v>---</v>
      </c>
      <c r="F34" s="720" t="str">
        <f>IFERROR(($D$33-F33)/$D$33,"---")</f>
        <v>---</v>
      </c>
      <c r="G34" s="720" t="str">
        <f>IFERROR(($D$33-G33)/$D$33,"---")</f>
        <v>---</v>
      </c>
      <c r="H34" s="720" t="str">
        <f>IFERROR(AVERAGE(E34:G34),"")</f>
        <v/>
      </c>
      <c r="I34" s="928"/>
      <c r="J34" s="10"/>
      <c r="K34" s="713">
        <v>0.4</v>
      </c>
      <c r="L34" s="713">
        <v>0.6</v>
      </c>
      <c r="M34" s="464">
        <v>30</v>
      </c>
    </row>
    <row r="35" spans="1:13" hidden="1" outlineLevel="1">
      <c r="A35" s="1233" t="s">
        <v>4024</v>
      </c>
      <c r="B35" s="1243" t="s">
        <v>4505</v>
      </c>
      <c r="C35" s="1243"/>
      <c r="D35" s="125" t="str">
        <f>M30</f>
        <v/>
      </c>
      <c r="E35" s="125" t="str">
        <f>E20</f>
        <v/>
      </c>
      <c r="F35" s="125" t="str">
        <f t="shared" ref="F35:G35" si="1">F20</f>
        <v/>
      </c>
      <c r="G35" s="125" t="str">
        <f t="shared" si="1"/>
        <v/>
      </c>
      <c r="H35" s="125" t="s">
        <v>25</v>
      </c>
      <c r="I35" s="927" t="str">
        <f>IF(H36="","",IF(H36&gt;=$K$32,$M$32,IF(AND(H36&gt;=$K$33,H36&lt;$L$33),$M$33,IF(AND(H36&gt;=$K$34,H36&lt;$L$34),$M$34,IF(AND(H36&gt;=$K$35,H36&lt;$L$35),$M$35,$M$36)))))</f>
        <v/>
      </c>
      <c r="J35" s="10"/>
      <c r="K35" s="713">
        <v>0.2</v>
      </c>
      <c r="L35" s="713">
        <v>0.4</v>
      </c>
      <c r="M35" s="464">
        <v>20</v>
      </c>
    </row>
    <row r="36" spans="1:13" hidden="1" outlineLevel="1">
      <c r="A36" s="1233"/>
      <c r="B36" s="1243" t="s">
        <v>4310</v>
      </c>
      <c r="C36" s="1243"/>
      <c r="D36" s="125" t="s">
        <v>25</v>
      </c>
      <c r="E36" s="466" t="str">
        <f>IFERROR(($D$35-E35)/$D$35,"---")</f>
        <v>---</v>
      </c>
      <c r="F36" s="466" t="str">
        <f>IFERROR(($D$35-F35)/$D$35,"---")</f>
        <v>---</v>
      </c>
      <c r="G36" s="466" t="str">
        <f>IFERROR(($D$35-G35)/$D$35,"---")</f>
        <v>---</v>
      </c>
      <c r="H36" s="125" t="str">
        <f>IFERROR(AVERAGE(E36:G36),"")</f>
        <v/>
      </c>
      <c r="I36" s="928"/>
      <c r="J36" s="10"/>
      <c r="K36" s="713"/>
      <c r="L36" s="713">
        <v>0.2</v>
      </c>
      <c r="M36" s="464">
        <v>0</v>
      </c>
    </row>
    <row r="37" spans="1:13" hidden="1" outlineLevel="1">
      <c r="A37" s="10"/>
      <c r="B37" s="10"/>
      <c r="C37" s="10"/>
      <c r="D37" s="10"/>
      <c r="E37" s="10"/>
      <c r="F37" s="10"/>
      <c r="G37" s="10"/>
      <c r="H37" s="10"/>
      <c r="I37" s="10"/>
      <c r="J37" s="10"/>
      <c r="K37" s="10"/>
      <c r="L37" s="10"/>
      <c r="M37" s="10"/>
    </row>
    <row r="38" spans="1:13" ht="19" hidden="1" outlineLevel="1">
      <c r="A38" s="42" t="s">
        <v>4327</v>
      </c>
      <c r="B38" s="10"/>
      <c r="C38" s="10"/>
      <c r="D38" s="10"/>
      <c r="E38" s="10"/>
      <c r="F38" s="10"/>
      <c r="G38" s="10"/>
      <c r="H38" s="10"/>
      <c r="I38" s="10"/>
      <c r="J38" s="10"/>
      <c r="K38" s="10"/>
      <c r="L38" s="10"/>
      <c r="M38" s="10"/>
    </row>
    <row r="39" spans="1:13" ht="17.5" hidden="1" outlineLevel="1">
      <c r="A39" s="58" t="s">
        <v>4328</v>
      </c>
      <c r="B39" s="10"/>
      <c r="C39" s="10"/>
      <c r="D39" s="10"/>
      <c r="E39" s="10"/>
      <c r="F39" s="10"/>
      <c r="G39" s="10"/>
      <c r="H39" s="10"/>
      <c r="I39" s="10"/>
      <c r="J39" s="10"/>
      <c r="K39" s="10"/>
      <c r="L39" s="10"/>
      <c r="M39" s="10"/>
    </row>
    <row r="40" spans="1:13" hidden="1" outlineLevel="1">
      <c r="A40" s="465"/>
      <c r="B40" s="454" t="s">
        <v>4329</v>
      </c>
      <c r="C40" s="454" t="s">
        <v>4330</v>
      </c>
      <c r="D40" s="454" t="s">
        <v>4331</v>
      </c>
      <c r="E40" s="454" t="s">
        <v>4296</v>
      </c>
      <c r="F40" s="454" t="s">
        <v>4022</v>
      </c>
      <c r="G40" s="10"/>
      <c r="H40" s="10"/>
      <c r="I40" s="10"/>
      <c r="J40" s="10"/>
      <c r="K40" s="10"/>
      <c r="L40" s="10"/>
      <c r="M40" s="10"/>
    </row>
    <row r="41" spans="1:13" hidden="1" outlineLevel="1">
      <c r="A41" s="454" t="s">
        <v>4009</v>
      </c>
      <c r="B41" s="471">
        <f>'入力シート（第３年度報告書）'!AB164</f>
        <v>18</v>
      </c>
      <c r="C41" s="471" t="str">
        <f>'入力シート（第３年度報告書）'!AC164</f>
        <v/>
      </c>
      <c r="D41" s="471" t="str">
        <f>'入力シート（第３年度報告書）'!AD164</f>
        <v/>
      </c>
      <c r="E41" s="471" t="str">
        <f>'入力シート（第３年度報告書）'!AE164</f>
        <v/>
      </c>
      <c r="F41" s="464" t="str">
        <f>IF(SUM(C41:E41)=0,"",$D$5*(C41/(B41-E41)))</f>
        <v/>
      </c>
      <c r="G41" s="10"/>
      <c r="H41" s="10"/>
      <c r="I41" s="10"/>
      <c r="J41" s="10"/>
      <c r="K41" s="10"/>
      <c r="L41" s="10"/>
      <c r="M41" s="10"/>
    </row>
    <row r="42" spans="1:13" hidden="1" outlineLevel="1">
      <c r="A42" s="454" t="s">
        <v>4014</v>
      </c>
      <c r="B42" s="471">
        <f>'入力シート（第３年度報告書）'!AB165</f>
        <v>18</v>
      </c>
      <c r="C42" s="471" t="str">
        <f>'入力シート（第３年度報告書）'!AC165</f>
        <v/>
      </c>
      <c r="D42" s="471" t="str">
        <f>'入力シート（第３年度報告書）'!AD165</f>
        <v/>
      </c>
      <c r="E42" s="471" t="str">
        <f>'入力シート（第３年度報告書）'!AE165</f>
        <v/>
      </c>
      <c r="F42" s="464" t="str">
        <f t="shared" ref="F42:F43" si="2">IF(SUM(C42:E42)=0,"",$D$5*(C42/(B42-E42)))</f>
        <v/>
      </c>
      <c r="G42" s="10"/>
      <c r="H42" s="10"/>
      <c r="I42" s="10"/>
      <c r="J42" s="10"/>
      <c r="K42" s="10"/>
      <c r="L42" s="10"/>
      <c r="M42" s="10"/>
    </row>
    <row r="43" spans="1:13" hidden="1" outlineLevel="1">
      <c r="A43" s="454" t="s">
        <v>4015</v>
      </c>
      <c r="B43" s="471">
        <f>'入力シート（第３年度報告書）'!AB166</f>
        <v>18</v>
      </c>
      <c r="C43" s="471" t="str">
        <f>'入力シート（第３年度報告書）'!AC166</f>
        <v/>
      </c>
      <c r="D43" s="471" t="str">
        <f>'入力シート（第３年度報告書）'!AD166</f>
        <v/>
      </c>
      <c r="E43" s="471" t="str">
        <f>'入力シート（第３年度報告書）'!AE166</f>
        <v/>
      </c>
      <c r="F43" s="464" t="str">
        <f t="shared" si="2"/>
        <v/>
      </c>
      <c r="G43" s="10"/>
      <c r="H43" s="10"/>
      <c r="I43" s="10"/>
      <c r="J43" s="10"/>
      <c r="K43" s="10"/>
      <c r="L43" s="10"/>
      <c r="M43" s="10"/>
    </row>
    <row r="44" spans="1:13" ht="9" hidden="1" customHeight="1" outlineLevel="1">
      <c r="A44" s="10"/>
      <c r="B44" s="10"/>
      <c r="C44" s="10"/>
      <c r="D44" s="10"/>
      <c r="E44" s="10"/>
      <c r="F44" s="10"/>
      <c r="G44" s="10"/>
      <c r="H44" s="10"/>
      <c r="I44" s="10"/>
      <c r="J44" s="10"/>
      <c r="K44" s="10"/>
      <c r="L44" s="10"/>
      <c r="M44" s="10"/>
    </row>
    <row r="45" spans="1:13" ht="17.5" hidden="1" outlineLevel="1">
      <c r="A45" s="58" t="s">
        <v>4332</v>
      </c>
      <c r="B45" s="10"/>
      <c r="C45" s="10"/>
      <c r="D45" s="10"/>
      <c r="E45" s="10"/>
      <c r="F45" s="10"/>
      <c r="G45" s="10"/>
      <c r="H45" s="10"/>
      <c r="I45" s="10"/>
      <c r="J45" s="10"/>
      <c r="K45" s="10"/>
      <c r="L45" s="10"/>
      <c r="M45" s="10"/>
    </row>
    <row r="46" spans="1:13" hidden="1" outlineLevel="1">
      <c r="A46" s="454"/>
      <c r="B46" s="454" t="s">
        <v>4330</v>
      </c>
      <c r="C46" s="454" t="s">
        <v>4333</v>
      </c>
      <c r="D46" s="454" t="s">
        <v>4022</v>
      </c>
      <c r="E46" s="10"/>
      <c r="F46" s="464" t="s">
        <v>4330</v>
      </c>
      <c r="G46" s="464">
        <v>5</v>
      </c>
      <c r="H46" s="10"/>
      <c r="I46" s="10"/>
      <c r="J46" s="10"/>
      <c r="K46" s="10"/>
      <c r="L46" s="10"/>
      <c r="M46" s="10"/>
    </row>
    <row r="47" spans="1:13" hidden="1" outlineLevel="1">
      <c r="A47" s="459" t="s">
        <v>4009</v>
      </c>
      <c r="B47" s="471" t="str">
        <f>'入力シート（第３年度報告書）'!AC203</f>
        <v/>
      </c>
      <c r="C47" s="471" t="str">
        <f>'入力シート（第３年度報告書）'!AD203</f>
        <v/>
      </c>
      <c r="D47" s="464" t="str">
        <f>IF(SUM(C41:E41)=0,"",B47*$G$46+C47*$G$47)</f>
        <v/>
      </c>
      <c r="E47" s="10"/>
      <c r="F47" s="464" t="s">
        <v>4333</v>
      </c>
      <c r="G47" s="464">
        <v>3</v>
      </c>
      <c r="H47" s="10"/>
      <c r="I47" s="10"/>
      <c r="J47" s="10"/>
      <c r="K47" s="10"/>
      <c r="L47" s="10"/>
      <c r="M47" s="10"/>
    </row>
    <row r="48" spans="1:13" hidden="1" outlineLevel="1">
      <c r="A48" s="454" t="s">
        <v>4014</v>
      </c>
      <c r="B48" s="471" t="str">
        <f>'入力シート（第３年度報告書）'!AC204</f>
        <v/>
      </c>
      <c r="C48" s="471" t="str">
        <f>'入力シート（第３年度報告書）'!AD204</f>
        <v/>
      </c>
      <c r="D48" s="464" t="str">
        <f>IF(SUM(C42:E42)=0,"",B48*$G$46+C48*$G$47)</f>
        <v/>
      </c>
      <c r="E48" s="10"/>
      <c r="F48" s="10"/>
      <c r="G48" s="10"/>
      <c r="H48" s="10"/>
      <c r="I48" s="10"/>
      <c r="J48" s="10"/>
      <c r="K48" s="10"/>
      <c r="L48" s="10"/>
      <c r="M48" s="10"/>
    </row>
    <row r="49" spans="1:13" hidden="1" outlineLevel="1">
      <c r="A49" s="454" t="s">
        <v>4015</v>
      </c>
      <c r="B49" s="471" t="str">
        <f>'入力シート（第３年度報告書）'!AC205</f>
        <v/>
      </c>
      <c r="C49" s="471" t="str">
        <f>'入力シート（第３年度報告書）'!AD205</f>
        <v/>
      </c>
      <c r="D49" s="464" t="str">
        <f>IF(SUM(C43:E43)=0,"",B49*$G$46+C49*$G$47)</f>
        <v/>
      </c>
      <c r="E49" s="10"/>
      <c r="F49" s="10"/>
      <c r="G49" s="10"/>
      <c r="H49" s="10"/>
      <c r="I49" s="10"/>
      <c r="J49" s="10"/>
      <c r="K49" s="10"/>
      <c r="L49" s="10"/>
      <c r="M49" s="10"/>
    </row>
    <row r="50" spans="1:13" ht="9" hidden="1" customHeight="1" outlineLevel="1">
      <c r="A50" s="10"/>
      <c r="B50" s="10"/>
      <c r="C50" s="10"/>
      <c r="D50" s="10"/>
      <c r="E50" s="10"/>
      <c r="F50" s="10"/>
      <c r="G50" s="10"/>
      <c r="H50" s="10"/>
      <c r="I50" s="10"/>
      <c r="J50" s="10"/>
      <c r="K50" s="10"/>
      <c r="L50" s="10"/>
      <c r="M50" s="10"/>
    </row>
    <row r="51" spans="1:13" ht="17.5" hidden="1" outlineLevel="1">
      <c r="A51" s="58" t="s">
        <v>4334</v>
      </c>
      <c r="B51" s="10"/>
      <c r="C51" s="10"/>
      <c r="D51" s="10"/>
      <c r="E51" s="10"/>
      <c r="F51" s="10"/>
      <c r="G51" s="10"/>
      <c r="H51" s="10"/>
      <c r="I51" s="10"/>
      <c r="J51" s="10"/>
      <c r="K51" s="10"/>
      <c r="L51" s="10"/>
      <c r="M51" s="10"/>
    </row>
    <row r="52" spans="1:13" hidden="1" outlineLevel="1">
      <c r="A52" s="454"/>
      <c r="B52" s="454" t="s">
        <v>4330</v>
      </c>
      <c r="C52" s="454" t="s">
        <v>4022</v>
      </c>
      <c r="D52" s="10"/>
      <c r="E52" s="10"/>
      <c r="F52" s="464" t="s">
        <v>4330</v>
      </c>
      <c r="G52" s="464">
        <v>5</v>
      </c>
      <c r="H52" s="10"/>
      <c r="I52" s="10"/>
      <c r="J52" s="10"/>
      <c r="K52" s="10"/>
      <c r="L52" s="10"/>
      <c r="M52" s="10"/>
    </row>
    <row r="53" spans="1:13" hidden="1" outlineLevel="1">
      <c r="A53" s="459" t="s">
        <v>4009</v>
      </c>
      <c r="B53" s="471" t="str">
        <f>'入力シート（第３年度報告書）'!AC223</f>
        <v/>
      </c>
      <c r="C53" s="464" t="str">
        <f>IF(SUM(C41:E41)=0,"",IF(B53*$G$52&gt;=$G$54,$G$54,B53*$G$52))</f>
        <v/>
      </c>
      <c r="D53" s="10"/>
      <c r="E53" s="10"/>
      <c r="F53" s="10"/>
      <c r="G53" s="10"/>
      <c r="H53" s="10"/>
      <c r="I53" s="10"/>
      <c r="J53" s="10"/>
      <c r="K53" s="10"/>
      <c r="L53" s="10"/>
      <c r="M53" s="10"/>
    </row>
    <row r="54" spans="1:13" hidden="1" outlineLevel="1">
      <c r="A54" s="454" t="s">
        <v>4014</v>
      </c>
      <c r="B54" s="471" t="str">
        <f>'入力シート（第３年度報告書）'!AC224</f>
        <v/>
      </c>
      <c r="C54" s="464" t="str">
        <f t="shared" ref="C54" si="3">IF(SUM(C42:E42)=0,"",IF(B54*$G$52&gt;=$G$54,$G$54,B54*$G$52))</f>
        <v/>
      </c>
      <c r="D54" s="10"/>
      <c r="E54" s="10"/>
      <c r="F54" s="464" t="s">
        <v>4335</v>
      </c>
      <c r="G54" s="464">
        <v>25</v>
      </c>
      <c r="H54" s="10"/>
      <c r="I54" s="10"/>
      <c r="J54" s="10"/>
      <c r="K54" s="10"/>
      <c r="L54" s="10"/>
      <c r="M54" s="10"/>
    </row>
    <row r="55" spans="1:13" hidden="1" outlineLevel="1">
      <c r="A55" s="454" t="s">
        <v>4015</v>
      </c>
      <c r="B55" s="471" t="str">
        <f>'入力シート（第３年度報告書）'!AC225</f>
        <v/>
      </c>
      <c r="C55" s="464" t="str">
        <f>IF(SUM(C43:E43)=0,"",IF(B55*$G$52&gt;=$G$54,$G$54,B55*$G$52))</f>
        <v/>
      </c>
      <c r="D55" s="10"/>
      <c r="E55" s="10"/>
      <c r="F55" s="10"/>
      <c r="G55" s="10"/>
      <c r="H55" s="10"/>
      <c r="I55" s="10"/>
      <c r="J55" s="10"/>
      <c r="K55" s="10"/>
      <c r="L55" s="10"/>
      <c r="M55" s="10"/>
    </row>
    <row r="56" spans="1:13" collapsed="1"/>
  </sheetData>
  <sheetProtection algorithmName="SHA-512" hashValue="UO92XxVDNmK5VVeIdpcznnqgrqnClCL2G1gxGOrikm99d2941sQ3QmKz0STFX2IUfrWugNznyB5j4E34kFNaQQ==" saltValue="cOvxmnq6lvlm7qj+t+58aQ==" spinCount="100000" sheet="1" objects="1" scenarios="1" selectLockedCells="1"/>
  <mergeCells count="39">
    <mergeCell ref="A35:A36"/>
    <mergeCell ref="B35:C35"/>
    <mergeCell ref="I35:I36"/>
    <mergeCell ref="B36:C36"/>
    <mergeCell ref="A27:C27"/>
    <mergeCell ref="A32:C32"/>
    <mergeCell ref="A33:A34"/>
    <mergeCell ref="B33:C33"/>
    <mergeCell ref="I33:I34"/>
    <mergeCell ref="B34:C34"/>
    <mergeCell ref="A25:I25"/>
    <mergeCell ref="J25:J28"/>
    <mergeCell ref="K25:K28"/>
    <mergeCell ref="L25:L28"/>
    <mergeCell ref="M25:M28"/>
    <mergeCell ref="A26:E26"/>
    <mergeCell ref="F26:F28"/>
    <mergeCell ref="G26:G28"/>
    <mergeCell ref="H26:H28"/>
    <mergeCell ref="I26:I28"/>
    <mergeCell ref="I18:I19"/>
    <mergeCell ref="B19:C19"/>
    <mergeCell ref="A20:A21"/>
    <mergeCell ref="B20:C20"/>
    <mergeCell ref="I20:I21"/>
    <mergeCell ref="B21:C21"/>
    <mergeCell ref="A7:C7"/>
    <mergeCell ref="A9:B9"/>
    <mergeCell ref="C9:C10"/>
    <mergeCell ref="A17:C17"/>
    <mergeCell ref="A18:A19"/>
    <mergeCell ref="B18:C18"/>
    <mergeCell ref="A2:C2"/>
    <mergeCell ref="A3:A4"/>
    <mergeCell ref="B3:C3"/>
    <mergeCell ref="B4:C4"/>
    <mergeCell ref="A5:A6"/>
    <mergeCell ref="B5:C5"/>
    <mergeCell ref="B6:C6"/>
  </mergeCells>
  <phoneticPr fontId="1"/>
  <pageMargins left="0.70866141732283472" right="0.70866141732283472" top="0.74803149606299213" bottom="0.74803149606299213" header="0.31496062992125984" footer="0.31496062992125984"/>
  <pageSetup paperSize="9" scale="72" orientation="portrait" r:id="rId1"/>
  <headerFooter>
    <oddFooter>&amp;R&amp;"メイリオ,レギュラー"&amp;8（特定事業者（運送事業者）用</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D3CBB-BD59-4DA0-BDCE-C2B9B4353184}">
  <sheetPr codeName="Sheet1">
    <tabColor rgb="FFFF0000"/>
  </sheetPr>
  <dimension ref="A1:AW49"/>
  <sheetViews>
    <sheetView zoomScaleNormal="100" workbookViewId="0"/>
  </sheetViews>
  <sheetFormatPr defaultColWidth="8.90625" defaultRowHeight="17.5"/>
  <cols>
    <col min="1" max="1" width="9.453125" style="24" customWidth="1"/>
    <col min="2" max="2" width="10.08984375" style="24" customWidth="1"/>
    <col min="3" max="3" width="8.6328125" style="24" customWidth="1"/>
    <col min="4" max="4" width="10.36328125" style="24" customWidth="1"/>
    <col min="5" max="5" width="12.90625" style="24" customWidth="1"/>
    <col min="6" max="6" width="8.36328125" style="24" customWidth="1"/>
    <col min="7" max="7" width="8.6328125" style="24"/>
    <col min="8" max="8" width="13.453125" style="24" bestFit="1" customWidth="1"/>
    <col min="9" max="9" width="10.6328125" style="24" bestFit="1" customWidth="1"/>
    <col min="10" max="10" width="12.08984375" style="24" bestFit="1" customWidth="1"/>
    <col min="11" max="11" width="10.6328125" style="24" bestFit="1" customWidth="1"/>
    <col min="12" max="14" width="9" style="24"/>
    <col min="15" max="18" width="8.90625" style="24"/>
    <col min="19" max="19" width="9" style="24" bestFit="1" customWidth="1"/>
    <col min="20" max="20" width="8.90625" style="24"/>
    <col min="21" max="21" width="9.453125" style="24" customWidth="1"/>
    <col min="22" max="22" width="9" style="24" bestFit="1" customWidth="1"/>
    <col min="23" max="23" width="15.453125" style="24" customWidth="1"/>
    <col min="24" max="25" width="12.36328125" style="15" customWidth="1"/>
    <col min="26" max="27" width="8.90625" style="24"/>
    <col min="28" max="28" width="9" style="24" bestFit="1" customWidth="1"/>
    <col min="29" max="29" width="12.08984375" style="24" bestFit="1" customWidth="1"/>
    <col min="30" max="30" width="16.08984375" style="24" customWidth="1"/>
    <col min="31" max="31" width="12.08984375" style="24" bestFit="1" customWidth="1"/>
    <col min="32" max="32" width="8.90625" style="24"/>
    <col min="33" max="35" width="9" style="24" bestFit="1" customWidth="1"/>
    <col min="36" max="36" width="8.90625" style="24"/>
    <col min="37" max="37" width="9" style="24" bestFit="1" customWidth="1"/>
    <col min="38" max="39" width="8.90625" style="24"/>
    <col min="40" max="40" width="9" style="24" bestFit="1" customWidth="1"/>
    <col min="41" max="42" width="8.90625" style="24"/>
    <col min="43" max="45" width="13.453125" style="24" customWidth="1"/>
    <col min="46" max="46" width="8.81640625" style="24" customWidth="1"/>
    <col min="47" max="47" width="8.90625" style="24"/>
    <col min="48" max="48" width="86" style="24" customWidth="1"/>
    <col min="49" max="16384" width="8.90625" style="24"/>
  </cols>
  <sheetData>
    <row r="1" spans="1:40">
      <c r="A1" s="522" t="s">
        <v>4262</v>
      </c>
      <c r="G1" s="24" t="s">
        <v>4226</v>
      </c>
      <c r="H1" s="24">
        <f>'入力シート（計画書）'!K7</f>
        <v>0</v>
      </c>
      <c r="J1" s="523">
        <v>1</v>
      </c>
      <c r="K1" s="24">
        <v>0</v>
      </c>
      <c r="M1" s="24" t="s">
        <v>4071</v>
      </c>
      <c r="O1" s="24" t="s">
        <v>4071</v>
      </c>
      <c r="Q1" s="24" t="s">
        <v>4071</v>
      </c>
      <c r="S1" s="14"/>
      <c r="U1" s="24" t="s">
        <v>4226</v>
      </c>
      <c r="V1" s="524">
        <v>2025</v>
      </c>
      <c r="W1" s="24" t="s">
        <v>4291</v>
      </c>
      <c r="X1" s="15" t="s">
        <v>4292</v>
      </c>
      <c r="Y1" s="15" t="s">
        <v>4293</v>
      </c>
      <c r="AB1" s="24">
        <v>2028</v>
      </c>
      <c r="AC1" s="24">
        <v>2</v>
      </c>
      <c r="AD1" s="24">
        <v>10</v>
      </c>
      <c r="AE1" s="24">
        <f>DAY(DATE(AB1,AC1+1,1)-1)</f>
        <v>29</v>
      </c>
      <c r="AG1" s="24">
        <v>2025</v>
      </c>
      <c r="AH1" s="24">
        <v>1</v>
      </c>
      <c r="AI1" s="24">
        <v>1</v>
      </c>
      <c r="AK1" s="24">
        <v>2026</v>
      </c>
      <c r="AN1" s="24">
        <v>1</v>
      </c>
    </row>
    <row r="2" spans="1:40">
      <c r="A2" s="522" t="s">
        <v>4263</v>
      </c>
      <c r="G2" s="24" t="s">
        <v>4336</v>
      </c>
      <c r="H2" s="523">
        <f ca="1">DATE(YEAR(TODAY()),MONTH(TODAY()),DAY(TODAY()))</f>
        <v>46108</v>
      </c>
      <c r="J2" s="523">
        <v>45748</v>
      </c>
      <c r="K2" s="24">
        <v>0</v>
      </c>
      <c r="M2" s="24" t="s">
        <v>4065</v>
      </c>
      <c r="O2" s="24" t="s">
        <v>4065</v>
      </c>
      <c r="Q2" s="24" t="s">
        <v>4274</v>
      </c>
      <c r="W2" s="24" t="s">
        <v>72</v>
      </c>
      <c r="X2" s="525">
        <f>CHOOSE($V$1-2024,X9,X15,X21)</f>
        <v>46113</v>
      </c>
      <c r="Y2" s="525">
        <f>CHOOSE($V$1-2024,Y9,Y15,Y21)</f>
        <v>46477</v>
      </c>
      <c r="AG2" s="24">
        <v>2026</v>
      </c>
      <c r="AH2" s="24">
        <v>2</v>
      </c>
      <c r="AI2" s="24">
        <v>2</v>
      </c>
      <c r="AK2" s="24">
        <v>2027</v>
      </c>
      <c r="AN2" s="24">
        <v>2</v>
      </c>
    </row>
    <row r="3" spans="1:40">
      <c r="J3" s="523">
        <v>46113</v>
      </c>
      <c r="K3" s="24">
        <v>0</v>
      </c>
      <c r="M3" s="24" t="s">
        <v>4066</v>
      </c>
      <c r="O3" s="24" t="s">
        <v>4274</v>
      </c>
      <c r="W3" s="24" t="s">
        <v>4286</v>
      </c>
      <c r="X3" s="525">
        <f t="shared" ref="X3:Y5" si="0">CHOOSE($V$1-2024,X10,X16,X22)</f>
        <v>46478</v>
      </c>
      <c r="Y3" s="525">
        <f t="shared" si="0"/>
        <v>46843</v>
      </c>
      <c r="AG3" s="24">
        <v>2027</v>
      </c>
      <c r="AH3" s="24">
        <v>3</v>
      </c>
      <c r="AI3" s="24">
        <v>3</v>
      </c>
      <c r="AK3" s="24">
        <v>2028</v>
      </c>
      <c r="AN3" s="24">
        <v>3</v>
      </c>
    </row>
    <row r="4" spans="1:40">
      <c r="A4" s="146" t="s">
        <v>4264</v>
      </c>
      <c r="G4" s="24" t="s">
        <v>75</v>
      </c>
      <c r="H4" s="24">
        <f>IF(H1&lt;&gt;0,IF(LOOKUP(H2,J1:J6,K1:K6)+(2025-H1)&lt;0,0,LOOKUP(H2,J1:J6,K1:K6)+(2025-H1)),0)</f>
        <v>0</v>
      </c>
      <c r="J4" s="523">
        <v>46478</v>
      </c>
      <c r="K4" s="24">
        <v>1</v>
      </c>
      <c r="M4" s="24" t="s">
        <v>4274</v>
      </c>
      <c r="W4" s="24" t="s">
        <v>4294</v>
      </c>
      <c r="X4" s="525">
        <f t="shared" si="0"/>
        <v>46844</v>
      </c>
      <c r="Y4" s="525">
        <f t="shared" si="0"/>
        <v>47208</v>
      </c>
      <c r="AG4" s="24">
        <v>2028</v>
      </c>
      <c r="AH4" s="24">
        <v>4</v>
      </c>
      <c r="AI4" s="24">
        <v>4</v>
      </c>
      <c r="AK4" s="24">
        <v>2029</v>
      </c>
      <c r="AN4" s="24">
        <v>4</v>
      </c>
    </row>
    <row r="5" spans="1:40">
      <c r="A5" s="526" t="s">
        <v>4265</v>
      </c>
      <c r="B5" s="527">
        <v>3</v>
      </c>
      <c r="C5" s="759" t="s">
        <v>4266</v>
      </c>
      <c r="D5" s="1247"/>
      <c r="E5" s="7"/>
      <c r="J5" s="523">
        <v>46844</v>
      </c>
      <c r="K5" s="24">
        <v>2</v>
      </c>
      <c r="W5" s="24" t="s">
        <v>4295</v>
      </c>
      <c r="X5" s="525">
        <f t="shared" si="0"/>
        <v>47209</v>
      </c>
      <c r="Y5" s="525">
        <f t="shared" si="0"/>
        <v>47573</v>
      </c>
      <c r="AG5" s="24">
        <v>2029</v>
      </c>
      <c r="AH5" s="24">
        <v>5</v>
      </c>
      <c r="AI5" s="24">
        <v>5</v>
      </c>
      <c r="AK5" s="24">
        <v>2030</v>
      </c>
      <c r="AN5" s="24">
        <v>5</v>
      </c>
    </row>
    <row r="6" spans="1:40">
      <c r="A6" s="528"/>
      <c r="B6" s="377"/>
      <c r="C6" s="30">
        <f>2020+($B$5-1)*3</f>
        <v>2026</v>
      </c>
      <c r="D6" s="30" t="s">
        <v>4260</v>
      </c>
      <c r="E6" s="7"/>
      <c r="J6" s="523">
        <v>47209</v>
      </c>
      <c r="K6" s="24">
        <v>3</v>
      </c>
      <c r="AB6" s="24">
        <v>2025</v>
      </c>
      <c r="AC6" s="24">
        <v>0</v>
      </c>
      <c r="AD6" s="523">
        <v>46113</v>
      </c>
      <c r="AE6" s="523">
        <v>46477</v>
      </c>
      <c r="AH6" s="24">
        <v>6</v>
      </c>
      <c r="AI6" s="24">
        <v>6</v>
      </c>
      <c r="AN6" s="24">
        <v>6</v>
      </c>
    </row>
    <row r="7" spans="1:40">
      <c r="A7" s="528"/>
      <c r="B7" s="377"/>
      <c r="C7" s="30">
        <f>C6+1</f>
        <v>2027</v>
      </c>
      <c r="D7" s="30" t="s">
        <v>4260</v>
      </c>
      <c r="E7" s="7"/>
      <c r="J7" s="523">
        <v>47574</v>
      </c>
      <c r="K7" s="24">
        <v>4</v>
      </c>
      <c r="AB7" s="24">
        <v>2026</v>
      </c>
      <c r="AC7" s="24">
        <v>1</v>
      </c>
      <c r="AD7" s="523">
        <v>46478</v>
      </c>
      <c r="AE7" s="523">
        <v>46843</v>
      </c>
      <c r="AH7" s="24">
        <v>7</v>
      </c>
      <c r="AI7" s="24">
        <v>7</v>
      </c>
      <c r="AN7" s="24">
        <v>7</v>
      </c>
    </row>
    <row r="8" spans="1:40">
      <c r="A8" s="529"/>
      <c r="B8" s="377"/>
      <c r="C8" s="30">
        <f>C7+1</f>
        <v>2028</v>
      </c>
      <c r="D8" s="30" t="s">
        <v>4260</v>
      </c>
      <c r="E8" s="7"/>
      <c r="J8" s="523">
        <v>47939</v>
      </c>
      <c r="K8" s="24">
        <v>5</v>
      </c>
      <c r="U8" s="24" t="s">
        <v>4226</v>
      </c>
      <c r="V8" s="524">
        <v>2025</v>
      </c>
      <c r="W8" s="24" t="s">
        <v>4291</v>
      </c>
      <c r="X8" s="15" t="s">
        <v>4292</v>
      </c>
      <c r="Y8" s="15" t="s">
        <v>4293</v>
      </c>
      <c r="AB8" s="24">
        <v>2027</v>
      </c>
      <c r="AC8" s="24">
        <v>2</v>
      </c>
      <c r="AD8" s="523">
        <v>46844</v>
      </c>
      <c r="AE8" s="523">
        <v>47208</v>
      </c>
      <c r="AH8" s="24">
        <v>8</v>
      </c>
      <c r="AI8" s="24">
        <v>8</v>
      </c>
      <c r="AN8" s="24">
        <v>8</v>
      </c>
    </row>
    <row r="9" spans="1:40">
      <c r="J9" s="523"/>
      <c r="K9" s="530"/>
      <c r="W9" s="24" t="s">
        <v>72</v>
      </c>
      <c r="X9" s="525">
        <v>46113</v>
      </c>
      <c r="Y9" s="525">
        <v>46477</v>
      </c>
      <c r="AB9" s="24">
        <v>2028</v>
      </c>
      <c r="AC9" s="24">
        <v>3</v>
      </c>
      <c r="AD9" s="523">
        <v>47209</v>
      </c>
      <c r="AE9" s="523">
        <v>47573</v>
      </c>
      <c r="AH9" s="24">
        <v>9</v>
      </c>
      <c r="AI9" s="24">
        <v>9</v>
      </c>
      <c r="AN9" s="24">
        <v>9</v>
      </c>
    </row>
    <row r="10" spans="1:40">
      <c r="A10" s="146" t="s">
        <v>4267</v>
      </c>
      <c r="W10" s="24" t="s">
        <v>4286</v>
      </c>
      <c r="X10" s="525">
        <v>46478</v>
      </c>
      <c r="Y10" s="525">
        <v>46843</v>
      </c>
      <c r="AH10" s="24">
        <v>10</v>
      </c>
      <c r="AI10" s="24">
        <v>10</v>
      </c>
      <c r="AN10" s="24">
        <v>10</v>
      </c>
    </row>
    <row r="11" spans="1:40">
      <c r="A11" s="526" t="s">
        <v>4268</v>
      </c>
      <c r="B11" s="531">
        <f>'入力シート（計画書）'!K7+1</f>
        <v>1</v>
      </c>
      <c r="C11" s="30" t="s">
        <v>4260</v>
      </c>
      <c r="D11" s="532"/>
      <c r="E11" s="7"/>
      <c r="G11" s="356"/>
      <c r="J11" s="523"/>
      <c r="K11" s="530"/>
      <c r="W11" s="24" t="s">
        <v>4294</v>
      </c>
      <c r="X11" s="525">
        <v>46844</v>
      </c>
      <c r="Y11" s="525">
        <v>47208</v>
      </c>
      <c r="AH11" s="24">
        <v>11</v>
      </c>
      <c r="AI11" s="24">
        <v>11</v>
      </c>
      <c r="AN11" s="24">
        <v>11</v>
      </c>
    </row>
    <row r="12" spans="1:40">
      <c r="A12" s="533"/>
      <c r="B12" s="377" t="s">
        <v>4269</v>
      </c>
      <c r="C12" s="30">
        <f>B11</f>
        <v>1</v>
      </c>
      <c r="D12" s="30" t="s">
        <v>4540</v>
      </c>
      <c r="E12" s="7"/>
      <c r="G12" s="146"/>
      <c r="H12" s="24" t="s">
        <v>4516</v>
      </c>
      <c r="J12" s="523"/>
      <c r="K12" s="530"/>
      <c r="W12" s="24" t="s">
        <v>4295</v>
      </c>
      <c r="X12" s="525">
        <v>47209</v>
      </c>
      <c r="Y12" s="525">
        <v>47573</v>
      </c>
      <c r="AC12" s="523">
        <v>46096</v>
      </c>
      <c r="AD12" s="24" t="s">
        <v>4275</v>
      </c>
      <c r="AE12" s="24" t="s">
        <v>4276</v>
      </c>
      <c r="AH12" s="24">
        <v>12</v>
      </c>
      <c r="AI12" s="24">
        <v>12</v>
      </c>
      <c r="AN12" s="24">
        <v>12</v>
      </c>
    </row>
    <row r="13" spans="1:40">
      <c r="A13" s="533"/>
      <c r="B13" s="377" t="s">
        <v>4270</v>
      </c>
      <c r="C13" s="30">
        <f>B11+1</f>
        <v>2</v>
      </c>
      <c r="D13" s="30" t="s">
        <v>4260</v>
      </c>
      <c r="E13" s="7"/>
      <c r="G13" s="146"/>
      <c r="H13" s="24">
        <f>IF('入力シート（計画書）'!K7&lt;&gt;"",COUNT(C13:C15),0)</f>
        <v>0</v>
      </c>
      <c r="J13" s="523"/>
      <c r="K13" s="530"/>
      <c r="AI13" s="24">
        <v>13</v>
      </c>
      <c r="AN13" s="24">
        <v>13</v>
      </c>
    </row>
    <row r="14" spans="1:40">
      <c r="A14" s="533"/>
      <c r="B14" s="377" t="s">
        <v>4271</v>
      </c>
      <c r="C14" s="30">
        <f>IF($B$11=$C$8,"",B11+2)</f>
        <v>3</v>
      </c>
      <c r="D14" s="30" t="s">
        <v>4260</v>
      </c>
      <c r="E14" s="7"/>
      <c r="G14" s="146"/>
      <c r="J14" s="523"/>
      <c r="K14" s="530"/>
      <c r="U14" s="24" t="s">
        <v>4226</v>
      </c>
      <c r="V14" s="524">
        <v>2026</v>
      </c>
      <c r="W14" s="24" t="s">
        <v>4291</v>
      </c>
      <c r="X14" s="15" t="s">
        <v>4292</v>
      </c>
      <c r="Y14" s="15" t="s">
        <v>4293</v>
      </c>
      <c r="AI14" s="24">
        <v>14</v>
      </c>
      <c r="AN14" s="24">
        <v>14</v>
      </c>
    </row>
    <row r="15" spans="1:40">
      <c r="A15" s="534"/>
      <c r="B15" s="377" t="s">
        <v>4272</v>
      </c>
      <c r="C15" s="30">
        <f>IF(OR($B$11=$C$7,$B$11=$C$8),"",B11+3)</f>
        <v>4</v>
      </c>
      <c r="D15" s="30" t="s">
        <v>4260</v>
      </c>
      <c r="E15" s="7"/>
      <c r="G15" s="146"/>
      <c r="W15" s="24" t="s">
        <v>72</v>
      </c>
      <c r="X15" s="525">
        <v>46478</v>
      </c>
      <c r="Y15" s="525">
        <v>46843</v>
      </c>
      <c r="AI15" s="24">
        <v>15</v>
      </c>
      <c r="AN15" s="24">
        <v>15</v>
      </c>
    </row>
    <row r="16" spans="1:40">
      <c r="J16" s="523"/>
      <c r="W16" s="24" t="s">
        <v>4286</v>
      </c>
      <c r="X16" s="525">
        <v>46844</v>
      </c>
      <c r="Y16" s="525">
        <v>47208</v>
      </c>
      <c r="AI16" s="24">
        <v>16</v>
      </c>
      <c r="AN16" s="24">
        <v>16</v>
      </c>
    </row>
    <row r="17" spans="1:40">
      <c r="A17" s="146" t="s">
        <v>4538</v>
      </c>
      <c r="J17" s="523"/>
      <c r="W17" s="24" t="s">
        <v>4294</v>
      </c>
      <c r="X17" s="525">
        <v>47209</v>
      </c>
      <c r="Y17" s="525">
        <v>47573</v>
      </c>
      <c r="AI17" s="24">
        <v>17</v>
      </c>
      <c r="AN17" s="24">
        <v>17</v>
      </c>
    </row>
    <row r="18" spans="1:40">
      <c r="A18" s="1248" t="s">
        <v>4273</v>
      </c>
      <c r="B18" s="1248"/>
      <c r="C18" s="1248"/>
      <c r="D18" s="535">
        <v>0.42099999999999999</v>
      </c>
      <c r="E18" s="7" t="s">
        <v>4503</v>
      </c>
      <c r="J18" s="523"/>
      <c r="W18" s="24" t="s">
        <v>4295</v>
      </c>
      <c r="X18" s="15" t="s">
        <v>4296</v>
      </c>
      <c r="Y18" s="15" t="s">
        <v>4296</v>
      </c>
      <c r="AI18" s="24">
        <v>18</v>
      </c>
      <c r="AN18" s="24">
        <v>18</v>
      </c>
    </row>
    <row r="19" spans="1:40">
      <c r="J19" s="523"/>
      <c r="AI19" s="24">
        <v>19</v>
      </c>
      <c r="AN19" s="24">
        <v>19</v>
      </c>
    </row>
    <row r="20" spans="1:40">
      <c r="U20" s="24" t="s">
        <v>4226</v>
      </c>
      <c r="V20" s="524">
        <v>2027</v>
      </c>
      <c r="W20" s="24" t="s">
        <v>4291</v>
      </c>
      <c r="X20" s="15" t="s">
        <v>4292</v>
      </c>
      <c r="Y20" s="15" t="s">
        <v>4293</v>
      </c>
      <c r="AI20" s="24">
        <v>20</v>
      </c>
      <c r="AN20" s="24">
        <v>20</v>
      </c>
    </row>
    <row r="21" spans="1:40">
      <c r="W21" s="24" t="s">
        <v>72</v>
      </c>
      <c r="X21" s="525">
        <v>46844</v>
      </c>
      <c r="Y21" s="525">
        <v>47208</v>
      </c>
      <c r="AI21" s="24">
        <v>21</v>
      </c>
      <c r="AN21" s="24">
        <v>21</v>
      </c>
    </row>
    <row r="22" spans="1:40">
      <c r="W22" s="24" t="s">
        <v>4286</v>
      </c>
      <c r="X22" s="525">
        <v>47209</v>
      </c>
      <c r="Y22" s="525">
        <v>47573</v>
      </c>
      <c r="AI22" s="24">
        <v>22</v>
      </c>
      <c r="AN22" s="24">
        <v>22</v>
      </c>
    </row>
    <row r="23" spans="1:40">
      <c r="W23" s="24" t="s">
        <v>4294</v>
      </c>
      <c r="X23" s="15" t="s">
        <v>4296</v>
      </c>
      <c r="Y23" s="15" t="s">
        <v>4296</v>
      </c>
      <c r="AI23" s="24">
        <v>23</v>
      </c>
      <c r="AN23" s="24">
        <v>23</v>
      </c>
    </row>
    <row r="24" spans="1:40">
      <c r="W24" s="24" t="s">
        <v>4295</v>
      </c>
      <c r="X24" s="15" t="s">
        <v>4296</v>
      </c>
      <c r="Y24" s="15" t="s">
        <v>4296</v>
      </c>
      <c r="AI24" s="24">
        <v>24</v>
      </c>
      <c r="AN24" s="24">
        <v>24</v>
      </c>
    </row>
    <row r="25" spans="1:40">
      <c r="AI25" s="24">
        <v>25</v>
      </c>
      <c r="AN25" s="24">
        <v>25</v>
      </c>
    </row>
    <row r="26" spans="1:40">
      <c r="AI26" s="24">
        <v>26</v>
      </c>
      <c r="AN26" s="24">
        <v>26</v>
      </c>
    </row>
    <row r="27" spans="1:40">
      <c r="AI27" s="24">
        <v>27</v>
      </c>
      <c r="AN27" s="24">
        <v>27</v>
      </c>
    </row>
    <row r="28" spans="1:40">
      <c r="AI28" s="24">
        <v>28</v>
      </c>
      <c r="AN28" s="24">
        <v>28</v>
      </c>
    </row>
    <row r="29" spans="1:40">
      <c r="AI29" s="24">
        <v>29</v>
      </c>
      <c r="AN29" s="24">
        <v>29</v>
      </c>
    </row>
    <row r="30" spans="1:40">
      <c r="AI30" s="24">
        <v>30</v>
      </c>
      <c r="AN30" s="24">
        <v>30</v>
      </c>
    </row>
    <row r="31" spans="1:40">
      <c r="AI31" s="24">
        <v>31</v>
      </c>
      <c r="AN31" s="24">
        <v>31</v>
      </c>
    </row>
    <row r="32" spans="1:40">
      <c r="AI32" s="24">
        <v>0</v>
      </c>
    </row>
    <row r="39" spans="42:49">
      <c r="AP39" s="14"/>
      <c r="AQ39" s="14"/>
      <c r="AR39" s="14"/>
      <c r="AS39" s="14"/>
    </row>
    <row r="40" spans="42:49">
      <c r="AP40" s="14"/>
      <c r="AQ40" s="14"/>
      <c r="AR40" s="14"/>
      <c r="AS40" s="14"/>
    </row>
    <row r="41" spans="42:49" ht="19.399999999999999" customHeight="1">
      <c r="AP41" s="14"/>
      <c r="AQ41" s="1249"/>
      <c r="AR41" s="1249"/>
      <c r="AS41" s="14"/>
    </row>
    <row r="42" spans="42:49">
      <c r="AP42" s="14"/>
      <c r="AQ42" s="14"/>
      <c r="AR42" s="14"/>
      <c r="AS42" s="14"/>
    </row>
    <row r="43" spans="42:49">
      <c r="AP43" s="14"/>
      <c r="AQ43" s="1249"/>
      <c r="AR43" s="1249"/>
      <c r="AS43" s="14"/>
    </row>
    <row r="44" spans="42:49">
      <c r="AP44" s="14"/>
      <c r="AQ44" s="1249"/>
      <c r="AR44" s="1249"/>
      <c r="AS44" s="14"/>
    </row>
    <row r="45" spans="42:49">
      <c r="AU45" s="14"/>
      <c r="AV45" s="14"/>
      <c r="AW45" s="14"/>
    </row>
    <row r="46" spans="42:49" ht="270" customHeight="1">
      <c r="AU46" s="14"/>
      <c r="AV46" s="14"/>
      <c r="AW46" s="14"/>
    </row>
    <row r="47" spans="42:49" ht="117.65" customHeight="1">
      <c r="AU47" s="14"/>
      <c r="AV47" s="14"/>
      <c r="AW47" s="14"/>
    </row>
    <row r="48" spans="42:49" ht="270" customHeight="1">
      <c r="AU48" s="14"/>
      <c r="AV48" s="14"/>
      <c r="AW48" s="14"/>
    </row>
    <row r="49" spans="47:49">
      <c r="AU49" s="14"/>
      <c r="AV49" s="14"/>
      <c r="AW49" s="14"/>
    </row>
  </sheetData>
  <sheetProtection algorithmName="SHA-512" hashValue="szFd20mKFjJ+D/4hw06YGMpCToGQrzSnNya3ZmuzeCPXUZ6fcXsWuuTv/mBHkvRuqALPHSH9mzZfMi1YiW60Hg==" saltValue="rrDu9r0PhgwBA8W3WxDxdw==" spinCount="100000" sheet="1" objects="1" scenarios="1"/>
  <mergeCells count="5">
    <mergeCell ref="C5:D5"/>
    <mergeCell ref="A18:C18"/>
    <mergeCell ref="AQ41:AR41"/>
    <mergeCell ref="AQ43:AR43"/>
    <mergeCell ref="AQ44:AR44"/>
  </mergeCells>
  <phoneticPr fontId="1"/>
  <dataValidations count="7">
    <dataValidation type="list" allowBlank="1" showInputMessage="1" showErrorMessage="1" sqref="AD1" xr:uid="{06C074EE-CF21-498E-A684-354CF22AE36B}">
      <formula1>月対応日付リスト</formula1>
    </dataValidation>
    <dataValidation type="list" allowBlank="1" showInputMessage="1" showErrorMessage="1" sqref="AC1" xr:uid="{0EF7BEC4-41BE-4536-B709-3F517A9C2EAC}">
      <formula1>$AH$1:$AH$12</formula1>
    </dataValidation>
    <dataValidation type="list" allowBlank="1" showInputMessage="1" showErrorMessage="1" sqref="AB1" xr:uid="{06FDAC28-21C9-4304-A8E0-36795374A3A2}">
      <formula1>基準年リスト</formula1>
    </dataValidation>
    <dataValidation type="list" imeMode="halfAlpha" allowBlank="1" showInputMessage="1" showErrorMessage="1" sqref="V8 V14 V20 V1" xr:uid="{29AD6FA5-9C00-4738-91F1-AEC8D524E47A}">
      <formula1>"2025,2026,2027"</formula1>
    </dataValidation>
    <dataValidation type="list" errorStyle="information" allowBlank="1" showInputMessage="1" showErrorMessage="1" sqref="H6" xr:uid="{F4300CE0-40D8-40BF-B3BF-02AB8B54EA95}">
      <formula1>"0,1,2,3,4,5,6"</formula1>
    </dataValidation>
    <dataValidation type="list" errorStyle="information" allowBlank="1" showInputMessage="1" showErrorMessage="1" sqref="H7" xr:uid="{99D66506-1749-40F7-9886-FB38F2102118}">
      <formula1>$AH$1:$AH$12</formula1>
    </dataValidation>
    <dataValidation type="list" errorStyle="information" allowBlank="1" showInputMessage="1" showErrorMessage="1" sqref="H8" xr:uid="{112816BD-C4C6-481E-BA67-45D542C3835A}">
      <formula1>$AI$1:$AI$32</formula1>
    </dataValidation>
  </dataValidations>
  <pageMargins left="0.70866141732283472" right="0.70866141732283472" top="0.74803149606299213" bottom="0.74803149606299213" header="0.31496062992125984" footer="0.31496062992125984"/>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D553-D653-4B60-B85E-8EFCBF6164C3}">
  <sheetPr codeName="Sheet14">
    <tabColor rgb="FFFF0000"/>
    <pageSetUpPr fitToPage="1"/>
  </sheetPr>
  <dimension ref="A1:T40"/>
  <sheetViews>
    <sheetView zoomScaleNormal="100" workbookViewId="0">
      <pane xSplit="2" ySplit="2" topLeftCell="E3" activePane="bottomRight" state="frozen"/>
      <selection activeCell="AF17" sqref="AF17"/>
      <selection pane="topRight" activeCell="AF17" sqref="AF17"/>
      <selection pane="bottomLeft" activeCell="AF17" sqref="AF17"/>
      <selection pane="bottomRight" activeCell="T1" sqref="T1"/>
    </sheetView>
  </sheetViews>
  <sheetFormatPr defaultColWidth="8.90625" defaultRowHeight="17.5"/>
  <cols>
    <col min="1" max="1" width="19.453125" style="513" customWidth="1"/>
    <col min="2" max="2" width="18.36328125" style="24" customWidth="1"/>
    <col min="3" max="3" width="11.36328125" style="24" customWidth="1"/>
    <col min="4" max="4" width="10.81640625" style="24" customWidth="1"/>
    <col min="5" max="5" width="11.1796875" style="24" customWidth="1"/>
    <col min="6" max="6" width="11.36328125" style="24" customWidth="1"/>
    <col min="7" max="7" width="11.08984375" style="24" customWidth="1"/>
    <col min="8" max="9" width="11.90625" style="24" customWidth="1"/>
    <col min="10" max="10" width="10.36328125" style="24" customWidth="1"/>
    <col min="11" max="11" width="11.36328125" style="24" customWidth="1"/>
    <col min="12" max="12" width="12.08984375" style="24" customWidth="1"/>
    <col min="13" max="14" width="10.36328125" style="24" customWidth="1"/>
    <col min="15" max="15" width="4.08984375" style="24" customWidth="1"/>
    <col min="16" max="16" width="10.90625" style="24" customWidth="1"/>
    <col min="17" max="17" width="10.453125" style="24" customWidth="1"/>
    <col min="18" max="18" width="13.453125" style="24" customWidth="1"/>
    <col min="19" max="19" width="6.08984375" style="24" customWidth="1"/>
    <col min="20" max="16384" width="8.90625" style="24"/>
  </cols>
  <sheetData>
    <row r="1" spans="1:20" ht="70">
      <c r="A1" s="509" t="s">
        <v>4521</v>
      </c>
      <c r="B1" s="510"/>
      <c r="C1" s="511" t="s">
        <v>4354</v>
      </c>
      <c r="D1" s="511" t="s">
        <v>4355</v>
      </c>
      <c r="E1" s="511" t="s">
        <v>4356</v>
      </c>
      <c r="F1" s="511" t="s">
        <v>4357</v>
      </c>
      <c r="G1" s="511" t="s">
        <v>4358</v>
      </c>
      <c r="H1" s="511" t="s">
        <v>4359</v>
      </c>
      <c r="I1" s="511" t="s">
        <v>4360</v>
      </c>
      <c r="J1" s="511" t="s">
        <v>4364</v>
      </c>
      <c r="K1" s="511" t="s">
        <v>4361</v>
      </c>
      <c r="L1" s="511" t="s">
        <v>4362</v>
      </c>
      <c r="M1" s="511" t="s">
        <v>4365</v>
      </c>
      <c r="N1" s="511" t="s">
        <v>4366</v>
      </c>
      <c r="P1" s="24" t="s">
        <v>4016</v>
      </c>
      <c r="Q1" s="512">
        <v>2025</v>
      </c>
      <c r="R1" s="513" t="str">
        <f>HLOOKUP(T3,C2:N8,T4,FALSE)</f>
        <v>本シートは作成済みです。</v>
      </c>
    </row>
    <row r="2" spans="1:20" s="15" customFormat="1" ht="26" customHeight="1">
      <c r="A2" s="514"/>
      <c r="B2" s="515" t="s">
        <v>4368</v>
      </c>
      <c r="C2" s="515">
        <v>20250</v>
      </c>
      <c r="D2" s="515">
        <v>20251</v>
      </c>
      <c r="E2" s="515">
        <v>20252</v>
      </c>
      <c r="F2" s="515">
        <v>20253</v>
      </c>
      <c r="G2" s="515">
        <v>20260</v>
      </c>
      <c r="H2" s="515">
        <v>20261</v>
      </c>
      <c r="I2" s="515">
        <v>20262</v>
      </c>
      <c r="J2" s="515">
        <v>20263</v>
      </c>
      <c r="K2" s="515">
        <v>20270</v>
      </c>
      <c r="L2" s="515">
        <v>20271</v>
      </c>
      <c r="M2" s="515">
        <v>20272</v>
      </c>
      <c r="N2" s="515">
        <v>20273</v>
      </c>
    </row>
    <row r="3" spans="1:20" ht="74.400000000000006" customHeight="1">
      <c r="A3" s="516" t="str">
        <f>TEXT(YEAR(B4)-1,"####年度以前")&amp;CHAR(10)&amp;"(～"&amp;TEXT(B4-1,"yyyy年m月d日")&amp;")"</f>
        <v>2025年度以前
(～2026年3月31日)</v>
      </c>
      <c r="B3" s="517">
        <v>43831</v>
      </c>
      <c r="C3" s="516" t="s">
        <v>4351</v>
      </c>
      <c r="D3" s="516" t="s">
        <v>4351</v>
      </c>
      <c r="E3" s="516" t="s">
        <v>4351</v>
      </c>
      <c r="F3" s="516" t="s">
        <v>4351</v>
      </c>
      <c r="G3" s="516" t="s">
        <v>4351</v>
      </c>
      <c r="H3" s="516" t="s">
        <v>4351</v>
      </c>
      <c r="I3" s="516" t="s">
        <v>4351</v>
      </c>
      <c r="J3" s="516" t="s">
        <v>4350</v>
      </c>
      <c r="K3" s="516" t="s">
        <v>4351</v>
      </c>
      <c r="L3" s="516" t="s">
        <v>4351</v>
      </c>
      <c r="M3" s="516" t="s">
        <v>4350</v>
      </c>
      <c r="N3" s="516" t="s">
        <v>4350</v>
      </c>
      <c r="P3" s="15" t="s">
        <v>4363</v>
      </c>
      <c r="Q3" s="80" t="s">
        <v>72</v>
      </c>
      <c r="R3" s="15"/>
      <c r="S3" s="15"/>
      <c r="T3" s="24">
        <f>VALUE(Q1&amp;VLOOKUP(Q3,$C$10:$D$13,2,0))</f>
        <v>20250</v>
      </c>
    </row>
    <row r="4" spans="1:20" ht="74.400000000000006" customHeight="1">
      <c r="A4" s="516" t="str">
        <f>TEXT(YEAR(B4),"####年度")&amp;CHAR(10)&amp;"("&amp;TEXT(B4,"yyyy年m月d日～")&amp;TEXT(B5-1,"yyyy年m月d日")&amp;")"</f>
        <v>2026年度
(2026年4月1日～2027年3月31日)</v>
      </c>
      <c r="B4" s="517">
        <v>46113</v>
      </c>
      <c r="C4" s="516" t="s">
        <v>4347</v>
      </c>
      <c r="D4" s="516" t="s">
        <v>4351</v>
      </c>
      <c r="E4" s="516" t="s">
        <v>4351</v>
      </c>
      <c r="F4" s="516" t="s">
        <v>4351</v>
      </c>
      <c r="G4" s="516" t="s">
        <v>4351</v>
      </c>
      <c r="H4" s="516" t="s">
        <v>4351</v>
      </c>
      <c r="I4" s="516" t="s">
        <v>4351</v>
      </c>
      <c r="J4" s="516" t="s">
        <v>4350</v>
      </c>
      <c r="K4" s="516" t="s">
        <v>4351</v>
      </c>
      <c r="L4" s="516" t="s">
        <v>4351</v>
      </c>
      <c r="M4" s="516" t="s">
        <v>4350</v>
      </c>
      <c r="N4" s="516" t="s">
        <v>4350</v>
      </c>
      <c r="P4" s="24" t="s">
        <v>4353</v>
      </c>
      <c r="Q4" s="518">
        <v>2030</v>
      </c>
      <c r="R4" s="519">
        <v>4</v>
      </c>
      <c r="S4" s="520">
        <v>1</v>
      </c>
      <c r="T4" s="24">
        <f>LOOKUP(DATE(Q4,R4,S4),B3:B8,B11:B16)</f>
        <v>7</v>
      </c>
    </row>
    <row r="5" spans="1:20" ht="105">
      <c r="A5" s="516" t="str">
        <f>TEXT(YEAR(B5),"####年度")&amp;CHAR(10)&amp;"("&amp;TEXT(B5,"yyyy年m月d日～")&amp;TEXT(B6-1,"yyyy年m月d日")&amp;")"</f>
        <v>2027年度
(2027年4月1日～2028年3月31日)</v>
      </c>
      <c r="B5" s="517">
        <v>46478</v>
      </c>
      <c r="C5" s="516" t="s">
        <v>4348</v>
      </c>
      <c r="D5" s="516" t="s">
        <v>4347</v>
      </c>
      <c r="E5" s="516" t="s">
        <v>4351</v>
      </c>
      <c r="F5" s="516" t="s">
        <v>4351</v>
      </c>
      <c r="G5" s="516" t="s">
        <v>4347</v>
      </c>
      <c r="H5" s="516" t="s">
        <v>4351</v>
      </c>
      <c r="I5" s="516" t="s">
        <v>4351</v>
      </c>
      <c r="J5" s="516" t="s">
        <v>4350</v>
      </c>
      <c r="K5" s="516" t="s">
        <v>4351</v>
      </c>
      <c r="L5" s="516" t="s">
        <v>4351</v>
      </c>
      <c r="M5" s="516" t="s">
        <v>4350</v>
      </c>
      <c r="N5" s="516" t="s">
        <v>4350</v>
      </c>
    </row>
    <row r="6" spans="1:20" ht="105">
      <c r="A6" s="516" t="str">
        <f>TEXT(YEAR(B6),"####年度")&amp;CHAR(10)&amp;"("&amp;TEXT(B6,"yyyy年m月d日～")&amp;TEXT(B7-1,"yyyy年m月d日")&amp;")"</f>
        <v>2028年度
(2028年4月1日～2029年3月31日)</v>
      </c>
      <c r="B6" s="517">
        <v>46844</v>
      </c>
      <c r="C6" s="516" t="s">
        <v>4348</v>
      </c>
      <c r="D6" s="516" t="s">
        <v>4348</v>
      </c>
      <c r="E6" s="516" t="s">
        <v>4347</v>
      </c>
      <c r="F6" s="516" t="s">
        <v>4351</v>
      </c>
      <c r="G6" s="516" t="s">
        <v>4348</v>
      </c>
      <c r="H6" s="516" t="s">
        <v>4347</v>
      </c>
      <c r="I6" s="516" t="s">
        <v>4351</v>
      </c>
      <c r="J6" s="516" t="s">
        <v>4350</v>
      </c>
      <c r="K6" s="516" t="s">
        <v>4347</v>
      </c>
      <c r="L6" s="516" t="s">
        <v>4351</v>
      </c>
      <c r="M6" s="516" t="s">
        <v>4350</v>
      </c>
      <c r="N6" s="516" t="s">
        <v>4350</v>
      </c>
    </row>
    <row r="7" spans="1:20" ht="105">
      <c r="A7" s="516" t="str">
        <f>TEXT(YEAR(B7),"####年度")&amp;CHAR(10)&amp;"("&amp;TEXT(B7,"yyyy年m月d日～")&amp;TEXT(B8-1,"yyyy年m月d日")&amp;")"</f>
        <v>2029年度
(2029年4月1日～2030年3月31日)</v>
      </c>
      <c r="B7" s="517">
        <v>47209</v>
      </c>
      <c r="C7" s="521" t="s">
        <v>4348</v>
      </c>
      <c r="D7" s="521" t="s">
        <v>4348</v>
      </c>
      <c r="E7" s="521" t="s">
        <v>4348</v>
      </c>
      <c r="F7" s="521" t="s">
        <v>4347</v>
      </c>
      <c r="G7" s="521" t="s">
        <v>4348</v>
      </c>
      <c r="H7" s="521" t="s">
        <v>4348</v>
      </c>
      <c r="I7" s="521" t="s">
        <v>4347</v>
      </c>
      <c r="J7" s="521" t="s">
        <v>4350</v>
      </c>
      <c r="K7" s="521" t="s">
        <v>4348</v>
      </c>
      <c r="L7" s="521" t="s">
        <v>4347</v>
      </c>
      <c r="M7" s="521" t="s">
        <v>4350</v>
      </c>
      <c r="N7" s="521" t="s">
        <v>4350</v>
      </c>
    </row>
    <row r="8" spans="1:20" ht="52.5">
      <c r="A8" s="516" t="str">
        <f>TEXT(YEAR(B8),"####年度以降")&amp;CHAR(10)&amp;"("&amp;TEXT(B8,"yyyy年m月d日～")&amp;")"</f>
        <v>2030年度以降
(2030年4月1日～)</v>
      </c>
      <c r="B8" s="517">
        <v>47574</v>
      </c>
      <c r="C8" s="521" t="s">
        <v>4349</v>
      </c>
      <c r="D8" s="521" t="s">
        <v>4349</v>
      </c>
      <c r="E8" s="521" t="s">
        <v>4349</v>
      </c>
      <c r="F8" s="521" t="s">
        <v>4349</v>
      </c>
      <c r="G8" s="521" t="s">
        <v>4349</v>
      </c>
      <c r="H8" s="521" t="s">
        <v>4349</v>
      </c>
      <c r="I8" s="521" t="s">
        <v>4349</v>
      </c>
      <c r="J8" s="521" t="s">
        <v>4350</v>
      </c>
      <c r="K8" s="521" t="s">
        <v>4349</v>
      </c>
      <c r="L8" s="521" t="s">
        <v>4349</v>
      </c>
      <c r="M8" s="521" t="s">
        <v>4350</v>
      </c>
      <c r="N8" s="521" t="s">
        <v>4350</v>
      </c>
    </row>
    <row r="10" spans="1:20">
      <c r="B10" s="24">
        <v>1</v>
      </c>
      <c r="C10" s="513" t="s">
        <v>72</v>
      </c>
      <c r="D10" s="24">
        <v>0</v>
      </c>
      <c r="F10" s="24">
        <v>2025</v>
      </c>
    </row>
    <row r="11" spans="1:20">
      <c r="B11" s="24">
        <v>2</v>
      </c>
      <c r="C11" s="24" t="s">
        <v>4286</v>
      </c>
      <c r="D11" s="24">
        <v>1</v>
      </c>
      <c r="F11" s="24">
        <v>2026</v>
      </c>
    </row>
    <row r="12" spans="1:20">
      <c r="A12" s="513">
        <v>0</v>
      </c>
      <c r="B12" s="24">
        <v>3</v>
      </c>
      <c r="C12" s="24" t="s">
        <v>4294</v>
      </c>
      <c r="D12" s="24">
        <v>2</v>
      </c>
      <c r="F12" s="24">
        <v>2027</v>
      </c>
    </row>
    <row r="13" spans="1:20">
      <c r="A13" s="513">
        <v>1</v>
      </c>
      <c r="B13" s="24">
        <v>4</v>
      </c>
      <c r="C13" s="24" t="s">
        <v>4295</v>
      </c>
      <c r="D13" s="24">
        <v>3</v>
      </c>
      <c r="F13" s="24">
        <v>2028</v>
      </c>
    </row>
    <row r="14" spans="1:20">
      <c r="A14" s="513">
        <v>2</v>
      </c>
      <c r="B14" s="24">
        <v>5</v>
      </c>
      <c r="F14" s="24">
        <v>2029</v>
      </c>
    </row>
    <row r="15" spans="1:20">
      <c r="A15" s="513">
        <v>3</v>
      </c>
      <c r="B15" s="24">
        <v>6</v>
      </c>
      <c r="F15" s="24">
        <v>2030</v>
      </c>
    </row>
    <row r="16" spans="1:20">
      <c r="A16" s="513">
        <v>4</v>
      </c>
      <c r="B16" s="24">
        <v>7</v>
      </c>
      <c r="F16" s="24">
        <v>2031</v>
      </c>
    </row>
    <row r="17" spans="1:2">
      <c r="A17" s="513">
        <v>5</v>
      </c>
      <c r="B17" s="24">
        <v>8</v>
      </c>
    </row>
    <row r="18" spans="1:2">
      <c r="B18" s="24">
        <v>9</v>
      </c>
    </row>
    <row r="19" spans="1:2">
      <c r="B19" s="24">
        <v>10</v>
      </c>
    </row>
    <row r="20" spans="1:2">
      <c r="B20" s="24">
        <v>11</v>
      </c>
    </row>
    <row r="21" spans="1:2">
      <c r="B21" s="24">
        <v>12</v>
      </c>
    </row>
    <row r="22" spans="1:2">
      <c r="B22" s="24">
        <v>13</v>
      </c>
    </row>
    <row r="23" spans="1:2">
      <c r="B23" s="24">
        <v>14</v>
      </c>
    </row>
    <row r="24" spans="1:2">
      <c r="B24" s="24">
        <v>15</v>
      </c>
    </row>
    <row r="25" spans="1:2">
      <c r="B25" s="24">
        <v>16</v>
      </c>
    </row>
    <row r="26" spans="1:2">
      <c r="B26" s="24">
        <v>17</v>
      </c>
    </row>
    <row r="27" spans="1:2">
      <c r="B27" s="24">
        <v>18</v>
      </c>
    </row>
    <row r="28" spans="1:2">
      <c r="B28" s="24">
        <v>19</v>
      </c>
    </row>
    <row r="29" spans="1:2">
      <c r="B29" s="24">
        <v>20</v>
      </c>
    </row>
    <row r="30" spans="1:2">
      <c r="B30" s="24">
        <v>21</v>
      </c>
    </row>
    <row r="31" spans="1:2">
      <c r="B31" s="24">
        <v>22</v>
      </c>
    </row>
    <row r="32" spans="1:2">
      <c r="B32" s="24">
        <v>23</v>
      </c>
    </row>
    <row r="33" spans="2:2">
      <c r="B33" s="24">
        <v>24</v>
      </c>
    </row>
    <row r="34" spans="2:2">
      <c r="B34" s="24">
        <v>25</v>
      </c>
    </row>
    <row r="35" spans="2:2">
      <c r="B35" s="24">
        <v>26</v>
      </c>
    </row>
    <row r="36" spans="2:2">
      <c r="B36" s="24">
        <v>27</v>
      </c>
    </row>
    <row r="37" spans="2:2">
      <c r="B37" s="24">
        <v>28</v>
      </c>
    </row>
    <row r="38" spans="2:2">
      <c r="B38" s="24">
        <v>29</v>
      </c>
    </row>
    <row r="39" spans="2:2">
      <c r="B39" s="24">
        <v>30</v>
      </c>
    </row>
    <row r="40" spans="2:2">
      <c r="B40" s="24">
        <v>31</v>
      </c>
    </row>
  </sheetData>
  <sheetProtection algorithmName="SHA-512" hashValue="nAD30tQvno5AIRft0etVYqDqpNhkR9n/ngyOmkZUzhZWOcVykzNjPr9sm8bjgIR3ddFO899igcxTXqtuNUS9Jw==" saltValue="yhWaz2w6koeRgFnCKmzAHg==" spinCount="100000" sheet="1" objects="1" scenarios="1"/>
  <phoneticPr fontId="1"/>
  <dataValidations count="5">
    <dataValidation type="list" errorStyle="warning" allowBlank="1" showInputMessage="1" showErrorMessage="1" sqref="Q4" xr:uid="{40A20779-0AD5-40A9-B80E-BF440185F768}">
      <formula1>$F$11:$F$16</formula1>
    </dataValidation>
    <dataValidation type="list" allowBlank="1" showInputMessage="1" showErrorMessage="1" sqref="Q3" xr:uid="{704F84B6-99F3-4198-A554-C8D983FF2AE2}">
      <formula1>$C$10:$C$13</formula1>
    </dataValidation>
    <dataValidation type="list" allowBlank="1" showInputMessage="1" showErrorMessage="1" sqref="S4" xr:uid="{5B3682DE-FBE9-440C-998C-84EB45DB38A9}">
      <formula1>$B$10:$B$40</formula1>
    </dataValidation>
    <dataValidation type="list" allowBlank="1" showInputMessage="1" showErrorMessage="1" sqref="R4" xr:uid="{9048D759-8B34-470A-9B35-F0A989F8D263}">
      <formula1>$B$10:$B$21</formula1>
    </dataValidation>
    <dataValidation type="list" allowBlank="1" showInputMessage="1" showErrorMessage="1" sqref="Q1" xr:uid="{70999A3D-1D08-4253-9574-286BB3A9C8C1}">
      <formula1>$F$10:$F$12</formula1>
    </dataValidation>
  </dataValidations>
  <pageMargins left="0.22" right="0.2" top="0.74803149606299213" bottom="0.74803149606299213" header="0.31496062992125984" footer="0.31496062992125984"/>
  <pageSetup paperSize="9" scale="45" orientation="landscape"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FF0000"/>
  </sheetPr>
  <dimension ref="A1:CG97"/>
  <sheetViews>
    <sheetView zoomScaleNormal="100" workbookViewId="0">
      <pane ySplit="1" topLeftCell="A2" activePane="bottomLeft" state="frozen"/>
      <selection pane="bottomLeft"/>
    </sheetView>
  </sheetViews>
  <sheetFormatPr defaultColWidth="8.90625" defaultRowHeight="17.5"/>
  <cols>
    <col min="1" max="1" width="6" style="15" bestFit="1" customWidth="1"/>
    <col min="2" max="2" width="27.1796875" style="24" customWidth="1"/>
    <col min="3" max="3" width="64.36328125" style="24" customWidth="1"/>
    <col min="4" max="4" width="3.1796875" style="24" customWidth="1"/>
    <col min="5" max="5" width="6" style="15" bestFit="1" customWidth="1"/>
    <col min="6" max="6" width="24" style="82" customWidth="1"/>
    <col min="7" max="7" width="53.6328125" style="82" customWidth="1"/>
    <col min="8" max="8" width="3.1796875" style="24" customWidth="1"/>
    <col min="9" max="9" width="6" style="15" bestFit="1" customWidth="1"/>
    <col min="10" max="10" width="50.6328125" style="24" customWidth="1"/>
    <col min="11" max="11" width="9" style="24" bestFit="1" customWidth="1"/>
    <col min="12" max="12" width="8.90625" style="24"/>
    <col min="13" max="13" width="9" style="24" bestFit="1" customWidth="1"/>
    <col min="14" max="17" width="8.90625" style="24"/>
    <col min="18" max="27" width="0" style="24" hidden="1" customWidth="1"/>
    <col min="28" max="28" width="8.90625" style="24"/>
    <col min="29" max="29" width="9" style="24" bestFit="1" customWidth="1"/>
    <col min="30" max="30" width="21.453125" style="24" customWidth="1"/>
    <col min="31" max="31" width="9" style="24" bestFit="1" customWidth="1"/>
    <col min="32" max="32" width="10.36328125" style="24" bestFit="1" customWidth="1"/>
    <col min="33" max="33" width="12" style="24" customWidth="1"/>
    <col min="34" max="34" width="11.08984375" style="24" customWidth="1"/>
    <col min="35" max="40" width="8.90625" style="24" customWidth="1"/>
    <col min="41" max="41" width="8.90625" style="24"/>
    <col min="42" max="42" width="24.1796875" style="24" customWidth="1"/>
    <col min="43" max="43" width="28.1796875" style="24" customWidth="1"/>
    <col min="44" max="44" width="9" style="24" bestFit="1" customWidth="1"/>
    <col min="45" max="47" width="8.90625" style="24"/>
    <col min="48" max="48" width="9" style="24" bestFit="1" customWidth="1"/>
    <col min="49" max="49" width="38.36328125" style="24" customWidth="1"/>
    <col min="50" max="50" width="28.90625" style="24" customWidth="1"/>
    <col min="51" max="51" width="22.36328125" style="24" customWidth="1"/>
    <col min="52" max="54" width="8.90625" style="24"/>
    <col min="55" max="55" width="9" style="24" bestFit="1" customWidth="1"/>
    <col min="56" max="56" width="25.90625" style="24" customWidth="1"/>
    <col min="57" max="57" width="6.90625" style="24" customWidth="1"/>
    <col min="58" max="58" width="10.36328125" style="24" bestFit="1" customWidth="1"/>
    <col min="59" max="59" width="21" style="24" customWidth="1"/>
    <col min="60" max="60" width="23.90625" style="24" customWidth="1"/>
    <col min="61" max="61" width="15.36328125" style="24" customWidth="1"/>
    <col min="62" max="62" width="8" style="24" customWidth="1"/>
    <col min="63" max="63" width="29.90625" style="24" bestFit="1" customWidth="1"/>
    <col min="64" max="64" width="4" style="24" bestFit="1" customWidth="1"/>
    <col min="65" max="66" width="19.08984375" style="24" customWidth="1"/>
    <col min="67" max="67" width="4.453125" style="24" customWidth="1"/>
    <col min="68" max="68" width="65.36328125" style="24" customWidth="1"/>
    <col min="69" max="70" width="9" style="24" bestFit="1" customWidth="1"/>
    <col min="71" max="73" width="8.90625" style="24"/>
    <col min="74" max="74" width="9" style="24" bestFit="1" customWidth="1"/>
    <col min="75" max="75" width="27.453125" style="24" customWidth="1"/>
    <col min="76" max="76" width="22.08984375" style="24" customWidth="1"/>
    <col min="77" max="77" width="20.08984375" style="24" customWidth="1"/>
    <col min="78" max="80" width="22.08984375" style="24" customWidth="1"/>
    <col min="81" max="81" width="5.08984375" style="24" customWidth="1"/>
    <col min="82" max="85" width="13.90625" style="24" customWidth="1"/>
    <col min="86" max="16384" width="8.90625" style="24"/>
  </cols>
  <sheetData>
    <row r="1" spans="1:85" ht="44.4" customHeight="1">
      <c r="B1" s="472" t="s">
        <v>4048</v>
      </c>
      <c r="C1" s="472"/>
      <c r="E1" s="472"/>
      <c r="F1" s="36" t="s">
        <v>4049</v>
      </c>
      <c r="G1" s="473"/>
      <c r="J1" s="472" t="s">
        <v>4402</v>
      </c>
      <c r="AD1" s="24" t="s">
        <v>4052</v>
      </c>
      <c r="AP1" s="24" t="s">
        <v>4049</v>
      </c>
      <c r="AQ1" s="24" t="s">
        <v>79</v>
      </c>
      <c r="AS1" s="24" t="s">
        <v>4053</v>
      </c>
      <c r="AW1" s="24" t="s">
        <v>4054</v>
      </c>
      <c r="AX1" s="24" t="s">
        <v>4055</v>
      </c>
      <c r="AY1" s="24" t="s">
        <v>4056</v>
      </c>
      <c r="BD1" s="24" t="s">
        <v>4067</v>
      </c>
      <c r="BP1" s="24" t="s">
        <v>4050</v>
      </c>
      <c r="BS1" s="24" t="s">
        <v>4053</v>
      </c>
      <c r="BW1" s="24" t="s">
        <v>4068</v>
      </c>
      <c r="BX1" s="24" t="s">
        <v>4069</v>
      </c>
      <c r="BY1" s="24" t="s">
        <v>4070</v>
      </c>
      <c r="BZ1" s="24" t="s">
        <v>4082</v>
      </c>
      <c r="CA1" s="24" t="s">
        <v>4083</v>
      </c>
      <c r="CB1" s="24" t="s">
        <v>4084</v>
      </c>
      <c r="CD1" s="24" t="s">
        <v>4085</v>
      </c>
      <c r="CE1" s="24" t="s">
        <v>4087</v>
      </c>
      <c r="CF1" s="24" t="s">
        <v>4086</v>
      </c>
      <c r="CG1" s="24" t="s">
        <v>4088</v>
      </c>
    </row>
    <row r="2" spans="1:85" ht="29.4" customHeight="1">
      <c r="A2" s="474" t="s">
        <v>4398</v>
      </c>
      <c r="B2" s="474" t="s">
        <v>4399</v>
      </c>
      <c r="C2" s="474" t="s">
        <v>4403</v>
      </c>
      <c r="D2" s="15"/>
      <c r="E2" s="474" t="s">
        <v>4398</v>
      </c>
      <c r="F2" s="475" t="s">
        <v>4400</v>
      </c>
      <c r="G2" s="476" t="s">
        <v>4403</v>
      </c>
      <c r="H2" s="15"/>
      <c r="I2" s="474" t="s">
        <v>4398</v>
      </c>
      <c r="J2" s="477" t="s">
        <v>4401</v>
      </c>
      <c r="K2" s="24" t="s">
        <v>4095</v>
      </c>
      <c r="M2" s="24" t="s">
        <v>4095</v>
      </c>
      <c r="AC2" s="24">
        <v>1</v>
      </c>
      <c r="AD2" s="478">
        <f>'入力シート（計画書）'!F203</f>
        <v>0</v>
      </c>
      <c r="AE2" s="24" t="str">
        <f>IF(AD2&lt;&gt;0,ROW()-1,"")</f>
        <v/>
      </c>
      <c r="AF2" s="24" t="e">
        <f>RANK(AE2,$AE$2:$AE$81,1)</f>
        <v>#VALUE!</v>
      </c>
      <c r="AP2" s="479" t="s">
        <v>4453</v>
      </c>
      <c r="AQ2" s="479" t="s">
        <v>4454</v>
      </c>
      <c r="AR2" s="24">
        <f>IF(ISERROR(MATCH(AP2,$AD$2:$AD$81,0)),ROW(),"")</f>
        <v>2</v>
      </c>
      <c r="AS2" s="24" t="str">
        <f ca="1">IFERROR(INDIRECT("Ap"&amp;SMALL($AR$2:$AR$10,ROW()-1)),"")</f>
        <v>エコドライブの管理</v>
      </c>
      <c r="AV2" s="24">
        <v>1</v>
      </c>
      <c r="AW2" s="24" t="str">
        <f>IFERROR(INDEX($AD$2:$AD$81,MATCH(AV2,$AF$2:$AF$81,0)),"")</f>
        <v/>
      </c>
      <c r="AX2" s="24" t="str">
        <f>IFERROR(INDEX($AD$2:$AD$61,MATCH(AV2,$AF$2:$AF$61,0)),"")</f>
        <v/>
      </c>
      <c r="AY2" s="24" t="str">
        <f>IFERROR(INDEX($AD$2:$AD$41,MATCH(AV2,$AF$2:$AF$41,0)),"")</f>
        <v/>
      </c>
      <c r="BC2" s="24">
        <v>1</v>
      </c>
      <c r="BD2" s="480" t="str">
        <f>IF('入力シート（計画書）'!F223="","",'入力シート（計画書）'!F223&amp;"‡"&amp;'入力シート（計画書）'!G223)</f>
        <v/>
      </c>
      <c r="BE2" s="24" t="str">
        <f>IF(BD2&lt;&gt;"",ROW()-1,"")</f>
        <v/>
      </c>
      <c r="BF2" s="24" t="e">
        <f>RANK(BE2,$BE$2:$BE$41,1)</f>
        <v>#VALUE!</v>
      </c>
      <c r="BG2" s="24">
        <f>'入力シート（計画書）'!G223</f>
        <v>0</v>
      </c>
      <c r="BH2" s="24" t="e">
        <f t="shared" ref="BH2:BH41" si="0">LEFT(BD2,FIND("‡",BD2)-1)</f>
        <v>#VALUE!</v>
      </c>
      <c r="BL2" s="24">
        <v>1</v>
      </c>
      <c r="BM2" s="24" t="str">
        <f>IFERROR(INDEX($BH$2:$BH$41,MATCH(BL2,$BF$2:$BF$41,0)),"")</f>
        <v/>
      </c>
      <c r="BN2" s="24" t="str">
        <f>IFERROR(INDEX($BG$2:$BG$41,MATCH(BL2,$BF$2:$BF$41,0)),"")</f>
        <v/>
      </c>
      <c r="BP2" s="481" t="s">
        <v>4027</v>
      </c>
      <c r="BR2" s="24">
        <f>IF(ISERROR(MATCH(BP2,$BD$2:$BD$41,0)),ROW(),"")</f>
        <v>2</v>
      </c>
      <c r="BS2" s="24" t="str">
        <f ca="1">IFERROR(INDIRECT("bM"&amp;SMALL($BR$2:$BR$26,ROW()-1)),"")</f>
        <v/>
      </c>
      <c r="BV2" s="24">
        <v>1</v>
      </c>
      <c r="BW2" s="24" t="str">
        <f>IFERROR(INDEX($BH$2:$BH$41,MATCH(BV2,$BF$2:$BF$41,0)),"")</f>
        <v/>
      </c>
      <c r="BX2" s="24" t="str">
        <f>IFERROR(INDEX($BH$2:$BH$41,MATCH(BV2,$BF$2:$BF$31,0)),"")</f>
        <v/>
      </c>
      <c r="BY2" s="24" t="str">
        <f>IFERROR(INDEX($BH$2:$BH$41,MATCH(BV2,$BF$2:$BF$21,0)),"")</f>
        <v/>
      </c>
      <c r="BZ2" s="24" t="str">
        <f>IFERROR(INDEX($BG$2:$BG$41,MATCH(BV2,$BF$2:$BF$41,0)),"")</f>
        <v/>
      </c>
      <c r="CA2" s="24" t="str">
        <f>IFERROR(INDEX($BG$2:$BG$41,MATCH(BV2,$BF$2:$BF$31,0)),"")</f>
        <v/>
      </c>
      <c r="CB2" s="24" t="str">
        <f>IFERROR(INDEX($BG$2:$BG$41,MATCH(BV2,$BF$2:$BF$21,0)),"")</f>
        <v/>
      </c>
      <c r="CD2" s="482" t="str">
        <f>IF('入力シート（第３年度報告書）'!F223="","",'入力シート（第３年度報告書）'!Q223&amp;"")</f>
        <v/>
      </c>
      <c r="CE2" s="483" t="str">
        <f>IF('入力シート（第２年度報告書）'!F223="","",'入力シート（第２年度報告書）'!P223&amp;"")</f>
        <v/>
      </c>
      <c r="CF2" s="484" t="str">
        <f>IF('入力シート（第１年度報告書）'!F223="","",'入力シート（第１年度報告書）'!O223&amp;"")</f>
        <v/>
      </c>
      <c r="CG2" s="478" t="str">
        <f>IF('入力シート（計画書）'!F223="","",'入力シート（計画書）'!N223&amp;"")</f>
        <v/>
      </c>
    </row>
    <row r="3" spans="1:85" ht="37.25" customHeight="1">
      <c r="A3" s="474">
        <v>1</v>
      </c>
      <c r="B3" s="485" t="s">
        <v>3973</v>
      </c>
      <c r="C3" s="486" t="s">
        <v>4464</v>
      </c>
      <c r="E3" s="474">
        <v>1</v>
      </c>
      <c r="F3" s="487" t="s">
        <v>4453</v>
      </c>
      <c r="G3" s="488" t="s">
        <v>4454</v>
      </c>
      <c r="I3" s="474">
        <v>1</v>
      </c>
      <c r="J3" s="489" t="s">
        <v>4027</v>
      </c>
      <c r="K3" s="24">
        <f>LEN(J3)</f>
        <v>15</v>
      </c>
      <c r="M3" s="24">
        <f>LEN(F3)</f>
        <v>9</v>
      </c>
      <c r="AC3" s="24">
        <v>2</v>
      </c>
      <c r="AD3" s="478">
        <f>'入力シート（計画書）'!F204</f>
        <v>0</v>
      </c>
      <c r="AE3" s="24" t="str">
        <f t="shared" ref="AE3:AE66" si="1">IF(AD3&lt;&gt;0,ROW()-1,"")</f>
        <v/>
      </c>
      <c r="AF3" s="24" t="e">
        <f t="shared" ref="AF3:AF66" si="2">RANK(AE3,$AE$2:$AE$81,1)</f>
        <v>#VALUE!</v>
      </c>
      <c r="AP3" s="479" t="s">
        <v>4455</v>
      </c>
      <c r="AQ3" s="479" t="s">
        <v>4456</v>
      </c>
      <c r="AR3" s="24">
        <f>IF(ISERROR(MATCH(AP3,$AD$2:$AD$81,0)),ROW(),"")</f>
        <v>3</v>
      </c>
      <c r="AS3" s="24" t="str">
        <f t="shared" ref="AS3:AS10" ca="1" si="3">IFERROR(INDIRECT("Ap"&amp;SMALL($AR$2:$AR$10,ROW()-1)),"")</f>
        <v>維持管理に関する教育</v>
      </c>
      <c r="AV3" s="24">
        <v>2</v>
      </c>
      <c r="AW3" s="24" t="str">
        <f t="shared" ref="AW3:AW33" si="4">IFERROR(INDEX($AD$2:$AD$81,MATCH(AV3,$AF$2:$AF$81,0)),"")</f>
        <v/>
      </c>
      <c r="AX3" s="24" t="str">
        <f t="shared" ref="AX3:AX33" si="5">IFERROR(INDEX($AD$2:$AD$61,MATCH(AV3,$AF$2:$AF$61,0)),"")</f>
        <v/>
      </c>
      <c r="AY3" s="24" t="str">
        <f t="shared" ref="AY3:AY33" si="6">IFERROR(INDEX($AD$2:$AD$41,MATCH(AV3,$AF$2:$AF$41,0)),"")</f>
        <v/>
      </c>
      <c r="BC3" s="24">
        <v>2</v>
      </c>
      <c r="BD3" s="480" t="str">
        <f>IF('入力シート（計画書）'!F224="","",'入力シート（計画書）'!F224&amp;"‡"&amp;'入力シート（計画書）'!G224)</f>
        <v/>
      </c>
      <c r="BE3" s="24" t="str">
        <f t="shared" ref="BE3:BE41" si="7">IF(BD3&lt;&gt;"",ROW()-1,"")</f>
        <v/>
      </c>
      <c r="BF3" s="24" t="e">
        <f t="shared" ref="BF3:BF41" si="8">RANK(BE3,$BE$2:$BE$41,1)</f>
        <v>#VALUE!</v>
      </c>
      <c r="BG3" s="24">
        <f>'入力シート（計画書）'!G224</f>
        <v>0</v>
      </c>
      <c r="BH3" s="24" t="e">
        <f t="shared" si="0"/>
        <v>#VALUE!</v>
      </c>
      <c r="BL3" s="24">
        <v>2</v>
      </c>
      <c r="BM3" s="24" t="str">
        <f t="shared" ref="BM3:BM14" si="9">IFERROR(INDEX($BH$2:$BH$41,MATCH(BL3,$BF$2:$BF$41,0)),"")</f>
        <v/>
      </c>
      <c r="BN3" s="24" t="str">
        <f t="shared" ref="BN3:BN14" si="10">IFERROR(INDEX($BG$2:$BG$41,MATCH(BL3,$BF$2:$BF$41,0)),"")</f>
        <v/>
      </c>
      <c r="BP3" s="481" t="s">
        <v>4374</v>
      </c>
      <c r="BR3" s="24">
        <f>IF(ISERROR(MATCH(BP3,$BD$2:$BD$41,0)),ROW(),"")</f>
        <v>3</v>
      </c>
      <c r="BS3" s="24" t="str">
        <f t="shared" ref="BS3:BS14" ca="1" si="11">IFERROR(INDIRECT("bM"&amp;SMALL($BR$2:$BR$26,ROW()-1)),"")</f>
        <v/>
      </c>
      <c r="BV3" s="24">
        <v>2</v>
      </c>
      <c r="BW3" s="24" t="str">
        <f t="shared" ref="BW3:BW14" si="12">IFERROR(INDEX($BH$2:$BH$41,MATCH(BV3,$BF$2:$BF$41,0)),"")</f>
        <v/>
      </c>
      <c r="BX3" s="24" t="str">
        <f t="shared" ref="BX3:BX14" si="13">IFERROR(INDEX($BH$2:$BH$41,MATCH(BV3,$BF$2:$BF$31,0)),"")</f>
        <v/>
      </c>
      <c r="BY3" s="24" t="str">
        <f t="shared" ref="BY3:BY14" si="14">IFERROR(INDEX($BH$2:$BH$41,MATCH(BV3,$BF$2:$BF$21,0)),"")</f>
        <v/>
      </c>
      <c r="BZ3" s="24" t="str">
        <f t="shared" ref="BZ3:BZ14" si="15">IFERROR(INDEX($BG$2:$BG$41,MATCH(BV3,$BF$2:$BF$41,0)),"")</f>
        <v/>
      </c>
      <c r="CA3" s="24" t="str">
        <f t="shared" ref="CA3:CA14" si="16">IFERROR(INDEX($BG$2:$BG$41,MATCH(BV3,$BF$2:$BF$31,0)),"")</f>
        <v/>
      </c>
      <c r="CB3" s="24" t="str">
        <f t="shared" ref="CB3:CB13" si="17">IFERROR(INDEX($BG$2:$BG$41,MATCH(BV3,$BF$2:$BF$21,0)),"")</f>
        <v/>
      </c>
      <c r="CD3" s="482" t="str">
        <f>IF('入力シート（第３年度報告書）'!F224="","",'入力シート（第３年度報告書）'!Q224&amp;"")</f>
        <v/>
      </c>
      <c r="CE3" s="483" t="str">
        <f>IF('入力シート（第２年度報告書）'!F224="","",'入力シート（第２年度報告書）'!P224&amp;"")</f>
        <v/>
      </c>
      <c r="CF3" s="484" t="str">
        <f>IF('入力シート（第１年度報告書）'!F224="","",'入力シート（第１年度報告書）'!O224&amp;"")</f>
        <v/>
      </c>
      <c r="CG3" s="478" t="str">
        <f>IF('入力シート（計画書）'!F224="","",'入力シート（計画書）'!N224&amp;"")</f>
        <v/>
      </c>
    </row>
    <row r="4" spans="1:85" ht="37.25" customHeight="1">
      <c r="A4" s="474">
        <v>2</v>
      </c>
      <c r="B4" s="485" t="s">
        <v>3975</v>
      </c>
      <c r="C4" s="486" t="s">
        <v>4474</v>
      </c>
      <c r="E4" s="474">
        <v>2</v>
      </c>
      <c r="F4" s="487" t="s">
        <v>4455</v>
      </c>
      <c r="G4" s="488" t="s">
        <v>4456</v>
      </c>
      <c r="I4" s="474">
        <v>2</v>
      </c>
      <c r="J4" s="489" t="s">
        <v>4490</v>
      </c>
      <c r="K4" s="24">
        <f t="shared" ref="K4:K14" si="18">LEN(J4)</f>
        <v>27</v>
      </c>
      <c r="M4" s="24">
        <f t="shared" ref="M4:M27" si="19">LEN(F4)</f>
        <v>10</v>
      </c>
      <c r="AC4" s="24">
        <v>3</v>
      </c>
      <c r="AD4" s="478">
        <f>'入力シート（計画書）'!F205</f>
        <v>0</v>
      </c>
      <c r="AE4" s="24" t="str">
        <f t="shared" si="1"/>
        <v/>
      </c>
      <c r="AF4" s="24" t="e">
        <f t="shared" si="2"/>
        <v>#VALUE!</v>
      </c>
      <c r="AP4" s="479" t="s">
        <v>4482</v>
      </c>
      <c r="AQ4" s="479" t="s">
        <v>4463</v>
      </c>
      <c r="AR4" s="24">
        <f>IF(ISERROR(MATCH(AP4,$AD$2:$AD$81,0)),ROW(),"")</f>
        <v>4</v>
      </c>
      <c r="AS4" s="24" t="str">
        <f t="shared" ca="1" si="3"/>
        <v>効率的な輸送計画の作成</v>
      </c>
      <c r="AV4" s="24">
        <v>3</v>
      </c>
      <c r="AW4" s="24" t="str">
        <f t="shared" si="4"/>
        <v/>
      </c>
      <c r="AX4" s="24" t="str">
        <f t="shared" si="5"/>
        <v/>
      </c>
      <c r="AY4" s="24" t="str">
        <f t="shared" si="6"/>
        <v/>
      </c>
      <c r="BC4" s="24">
        <v>3</v>
      </c>
      <c r="BD4" s="480" t="str">
        <f>IF('入力シート（計画書）'!F225="","",'入力シート（計画書）'!F225&amp;"‡"&amp;'入力シート（計画書）'!G225)</f>
        <v/>
      </c>
      <c r="BE4" s="24" t="str">
        <f t="shared" si="7"/>
        <v/>
      </c>
      <c r="BF4" s="24" t="e">
        <f t="shared" si="8"/>
        <v>#VALUE!</v>
      </c>
      <c r="BG4" s="24">
        <f>'入力シート（計画書）'!G225</f>
        <v>0</v>
      </c>
      <c r="BH4" s="24" t="e">
        <f t="shared" si="0"/>
        <v>#VALUE!</v>
      </c>
      <c r="BL4" s="24">
        <v>3</v>
      </c>
      <c r="BM4" s="24" t="str">
        <f t="shared" si="9"/>
        <v/>
      </c>
      <c r="BN4" s="24" t="str">
        <f t="shared" si="10"/>
        <v/>
      </c>
      <c r="BP4" s="481" t="s">
        <v>4028</v>
      </c>
      <c r="BR4" s="24">
        <f t="shared" ref="BR4:BR14" si="20">IF(ISERROR(MATCH(BP4,$BD$2:$BD$41,0)),ROW(),"")</f>
        <v>4</v>
      </c>
      <c r="BS4" s="24" t="str">
        <f t="shared" ca="1" si="11"/>
        <v/>
      </c>
      <c r="BV4" s="24">
        <v>3</v>
      </c>
      <c r="BW4" s="24" t="str">
        <f t="shared" si="12"/>
        <v/>
      </c>
      <c r="BX4" s="24" t="str">
        <f t="shared" si="13"/>
        <v/>
      </c>
      <c r="BY4" s="24" t="str">
        <f t="shared" si="14"/>
        <v/>
      </c>
      <c r="BZ4" s="24" t="str">
        <f t="shared" si="15"/>
        <v/>
      </c>
      <c r="CA4" s="24" t="str">
        <f t="shared" si="16"/>
        <v/>
      </c>
      <c r="CB4" s="24" t="str">
        <f t="shared" si="17"/>
        <v/>
      </c>
      <c r="CD4" s="482" t="str">
        <f>IF('入力シート（第３年度報告書）'!F225="","",'入力シート（第３年度報告書）'!Q225&amp;"")</f>
        <v/>
      </c>
      <c r="CE4" s="483" t="str">
        <f>IF('入力シート（第２年度報告書）'!F225="","",'入力シート（第２年度報告書）'!P225&amp;"")</f>
        <v/>
      </c>
      <c r="CF4" s="484" t="str">
        <f>IF('入力シート（第１年度報告書）'!F225="","",'入力シート（第１年度報告書）'!O225&amp;"")</f>
        <v/>
      </c>
      <c r="CG4" s="478" t="str">
        <f>IF('入力シート（計画書）'!F225="","",'入力シート（計画書）'!N225&amp;"")</f>
        <v/>
      </c>
    </row>
    <row r="5" spans="1:85" ht="37.25" customHeight="1">
      <c r="A5" s="474">
        <v>3</v>
      </c>
      <c r="B5" s="490" t="s">
        <v>3974</v>
      </c>
      <c r="C5" s="486" t="s">
        <v>4465</v>
      </c>
      <c r="E5" s="474">
        <v>3</v>
      </c>
      <c r="F5" s="487" t="s">
        <v>4482</v>
      </c>
      <c r="G5" s="488" t="s">
        <v>4463</v>
      </c>
      <c r="I5" s="474">
        <v>3</v>
      </c>
      <c r="J5" s="489" t="s">
        <v>4028</v>
      </c>
      <c r="K5" s="24">
        <f t="shared" si="18"/>
        <v>24</v>
      </c>
      <c r="M5" s="24">
        <f t="shared" si="19"/>
        <v>11</v>
      </c>
      <c r="AC5" s="24">
        <v>4</v>
      </c>
      <c r="AD5" s="478">
        <f>'入力シート（計画書）'!F206</f>
        <v>0</v>
      </c>
      <c r="AE5" s="24" t="str">
        <f t="shared" si="1"/>
        <v/>
      </c>
      <c r="AF5" s="24" t="e">
        <f t="shared" si="2"/>
        <v>#VALUE!</v>
      </c>
      <c r="AP5" s="479" t="s">
        <v>4459</v>
      </c>
      <c r="AQ5" s="479" t="s">
        <v>4460</v>
      </c>
      <c r="AR5" s="24">
        <f t="shared" ref="AR5:AR33" si="21">IF(ISERROR(MATCH(AP5,$AD$2:$AD$81,0)),ROW(),"")</f>
        <v>5</v>
      </c>
      <c r="AS5" s="24" t="str">
        <f t="shared" ca="1" si="3"/>
        <v>事業者連携による効率的な輸送推進</v>
      </c>
      <c r="AV5" s="24">
        <v>4</v>
      </c>
      <c r="AW5" s="24" t="str">
        <f t="shared" si="4"/>
        <v/>
      </c>
      <c r="AX5" s="24" t="str">
        <f t="shared" si="5"/>
        <v/>
      </c>
      <c r="AY5" s="24" t="str">
        <f t="shared" si="6"/>
        <v/>
      </c>
      <c r="BC5" s="24">
        <v>4</v>
      </c>
      <c r="BD5" s="480" t="str">
        <f>IF('入力シート（計画書）'!F226="","",'入力シート（計画書）'!F226&amp;"‡"&amp;'入力シート（計画書）'!G226)</f>
        <v/>
      </c>
      <c r="BE5" s="24" t="str">
        <f t="shared" si="7"/>
        <v/>
      </c>
      <c r="BF5" s="24" t="e">
        <f t="shared" si="8"/>
        <v>#VALUE!</v>
      </c>
      <c r="BG5" s="24">
        <f>'入力シート（計画書）'!G226</f>
        <v>0</v>
      </c>
      <c r="BH5" s="24" t="e">
        <f t="shared" si="0"/>
        <v>#VALUE!</v>
      </c>
      <c r="BL5" s="24">
        <v>4</v>
      </c>
      <c r="BM5" s="24" t="str">
        <f t="shared" si="9"/>
        <v/>
      </c>
      <c r="BN5" s="24" t="str">
        <f t="shared" si="10"/>
        <v/>
      </c>
      <c r="BP5" s="481" t="s">
        <v>4051</v>
      </c>
      <c r="BR5" s="24">
        <f t="shared" si="20"/>
        <v>5</v>
      </c>
      <c r="BS5" s="24" t="str">
        <f t="shared" ca="1" si="11"/>
        <v/>
      </c>
      <c r="BV5" s="24">
        <v>4</v>
      </c>
      <c r="BW5" s="24" t="str">
        <f t="shared" si="12"/>
        <v/>
      </c>
      <c r="BX5" s="24" t="str">
        <f t="shared" si="13"/>
        <v/>
      </c>
      <c r="BY5" s="24" t="str">
        <f t="shared" si="14"/>
        <v/>
      </c>
      <c r="BZ5" s="24" t="str">
        <f t="shared" si="15"/>
        <v/>
      </c>
      <c r="CA5" s="24" t="str">
        <f t="shared" si="16"/>
        <v/>
      </c>
      <c r="CB5" s="24" t="str">
        <f t="shared" si="17"/>
        <v/>
      </c>
      <c r="CD5" s="482" t="str">
        <f>IF('入力シート（第３年度報告書）'!F226="","",'入力シート（第３年度報告書）'!Q226&amp;"")</f>
        <v/>
      </c>
      <c r="CE5" s="483" t="str">
        <f>IF('入力シート（第２年度報告書）'!F226="","",'入力シート（第２年度報告書）'!P226&amp;"")</f>
        <v/>
      </c>
      <c r="CF5" s="484" t="str">
        <f>IF('入力シート（第１年度報告書）'!F226="","",'入力シート（第１年度報告書）'!O226&amp;"")</f>
        <v/>
      </c>
      <c r="CG5" s="478" t="str">
        <f>IF('入力シート（計画書）'!F226="","",'入力シート（計画書）'!N226&amp;"")</f>
        <v/>
      </c>
    </row>
    <row r="6" spans="1:85" ht="37.25" customHeight="1">
      <c r="A6" s="474">
        <v>4</v>
      </c>
      <c r="B6" s="485" t="s">
        <v>4466</v>
      </c>
      <c r="C6" s="486" t="s">
        <v>4467</v>
      </c>
      <c r="E6" s="474">
        <v>4</v>
      </c>
      <c r="F6" s="487" t="s">
        <v>4459</v>
      </c>
      <c r="G6" s="488" t="s">
        <v>4460</v>
      </c>
      <c r="I6" s="474">
        <v>4</v>
      </c>
      <c r="J6" s="489" t="s">
        <v>4051</v>
      </c>
      <c r="K6" s="24">
        <f t="shared" si="18"/>
        <v>25</v>
      </c>
      <c r="M6" s="24">
        <f t="shared" si="19"/>
        <v>16</v>
      </c>
      <c r="AC6" s="24">
        <v>5</v>
      </c>
      <c r="AD6" s="478">
        <f>'入力シート（計画書）'!F207</f>
        <v>0</v>
      </c>
      <c r="AE6" s="24" t="str">
        <f t="shared" si="1"/>
        <v/>
      </c>
      <c r="AF6" s="24" t="e">
        <f t="shared" si="2"/>
        <v>#VALUE!</v>
      </c>
      <c r="AP6" s="479" t="s">
        <v>4457</v>
      </c>
      <c r="AQ6" s="479" t="s">
        <v>4458</v>
      </c>
      <c r="AR6" s="24">
        <f>IF(ISERROR(MATCH(AP6,$AD$2:$AD$81,0)),ROW(),"")</f>
        <v>6</v>
      </c>
      <c r="AS6" s="24" t="str">
        <f t="shared" ca="1" si="3"/>
        <v>モーダルシフトの推進</v>
      </c>
      <c r="AV6" s="24">
        <v>5</v>
      </c>
      <c r="AW6" s="24" t="str">
        <f t="shared" si="4"/>
        <v/>
      </c>
      <c r="AX6" s="24" t="str">
        <f t="shared" si="5"/>
        <v/>
      </c>
      <c r="AY6" s="24" t="str">
        <f t="shared" si="6"/>
        <v/>
      </c>
      <c r="BC6" s="24">
        <v>5</v>
      </c>
      <c r="BD6" s="480" t="str">
        <f>IF('入力シート（計画書）'!F227="","",'入力シート（計画書）'!F227&amp;"‡"&amp;'入力シート（計画書）'!G227)</f>
        <v/>
      </c>
      <c r="BE6" s="24" t="str">
        <f t="shared" si="7"/>
        <v/>
      </c>
      <c r="BF6" s="24" t="e">
        <f t="shared" si="8"/>
        <v>#VALUE!</v>
      </c>
      <c r="BG6" s="24">
        <f>'入力シート（計画書）'!G227</f>
        <v>0</v>
      </c>
      <c r="BH6" s="24" t="e">
        <f t="shared" si="0"/>
        <v>#VALUE!</v>
      </c>
      <c r="BL6" s="24">
        <v>5</v>
      </c>
      <c r="BM6" s="24" t="str">
        <f t="shared" si="9"/>
        <v/>
      </c>
      <c r="BN6" s="24" t="str">
        <f t="shared" si="10"/>
        <v/>
      </c>
      <c r="BP6" s="481" t="s">
        <v>4029</v>
      </c>
      <c r="BR6" s="24">
        <f t="shared" si="20"/>
        <v>6</v>
      </c>
      <c r="BS6" s="24" t="str">
        <f t="shared" ca="1" si="11"/>
        <v/>
      </c>
      <c r="BV6" s="24">
        <v>5</v>
      </c>
      <c r="BW6" s="24" t="str">
        <f t="shared" si="12"/>
        <v/>
      </c>
      <c r="BX6" s="24" t="str">
        <f t="shared" si="13"/>
        <v/>
      </c>
      <c r="BY6" s="24" t="str">
        <f t="shared" si="14"/>
        <v/>
      </c>
      <c r="BZ6" s="24" t="str">
        <f t="shared" si="15"/>
        <v/>
      </c>
      <c r="CA6" s="24" t="str">
        <f t="shared" si="16"/>
        <v/>
      </c>
      <c r="CB6" s="24" t="str">
        <f t="shared" si="17"/>
        <v/>
      </c>
      <c r="CD6" s="482" t="str">
        <f>IF('入力シート（第３年度報告書）'!F227="","",'入力シート（第３年度報告書）'!Q227&amp;"")</f>
        <v/>
      </c>
      <c r="CE6" s="483" t="str">
        <f>IF('入力シート（第２年度報告書）'!F227="","",'入力シート（第２年度報告書）'!P227&amp;"")</f>
        <v/>
      </c>
      <c r="CF6" s="484" t="str">
        <f>IF('入力シート（第１年度報告書）'!F227="","",'入力シート（第１年度報告書）'!O227&amp;"")</f>
        <v/>
      </c>
      <c r="CG6" s="478" t="str">
        <f>IF('入力シート（計画書）'!F227="","",'入力シート（計画書）'!N227&amp;"")</f>
        <v/>
      </c>
    </row>
    <row r="7" spans="1:85" ht="37.25" customHeight="1">
      <c r="A7" s="474">
        <v>5</v>
      </c>
      <c r="B7" s="485" t="s">
        <v>4442</v>
      </c>
      <c r="C7" s="486" t="s">
        <v>4443</v>
      </c>
      <c r="E7" s="474">
        <v>5</v>
      </c>
      <c r="F7" s="491" t="s">
        <v>4457</v>
      </c>
      <c r="G7" s="492" t="s">
        <v>4458</v>
      </c>
      <c r="I7" s="474">
        <v>5</v>
      </c>
      <c r="J7" s="489" t="s">
        <v>4029</v>
      </c>
      <c r="K7" s="24">
        <f t="shared" si="18"/>
        <v>10</v>
      </c>
      <c r="M7" s="24">
        <f t="shared" si="19"/>
        <v>10</v>
      </c>
      <c r="AC7" s="24">
        <v>6</v>
      </c>
      <c r="AD7" s="478">
        <f>'入力シート（計画書）'!F208</f>
        <v>0</v>
      </c>
      <c r="AE7" s="24" t="str">
        <f t="shared" si="1"/>
        <v/>
      </c>
      <c r="AF7" s="24" t="e">
        <f t="shared" si="2"/>
        <v>#VALUE!</v>
      </c>
      <c r="AP7" s="479" t="s">
        <v>4486</v>
      </c>
      <c r="AQ7" s="479" t="s">
        <v>4487</v>
      </c>
      <c r="AR7" s="24">
        <f t="shared" si="21"/>
        <v>7</v>
      </c>
      <c r="AS7" s="24" t="str">
        <f t="shared" ca="1" si="3"/>
        <v>関係者への理解促進</v>
      </c>
      <c r="AV7" s="24">
        <v>6</v>
      </c>
      <c r="AW7" s="24" t="str">
        <f t="shared" si="4"/>
        <v/>
      </c>
      <c r="AX7" s="24" t="str">
        <f t="shared" si="5"/>
        <v/>
      </c>
      <c r="AY7" s="24" t="str">
        <f t="shared" si="6"/>
        <v/>
      </c>
      <c r="BC7" s="24">
        <v>6</v>
      </c>
      <c r="BD7" s="480" t="str">
        <f>IF('入力シート（計画書）'!F228="","",'入力シート（計画書）'!F228&amp;"‡"&amp;'入力シート（計画書）'!G228)</f>
        <v/>
      </c>
      <c r="BE7" s="24" t="str">
        <f t="shared" si="7"/>
        <v/>
      </c>
      <c r="BF7" s="24" t="e">
        <f t="shared" si="8"/>
        <v>#VALUE!</v>
      </c>
      <c r="BG7" s="24">
        <f>'入力シート（計画書）'!G228</f>
        <v>0</v>
      </c>
      <c r="BH7" s="24" t="e">
        <f t="shared" si="0"/>
        <v>#VALUE!</v>
      </c>
      <c r="BL7" s="24">
        <v>6</v>
      </c>
      <c r="BM7" s="24" t="str">
        <f t="shared" si="9"/>
        <v/>
      </c>
      <c r="BN7" s="24" t="str">
        <f t="shared" si="10"/>
        <v/>
      </c>
      <c r="BP7" s="481" t="s">
        <v>4030</v>
      </c>
      <c r="BR7" s="24">
        <f t="shared" si="20"/>
        <v>7</v>
      </c>
      <c r="BS7" s="24" t="str">
        <f t="shared" ca="1" si="11"/>
        <v/>
      </c>
      <c r="BV7" s="24">
        <v>6</v>
      </c>
      <c r="BW7" s="24" t="str">
        <f t="shared" si="12"/>
        <v/>
      </c>
      <c r="BX7" s="24" t="str">
        <f t="shared" si="13"/>
        <v/>
      </c>
      <c r="BY7" s="24" t="str">
        <f t="shared" si="14"/>
        <v/>
      </c>
      <c r="BZ7" s="24" t="str">
        <f t="shared" si="15"/>
        <v/>
      </c>
      <c r="CA7" s="24" t="str">
        <f t="shared" si="16"/>
        <v/>
      </c>
      <c r="CB7" s="24" t="str">
        <f t="shared" si="17"/>
        <v/>
      </c>
      <c r="CD7" s="482" t="str">
        <f>IF('入力シート（第３年度報告書）'!F228="","",'入力シート（第３年度報告書）'!Q228&amp;"")</f>
        <v/>
      </c>
      <c r="CE7" s="483" t="str">
        <f>IF('入力シート（第２年度報告書）'!F228="","",'入力シート（第２年度報告書）'!P228&amp;"")</f>
        <v/>
      </c>
      <c r="CF7" s="484" t="str">
        <f>IF('入力シート（第１年度報告書）'!F228="","",'入力シート（第１年度報告書）'!O228&amp;"")</f>
        <v/>
      </c>
      <c r="CG7" s="478" t="str">
        <f>IF('入力シート（計画書）'!F228="","",'入力シート（計画書）'!N228&amp;"")</f>
        <v/>
      </c>
    </row>
    <row r="8" spans="1:85" ht="37.25" customHeight="1">
      <c r="A8" s="474">
        <v>6</v>
      </c>
      <c r="B8" s="485" t="s">
        <v>4444</v>
      </c>
      <c r="C8" s="486" t="s">
        <v>4468</v>
      </c>
      <c r="E8" s="474">
        <v>6</v>
      </c>
      <c r="F8" s="491" t="s">
        <v>4486</v>
      </c>
      <c r="G8" s="488" t="s">
        <v>4487</v>
      </c>
      <c r="I8" s="474">
        <v>6</v>
      </c>
      <c r="J8" s="489" t="s">
        <v>4030</v>
      </c>
      <c r="K8" s="24">
        <f t="shared" si="18"/>
        <v>11</v>
      </c>
      <c r="M8" s="24">
        <f t="shared" si="19"/>
        <v>9</v>
      </c>
      <c r="AC8" s="24">
        <v>7</v>
      </c>
      <c r="AD8" s="478">
        <f>'入力シート（計画書）'!F209</f>
        <v>0</v>
      </c>
      <c r="AE8" s="24" t="str">
        <f t="shared" si="1"/>
        <v/>
      </c>
      <c r="AF8" s="24" t="e">
        <f t="shared" si="2"/>
        <v>#VALUE!</v>
      </c>
      <c r="AP8" s="479" t="s">
        <v>4488</v>
      </c>
      <c r="AQ8" s="479" t="s">
        <v>4483</v>
      </c>
      <c r="AR8" s="24">
        <f t="shared" si="21"/>
        <v>8</v>
      </c>
      <c r="AS8" s="24" t="str">
        <f t="shared" ca="1" si="3"/>
        <v>関係者へのエコカー導入誘導</v>
      </c>
      <c r="AV8" s="24">
        <v>7</v>
      </c>
      <c r="AW8" s="24" t="str">
        <f t="shared" si="4"/>
        <v/>
      </c>
      <c r="AX8" s="24" t="str">
        <f t="shared" si="5"/>
        <v/>
      </c>
      <c r="AY8" s="24" t="str">
        <f t="shared" si="6"/>
        <v/>
      </c>
      <c r="BC8" s="24">
        <v>7</v>
      </c>
      <c r="BD8" s="480" t="str">
        <f>IF('入力シート（計画書）'!F229="","",'入力シート（計画書）'!F229&amp;"‡"&amp;'入力シート（計画書）'!G229)</f>
        <v/>
      </c>
      <c r="BE8" s="24" t="str">
        <f t="shared" si="7"/>
        <v/>
      </c>
      <c r="BF8" s="24" t="e">
        <f t="shared" si="8"/>
        <v>#VALUE!</v>
      </c>
      <c r="BG8" s="24">
        <f>'入力シート（計画書）'!G229</f>
        <v>0</v>
      </c>
      <c r="BH8" s="24" t="e">
        <f t="shared" si="0"/>
        <v>#VALUE!</v>
      </c>
      <c r="BL8" s="24">
        <v>7</v>
      </c>
      <c r="BM8" s="24" t="str">
        <f t="shared" si="9"/>
        <v/>
      </c>
      <c r="BN8" s="24" t="str">
        <f t="shared" si="10"/>
        <v/>
      </c>
      <c r="BP8" s="481" t="s">
        <v>4031</v>
      </c>
      <c r="BR8" s="24">
        <f t="shared" si="20"/>
        <v>8</v>
      </c>
      <c r="BS8" s="24" t="str">
        <f t="shared" ca="1" si="11"/>
        <v/>
      </c>
      <c r="BV8" s="24">
        <v>7</v>
      </c>
      <c r="BW8" s="24" t="str">
        <f t="shared" si="12"/>
        <v/>
      </c>
      <c r="BX8" s="24" t="str">
        <f t="shared" si="13"/>
        <v/>
      </c>
      <c r="BY8" s="24" t="str">
        <f t="shared" si="14"/>
        <v/>
      </c>
      <c r="BZ8" s="24" t="str">
        <f t="shared" si="15"/>
        <v/>
      </c>
      <c r="CA8" s="24" t="str">
        <f t="shared" si="16"/>
        <v/>
      </c>
      <c r="CB8" s="24" t="str">
        <f t="shared" si="17"/>
        <v/>
      </c>
      <c r="CD8" s="482" t="str">
        <f>IF('入力シート（第３年度報告書）'!F229="","",'入力シート（第３年度報告書）'!Q229&amp;"")</f>
        <v/>
      </c>
      <c r="CE8" s="483" t="str">
        <f>IF('入力シート（第２年度報告書）'!F229="","",'入力シート（第２年度報告書）'!P229&amp;"")</f>
        <v/>
      </c>
      <c r="CF8" s="484" t="str">
        <f>IF('入力シート（第１年度報告書）'!F229="","",'入力シート（第１年度報告書）'!O229&amp;"")</f>
        <v/>
      </c>
      <c r="CG8" s="478" t="str">
        <f>IF('入力シート（計画書）'!F229="","",'入力シート（計画書）'!N229&amp;"")</f>
        <v/>
      </c>
    </row>
    <row r="9" spans="1:85" ht="37.25" customHeight="1">
      <c r="A9" s="474">
        <v>7</v>
      </c>
      <c r="B9" s="485" t="s">
        <v>3977</v>
      </c>
      <c r="C9" s="486" t="s">
        <v>4475</v>
      </c>
      <c r="E9" s="474">
        <v>7</v>
      </c>
      <c r="F9" s="487" t="s">
        <v>4488</v>
      </c>
      <c r="G9" s="488" t="s">
        <v>4483</v>
      </c>
      <c r="I9" s="474">
        <v>7</v>
      </c>
      <c r="J9" s="489" t="s">
        <v>4031</v>
      </c>
      <c r="K9" s="24">
        <f t="shared" si="18"/>
        <v>9</v>
      </c>
      <c r="M9" s="24">
        <f t="shared" si="19"/>
        <v>13</v>
      </c>
      <c r="AC9" s="24">
        <v>8</v>
      </c>
      <c r="AD9" s="478">
        <f>'入力シート（計画書）'!F210</f>
        <v>0</v>
      </c>
      <c r="AE9" s="24" t="str">
        <f t="shared" si="1"/>
        <v/>
      </c>
      <c r="AF9" s="24" t="e">
        <f t="shared" si="2"/>
        <v>#VALUE!</v>
      </c>
      <c r="AP9" s="479" t="s">
        <v>4489</v>
      </c>
      <c r="AQ9" s="479" t="s">
        <v>4481</v>
      </c>
      <c r="AR9" s="24">
        <f t="shared" si="21"/>
        <v>9</v>
      </c>
      <c r="AS9" s="24" t="str">
        <f t="shared" ca="1" si="3"/>
        <v>OA機器の待機電力削減</v>
      </c>
      <c r="AV9" s="24">
        <v>8</v>
      </c>
      <c r="AW9" s="24" t="str">
        <f t="shared" si="4"/>
        <v/>
      </c>
      <c r="AX9" s="24" t="str">
        <f t="shared" si="5"/>
        <v/>
      </c>
      <c r="AY9" s="24" t="str">
        <f t="shared" si="6"/>
        <v/>
      </c>
      <c r="BC9" s="24">
        <v>8</v>
      </c>
      <c r="BD9" s="480" t="str">
        <f>IF('入力シート（計画書）'!F230="","",'入力シート（計画書）'!F230&amp;"‡"&amp;'入力シート（計画書）'!G230)</f>
        <v/>
      </c>
      <c r="BE9" s="24" t="str">
        <f t="shared" si="7"/>
        <v/>
      </c>
      <c r="BF9" s="24" t="e">
        <f t="shared" si="8"/>
        <v>#VALUE!</v>
      </c>
      <c r="BG9" s="24">
        <f>'入力シート（計画書）'!G230</f>
        <v>0</v>
      </c>
      <c r="BH9" s="24" t="e">
        <f t="shared" si="0"/>
        <v>#VALUE!</v>
      </c>
      <c r="BL9" s="24">
        <v>8</v>
      </c>
      <c r="BM9" s="24" t="str">
        <f t="shared" si="9"/>
        <v/>
      </c>
      <c r="BN9" s="24" t="str">
        <f t="shared" si="10"/>
        <v/>
      </c>
      <c r="BP9" s="481" t="s">
        <v>4032</v>
      </c>
      <c r="BR9" s="24">
        <f t="shared" si="20"/>
        <v>9</v>
      </c>
      <c r="BS9" s="24" t="str">
        <f t="shared" ca="1" si="11"/>
        <v/>
      </c>
      <c r="BV9" s="24">
        <v>8</v>
      </c>
      <c r="BW9" s="24" t="str">
        <f t="shared" si="12"/>
        <v/>
      </c>
      <c r="BX9" s="24" t="str">
        <f t="shared" si="13"/>
        <v/>
      </c>
      <c r="BY9" s="24" t="str">
        <f t="shared" si="14"/>
        <v/>
      </c>
      <c r="BZ9" s="24" t="str">
        <f t="shared" si="15"/>
        <v/>
      </c>
      <c r="CA9" s="24" t="str">
        <f t="shared" si="16"/>
        <v/>
      </c>
      <c r="CB9" s="24" t="str">
        <f t="shared" si="17"/>
        <v/>
      </c>
      <c r="CD9" s="482" t="str">
        <f>IF('入力シート（第３年度報告書）'!F230="","",'入力シート（第３年度報告書）'!Q230&amp;"")</f>
        <v/>
      </c>
      <c r="CE9" s="483" t="str">
        <f>IF('入力シート（第２年度報告書）'!F230="","",'入力シート（第２年度報告書）'!P230&amp;"")</f>
        <v/>
      </c>
      <c r="CF9" s="484" t="str">
        <f>IF('入力シート（第１年度報告書）'!F230="","",'入力シート（第１年度報告書）'!O230&amp;"")</f>
        <v/>
      </c>
      <c r="CG9" s="478" t="str">
        <f>IF('入力シート（計画書）'!F230="","",'入力シート（計画書）'!N230&amp;"")</f>
        <v/>
      </c>
    </row>
    <row r="10" spans="1:85" ht="37.25" customHeight="1">
      <c r="A10" s="474">
        <v>8</v>
      </c>
      <c r="B10" s="485" t="s">
        <v>4469</v>
      </c>
      <c r="C10" s="486" t="s">
        <v>4470</v>
      </c>
      <c r="E10" s="474">
        <v>8</v>
      </c>
      <c r="F10" s="487" t="s">
        <v>4489</v>
      </c>
      <c r="G10" s="488" t="s">
        <v>4481</v>
      </c>
      <c r="I10" s="474">
        <v>8</v>
      </c>
      <c r="J10" s="489" t="s">
        <v>4032</v>
      </c>
      <c r="K10" s="24">
        <f t="shared" si="18"/>
        <v>12</v>
      </c>
      <c r="M10" s="24">
        <f t="shared" si="19"/>
        <v>11</v>
      </c>
      <c r="AC10" s="24">
        <v>9</v>
      </c>
      <c r="AD10" s="478">
        <f>'入力シート（計画書）'!F211</f>
        <v>0</v>
      </c>
      <c r="AE10" s="24" t="str">
        <f t="shared" si="1"/>
        <v/>
      </c>
      <c r="AF10" s="24" t="e">
        <f t="shared" si="2"/>
        <v>#VALUE!</v>
      </c>
      <c r="AP10" s="479" t="s">
        <v>4484</v>
      </c>
      <c r="AQ10" s="479" t="s">
        <v>4485</v>
      </c>
      <c r="AR10" s="24">
        <f t="shared" si="21"/>
        <v>10</v>
      </c>
      <c r="AS10" s="24" t="str">
        <f t="shared" ca="1" si="3"/>
        <v>再エネ電力の調達等</v>
      </c>
      <c r="AV10" s="24">
        <v>9</v>
      </c>
      <c r="AW10" s="24" t="str">
        <f t="shared" si="4"/>
        <v/>
      </c>
      <c r="AX10" s="24" t="str">
        <f t="shared" si="5"/>
        <v/>
      </c>
      <c r="AY10" s="24" t="str">
        <f t="shared" si="6"/>
        <v/>
      </c>
      <c r="BC10" s="24">
        <v>9</v>
      </c>
      <c r="BD10" s="480" t="str">
        <f>IF('入力シート（計画書）'!F231="","",'入力シート（計画書）'!F231&amp;"‡"&amp;'入力シート（計画書）'!G231)</f>
        <v/>
      </c>
      <c r="BE10" s="24" t="str">
        <f t="shared" si="7"/>
        <v/>
      </c>
      <c r="BF10" s="24" t="e">
        <f t="shared" si="8"/>
        <v>#VALUE!</v>
      </c>
      <c r="BG10" s="24">
        <f>'入力シート（計画書）'!G231</f>
        <v>0</v>
      </c>
      <c r="BH10" s="24" t="e">
        <f t="shared" si="0"/>
        <v>#VALUE!</v>
      </c>
      <c r="BL10" s="24">
        <v>9</v>
      </c>
      <c r="BM10" s="24" t="str">
        <f t="shared" si="9"/>
        <v/>
      </c>
      <c r="BN10" s="24" t="str">
        <f t="shared" si="10"/>
        <v/>
      </c>
      <c r="BP10" s="481" t="s">
        <v>4033</v>
      </c>
      <c r="BR10" s="24">
        <f t="shared" si="20"/>
        <v>10</v>
      </c>
      <c r="BS10" s="24" t="str">
        <f t="shared" ca="1" si="11"/>
        <v/>
      </c>
      <c r="BV10" s="24">
        <v>9</v>
      </c>
      <c r="BW10" s="24" t="str">
        <f t="shared" si="12"/>
        <v/>
      </c>
      <c r="BX10" s="24" t="str">
        <f t="shared" si="13"/>
        <v/>
      </c>
      <c r="BY10" s="24" t="str">
        <f t="shared" si="14"/>
        <v/>
      </c>
      <c r="BZ10" s="24" t="str">
        <f t="shared" si="15"/>
        <v/>
      </c>
      <c r="CA10" s="24" t="str">
        <f t="shared" si="16"/>
        <v/>
      </c>
      <c r="CB10" s="24" t="str">
        <f t="shared" si="17"/>
        <v/>
      </c>
      <c r="CD10" s="482" t="str">
        <f>IF('入力シート（第３年度報告書）'!F231="","",'入力シート（第３年度報告書）'!Q231&amp;"")</f>
        <v/>
      </c>
      <c r="CE10" s="483" t="str">
        <f>IF('入力シート（第２年度報告書）'!F231="","",'入力シート（第２年度報告書）'!P231&amp;"")</f>
        <v/>
      </c>
      <c r="CF10" s="484" t="str">
        <f>IF('入力シート（第１年度報告書）'!F231="","",'入力シート（第１年度報告書）'!O231&amp;"")</f>
        <v/>
      </c>
      <c r="CG10" s="478" t="str">
        <f>IF('入力シート（計画書）'!F231="","",'入力シート（計画書）'!N231&amp;"")</f>
        <v/>
      </c>
    </row>
    <row r="11" spans="1:85" ht="35">
      <c r="A11" s="474">
        <v>9</v>
      </c>
      <c r="B11" s="485" t="s">
        <v>4461</v>
      </c>
      <c r="C11" s="486" t="s">
        <v>4462</v>
      </c>
      <c r="E11" s="474">
        <v>9</v>
      </c>
      <c r="F11" s="487" t="s">
        <v>4484</v>
      </c>
      <c r="G11" s="492" t="s">
        <v>4485</v>
      </c>
      <c r="I11" s="474">
        <v>9</v>
      </c>
      <c r="J11" s="489" t="s">
        <v>4033</v>
      </c>
      <c r="K11" s="24">
        <f t="shared" si="18"/>
        <v>13</v>
      </c>
      <c r="M11" s="24">
        <f t="shared" si="19"/>
        <v>9</v>
      </c>
      <c r="AC11" s="24">
        <v>10</v>
      </c>
      <c r="AD11" s="478"/>
      <c r="AP11" s="493"/>
      <c r="AQ11" s="493"/>
      <c r="AR11" s="494" t="str">
        <f>IF(ISERROR(MATCH(AP11,$AD$2:$AD$81,0)),ROW(),"")</f>
        <v/>
      </c>
      <c r="AS11" s="494" t="str">
        <f t="shared" ref="AS11:AS33" ca="1" si="22">IFERROR(INDIRECT("Ap"&amp;SMALL($AR$2:$AR$33,ROW()-1)),"")</f>
        <v/>
      </c>
      <c r="AT11" s="494"/>
      <c r="AU11" s="494"/>
      <c r="AV11" s="494">
        <v>10</v>
      </c>
      <c r="AW11" s="24" t="str">
        <f t="shared" si="4"/>
        <v/>
      </c>
      <c r="AX11" s="24" t="str">
        <f t="shared" si="5"/>
        <v/>
      </c>
      <c r="AY11" s="24" t="str">
        <f t="shared" si="6"/>
        <v/>
      </c>
      <c r="BC11" s="24">
        <v>10</v>
      </c>
      <c r="BD11" s="480" t="str">
        <f>IF('入力シート（計画書）'!F232="","",'入力シート（計画書）'!F232&amp;"‡"&amp;'入力シート（計画書）'!G232)</f>
        <v/>
      </c>
      <c r="BE11" s="24" t="str">
        <f t="shared" si="7"/>
        <v/>
      </c>
      <c r="BF11" s="24" t="e">
        <f t="shared" si="8"/>
        <v>#VALUE!</v>
      </c>
      <c r="BG11" s="24">
        <f>'入力シート（計画書）'!G232</f>
        <v>0</v>
      </c>
      <c r="BH11" s="24" t="e">
        <f t="shared" si="0"/>
        <v>#VALUE!</v>
      </c>
      <c r="BL11" s="24">
        <v>10</v>
      </c>
      <c r="BM11" s="24" t="str">
        <f t="shared" si="9"/>
        <v/>
      </c>
      <c r="BN11" s="24" t="str">
        <f t="shared" si="10"/>
        <v/>
      </c>
      <c r="BP11" s="481" t="s">
        <v>4034</v>
      </c>
      <c r="BR11" s="24">
        <f t="shared" si="20"/>
        <v>11</v>
      </c>
      <c r="BS11" s="24" t="str">
        <f t="shared" ca="1" si="11"/>
        <v/>
      </c>
      <c r="BV11" s="24">
        <v>10</v>
      </c>
      <c r="BW11" s="24" t="str">
        <f t="shared" si="12"/>
        <v/>
      </c>
      <c r="BX11" s="24" t="str">
        <f t="shared" si="13"/>
        <v/>
      </c>
      <c r="BY11" s="24" t="str">
        <f t="shared" si="14"/>
        <v/>
      </c>
      <c r="BZ11" s="24" t="str">
        <f t="shared" si="15"/>
        <v/>
      </c>
      <c r="CA11" s="24" t="str">
        <f t="shared" si="16"/>
        <v/>
      </c>
      <c r="CB11" s="24" t="str">
        <f t="shared" si="17"/>
        <v/>
      </c>
      <c r="CD11" s="482" t="str">
        <f>IF('入力シート（第３年度報告書）'!F232="","",'入力シート（第３年度報告書）'!Q232&amp;"")</f>
        <v/>
      </c>
      <c r="CE11" s="483" t="str">
        <f>IF('入力シート（第２年度報告書）'!F232="","",'入力シート（第２年度報告書）'!P232&amp;"")</f>
        <v/>
      </c>
      <c r="CF11" s="484" t="str">
        <f>IF('入力シート（第１年度報告書）'!F232="","",'入力シート（第１年度報告書）'!O232&amp;"")</f>
        <v/>
      </c>
      <c r="CG11" s="478" t="str">
        <f>IF('入力シート（計画書）'!F232="","",'入力シート（計画書）'!N232&amp;"")</f>
        <v/>
      </c>
    </row>
    <row r="12" spans="1:85" ht="35">
      <c r="A12" s="474">
        <v>10</v>
      </c>
      <c r="B12" s="485" t="s">
        <v>4476</v>
      </c>
      <c r="C12" s="486" t="s">
        <v>4445</v>
      </c>
      <c r="I12" s="474">
        <v>10</v>
      </c>
      <c r="J12" s="489" t="s">
        <v>4034</v>
      </c>
      <c r="K12" s="24">
        <f t="shared" si="18"/>
        <v>19</v>
      </c>
      <c r="M12" s="24">
        <f t="shared" si="19"/>
        <v>0</v>
      </c>
      <c r="AC12" s="24">
        <v>11</v>
      </c>
      <c r="AD12" s="478"/>
      <c r="AP12" s="493"/>
      <c r="AQ12" s="493"/>
      <c r="AR12" s="494" t="str">
        <f t="shared" si="21"/>
        <v/>
      </c>
      <c r="AS12" s="494" t="str">
        <f t="shared" ca="1" si="22"/>
        <v/>
      </c>
      <c r="AT12" s="494"/>
      <c r="AU12" s="494"/>
      <c r="AV12" s="494">
        <v>11</v>
      </c>
      <c r="AW12" s="24" t="str">
        <f t="shared" si="4"/>
        <v/>
      </c>
      <c r="AX12" s="24" t="str">
        <f t="shared" si="5"/>
        <v/>
      </c>
      <c r="AY12" s="24" t="str">
        <f t="shared" si="6"/>
        <v/>
      </c>
      <c r="BC12" s="24">
        <v>11</v>
      </c>
      <c r="BD12" s="484" t="str">
        <f>IF('入力シート（第１年度報告書）'!F258="","",'入力シート（第１年度報告書）'!F258&amp;"‡"&amp;'入力シート（第１年度報告書）'!I258)</f>
        <v/>
      </c>
      <c r="BE12" s="24" t="str">
        <f t="shared" si="7"/>
        <v/>
      </c>
      <c r="BF12" s="24" t="e">
        <f t="shared" si="8"/>
        <v>#VALUE!</v>
      </c>
      <c r="BG12" s="24">
        <f>'入力シート（第１年度報告書）'!I258</f>
        <v>0</v>
      </c>
      <c r="BH12" s="24" t="e">
        <f t="shared" si="0"/>
        <v>#VALUE!</v>
      </c>
      <c r="BL12" s="24">
        <v>11</v>
      </c>
      <c r="BM12" s="24" t="str">
        <f t="shared" si="9"/>
        <v/>
      </c>
      <c r="BN12" s="24" t="str">
        <f t="shared" si="10"/>
        <v/>
      </c>
      <c r="BP12" s="481" t="s">
        <v>4098</v>
      </c>
      <c r="BR12" s="24">
        <f t="shared" si="20"/>
        <v>12</v>
      </c>
      <c r="BS12" s="24" t="str">
        <f t="shared" ca="1" si="11"/>
        <v/>
      </c>
      <c r="BV12" s="24">
        <v>11</v>
      </c>
      <c r="BW12" s="24" t="str">
        <f t="shared" si="12"/>
        <v/>
      </c>
      <c r="BX12" s="24" t="str">
        <f t="shared" si="13"/>
        <v/>
      </c>
      <c r="BY12" s="24" t="str">
        <f t="shared" si="14"/>
        <v/>
      </c>
      <c r="BZ12" s="24" t="str">
        <f t="shared" si="15"/>
        <v/>
      </c>
      <c r="CA12" s="24" t="str">
        <f t="shared" si="16"/>
        <v/>
      </c>
      <c r="CB12" s="24" t="str">
        <f t="shared" si="17"/>
        <v/>
      </c>
    </row>
    <row r="13" spans="1:85">
      <c r="A13" s="474">
        <v>11</v>
      </c>
      <c r="B13" s="485" t="s">
        <v>4477</v>
      </c>
      <c r="C13" s="486" t="s">
        <v>4446</v>
      </c>
      <c r="I13" s="474">
        <v>11</v>
      </c>
      <c r="J13" s="489" t="s">
        <v>4098</v>
      </c>
      <c r="K13" s="24">
        <f t="shared" si="18"/>
        <v>16</v>
      </c>
      <c r="M13" s="24">
        <f t="shared" si="19"/>
        <v>0</v>
      </c>
      <c r="AC13" s="24">
        <v>12</v>
      </c>
      <c r="AD13" s="478"/>
      <c r="AP13" s="493"/>
      <c r="AQ13" s="493"/>
      <c r="AR13" s="494" t="str">
        <f t="shared" si="21"/>
        <v/>
      </c>
      <c r="AS13" s="494" t="str">
        <f t="shared" ca="1" si="22"/>
        <v/>
      </c>
      <c r="AT13" s="494"/>
      <c r="AU13" s="494"/>
      <c r="AV13" s="494">
        <v>12</v>
      </c>
      <c r="AW13" s="24" t="str">
        <f t="shared" si="4"/>
        <v/>
      </c>
      <c r="AX13" s="24" t="str">
        <f t="shared" si="5"/>
        <v/>
      </c>
      <c r="AY13" s="24" t="str">
        <f t="shared" si="6"/>
        <v/>
      </c>
      <c r="BC13" s="24">
        <v>12</v>
      </c>
      <c r="BD13" s="484" t="str">
        <f>IF('入力シート（第１年度報告書）'!F259="","",'入力シート（第１年度報告書）'!F259&amp;"‡"&amp;'入力シート（第１年度報告書）'!I259)</f>
        <v/>
      </c>
      <c r="BE13" s="24" t="str">
        <f t="shared" si="7"/>
        <v/>
      </c>
      <c r="BF13" s="24" t="e">
        <f t="shared" si="8"/>
        <v>#VALUE!</v>
      </c>
      <c r="BG13" s="24">
        <f>'入力シート（第１年度報告書）'!I259</f>
        <v>0</v>
      </c>
      <c r="BH13" s="24" t="e">
        <f t="shared" si="0"/>
        <v>#VALUE!</v>
      </c>
      <c r="BL13" s="24">
        <v>12</v>
      </c>
      <c r="BM13" s="24" t="str">
        <f t="shared" si="9"/>
        <v/>
      </c>
      <c r="BN13" s="24" t="str">
        <f t="shared" si="10"/>
        <v/>
      </c>
      <c r="BP13" s="481" t="s">
        <v>4035</v>
      </c>
      <c r="BR13" s="24">
        <f t="shared" si="20"/>
        <v>13</v>
      </c>
      <c r="BS13" s="24" t="str">
        <f t="shared" ca="1" si="11"/>
        <v/>
      </c>
      <c r="BV13" s="24">
        <v>12</v>
      </c>
      <c r="BW13" s="24" t="str">
        <f t="shared" si="12"/>
        <v/>
      </c>
      <c r="BX13" s="24" t="str">
        <f t="shared" si="13"/>
        <v/>
      </c>
      <c r="BY13" s="24" t="str">
        <f t="shared" si="14"/>
        <v/>
      </c>
      <c r="BZ13" s="24" t="str">
        <f t="shared" si="15"/>
        <v/>
      </c>
      <c r="CA13" s="24" t="str">
        <f t="shared" si="16"/>
        <v/>
      </c>
      <c r="CB13" s="24" t="str">
        <f t="shared" si="17"/>
        <v/>
      </c>
    </row>
    <row r="14" spans="1:85" ht="35">
      <c r="A14" s="474">
        <v>12</v>
      </c>
      <c r="B14" s="485" t="s">
        <v>4447</v>
      </c>
      <c r="C14" s="486" t="s">
        <v>4448</v>
      </c>
      <c r="I14" s="474">
        <v>12</v>
      </c>
      <c r="J14" s="489" t="s">
        <v>4035</v>
      </c>
      <c r="K14" s="24">
        <f t="shared" si="18"/>
        <v>16</v>
      </c>
      <c r="M14" s="24">
        <f t="shared" si="19"/>
        <v>0</v>
      </c>
      <c r="AC14" s="24">
        <v>13</v>
      </c>
      <c r="AD14" s="478"/>
      <c r="AP14" s="493"/>
      <c r="AQ14" s="493"/>
      <c r="AR14" s="494" t="str">
        <f t="shared" si="21"/>
        <v/>
      </c>
      <c r="AS14" s="494" t="str">
        <f t="shared" ca="1" si="22"/>
        <v/>
      </c>
      <c r="AT14" s="494"/>
      <c r="AU14" s="494"/>
      <c r="AV14" s="494">
        <v>13</v>
      </c>
      <c r="AW14" s="24" t="str">
        <f t="shared" si="4"/>
        <v/>
      </c>
      <c r="AX14" s="24" t="str">
        <f t="shared" si="5"/>
        <v/>
      </c>
      <c r="AY14" s="24" t="str">
        <f t="shared" si="6"/>
        <v/>
      </c>
      <c r="BC14" s="24">
        <v>13</v>
      </c>
      <c r="BD14" s="484" t="str">
        <f>IF('入力シート（第１年度報告書）'!F260="","",'入力シート（第１年度報告書）'!F260&amp;"‡"&amp;'入力シート（第１年度報告書）'!I260)</f>
        <v/>
      </c>
      <c r="BE14" s="24" t="str">
        <f t="shared" si="7"/>
        <v/>
      </c>
      <c r="BF14" s="24" t="e">
        <f t="shared" si="8"/>
        <v>#VALUE!</v>
      </c>
      <c r="BG14" s="24">
        <f>'入力シート（第１年度報告書）'!I260</f>
        <v>0</v>
      </c>
      <c r="BH14" s="24" t="e">
        <f t="shared" si="0"/>
        <v>#VALUE!</v>
      </c>
      <c r="BL14" s="24">
        <v>13</v>
      </c>
      <c r="BM14" s="24" t="str">
        <f t="shared" si="9"/>
        <v/>
      </c>
      <c r="BN14" s="24" t="str">
        <f t="shared" si="10"/>
        <v/>
      </c>
      <c r="BP14" s="481" t="s">
        <v>4036</v>
      </c>
      <c r="BR14" s="24">
        <f t="shared" si="20"/>
        <v>14</v>
      </c>
      <c r="BS14" s="24" t="str">
        <f t="shared" ca="1" si="11"/>
        <v/>
      </c>
      <c r="BV14" s="24">
        <v>13</v>
      </c>
      <c r="BW14" s="24" t="str">
        <f t="shared" si="12"/>
        <v/>
      </c>
      <c r="BX14" s="24" t="str">
        <f t="shared" si="13"/>
        <v/>
      </c>
      <c r="BY14" s="24" t="str">
        <f t="shared" si="14"/>
        <v/>
      </c>
      <c r="BZ14" s="24" t="str">
        <f t="shared" si="15"/>
        <v/>
      </c>
      <c r="CA14" s="24" t="str">
        <f t="shared" si="16"/>
        <v/>
      </c>
    </row>
    <row r="15" spans="1:85" ht="35">
      <c r="A15" s="474">
        <v>13</v>
      </c>
      <c r="B15" s="485" t="s">
        <v>4478</v>
      </c>
      <c r="C15" s="486" t="s">
        <v>4479</v>
      </c>
      <c r="I15" s="474">
        <v>13</v>
      </c>
      <c r="J15" s="489" t="s">
        <v>4036</v>
      </c>
      <c r="K15" s="24">
        <f>LEN(J15)</f>
        <v>18</v>
      </c>
      <c r="M15" s="24">
        <f t="shared" si="19"/>
        <v>0</v>
      </c>
      <c r="AC15" s="24">
        <v>14</v>
      </c>
      <c r="AD15" s="478"/>
      <c r="AP15" s="493"/>
      <c r="AQ15" s="493"/>
      <c r="AR15" s="494" t="str">
        <f t="shared" si="21"/>
        <v/>
      </c>
      <c r="AS15" s="494" t="str">
        <f t="shared" ca="1" si="22"/>
        <v/>
      </c>
      <c r="AT15" s="494"/>
      <c r="AU15" s="494"/>
      <c r="AV15" s="494">
        <v>14</v>
      </c>
      <c r="AW15" s="24" t="str">
        <f t="shared" si="4"/>
        <v/>
      </c>
      <c r="AX15" s="24" t="str">
        <f t="shared" si="5"/>
        <v/>
      </c>
      <c r="AY15" s="24" t="str">
        <f t="shared" si="6"/>
        <v/>
      </c>
      <c r="BC15" s="24">
        <v>14</v>
      </c>
      <c r="BD15" s="484" t="str">
        <f>IF('入力シート（第１年度報告書）'!F261="","",'入力シート（第１年度報告書）'!F261&amp;"‡"&amp;'入力シート（第１年度報告書）'!I261)</f>
        <v/>
      </c>
      <c r="BE15" s="24" t="str">
        <f t="shared" si="7"/>
        <v/>
      </c>
      <c r="BF15" s="24" t="e">
        <f t="shared" si="8"/>
        <v>#VALUE!</v>
      </c>
      <c r="BG15" s="24">
        <f>'入力シート（第１年度報告書）'!I261</f>
        <v>0</v>
      </c>
      <c r="BH15" s="24" t="e">
        <f t="shared" si="0"/>
        <v>#VALUE!</v>
      </c>
    </row>
    <row r="16" spans="1:85" ht="35">
      <c r="A16" s="474">
        <v>14</v>
      </c>
      <c r="B16" s="485" t="s">
        <v>4451</v>
      </c>
      <c r="C16" s="486" t="s">
        <v>4452</v>
      </c>
      <c r="M16" s="24">
        <f t="shared" si="19"/>
        <v>0</v>
      </c>
      <c r="AC16" s="24">
        <v>15</v>
      </c>
      <c r="AD16" s="478"/>
      <c r="AP16" s="493"/>
      <c r="AQ16" s="493"/>
      <c r="AR16" s="494" t="str">
        <f t="shared" si="21"/>
        <v/>
      </c>
      <c r="AS16" s="494" t="str">
        <f t="shared" ca="1" si="22"/>
        <v/>
      </c>
      <c r="AT16" s="494"/>
      <c r="AU16" s="494"/>
      <c r="AV16" s="494">
        <v>15</v>
      </c>
      <c r="AW16" s="24" t="str">
        <f t="shared" si="4"/>
        <v/>
      </c>
      <c r="AX16" s="24" t="str">
        <f t="shared" si="5"/>
        <v/>
      </c>
      <c r="AY16" s="24" t="str">
        <f t="shared" si="6"/>
        <v/>
      </c>
      <c r="BC16" s="24">
        <v>15</v>
      </c>
      <c r="BD16" s="484" t="str">
        <f>IF('入力シート（第１年度報告書）'!F262="","",'入力シート（第１年度報告書）'!F262&amp;"‡"&amp;'入力シート（第１年度報告書）'!I262)</f>
        <v/>
      </c>
      <c r="BE16" s="24" t="str">
        <f t="shared" si="7"/>
        <v/>
      </c>
      <c r="BF16" s="24" t="e">
        <f t="shared" si="8"/>
        <v>#VALUE!</v>
      </c>
      <c r="BG16" s="24">
        <f>'入力シート（第１年度報告書）'!I262</f>
        <v>0</v>
      </c>
      <c r="BH16" s="24" t="e">
        <f t="shared" si="0"/>
        <v>#VALUE!</v>
      </c>
    </row>
    <row r="17" spans="1:69" ht="35">
      <c r="A17" s="474">
        <v>15</v>
      </c>
      <c r="B17" s="485" t="s">
        <v>4450</v>
      </c>
      <c r="C17" s="486" t="s">
        <v>4471</v>
      </c>
      <c r="M17" s="24">
        <f t="shared" si="19"/>
        <v>0</v>
      </c>
      <c r="AC17" s="24">
        <v>16</v>
      </c>
      <c r="AD17" s="478"/>
      <c r="AP17" s="493"/>
      <c r="AQ17" s="493"/>
      <c r="AR17" s="494" t="str">
        <f t="shared" si="21"/>
        <v/>
      </c>
      <c r="AS17" s="494" t="str">
        <f t="shared" ca="1" si="22"/>
        <v/>
      </c>
      <c r="AT17" s="494"/>
      <c r="AU17" s="494"/>
      <c r="AV17" s="494">
        <v>16</v>
      </c>
      <c r="AW17" s="24" t="str">
        <f t="shared" si="4"/>
        <v/>
      </c>
      <c r="AX17" s="24" t="str">
        <f t="shared" si="5"/>
        <v/>
      </c>
      <c r="AY17" s="24" t="str">
        <f t="shared" si="6"/>
        <v/>
      </c>
      <c r="BC17" s="24">
        <v>16</v>
      </c>
      <c r="BD17" s="484" t="str">
        <f>IF('入力シート（第１年度報告書）'!F263="","",'入力シート（第１年度報告書）'!F263&amp;"‡"&amp;'入力シート（第１年度報告書）'!I263)</f>
        <v/>
      </c>
      <c r="BE17" s="24" t="str">
        <f t="shared" si="7"/>
        <v/>
      </c>
      <c r="BF17" s="24" t="e">
        <f t="shared" si="8"/>
        <v>#VALUE!</v>
      </c>
      <c r="BG17" s="24">
        <f>'入力シート（第１年度報告書）'!I263</f>
        <v>0</v>
      </c>
      <c r="BH17" s="24" t="e">
        <f t="shared" si="0"/>
        <v>#VALUE!</v>
      </c>
      <c r="BP17" s="24" t="s">
        <v>4081</v>
      </c>
      <c r="BQ17" s="24">
        <f>CODE(BP17)</f>
        <v>63</v>
      </c>
    </row>
    <row r="18" spans="1:69">
      <c r="A18" s="474">
        <v>16</v>
      </c>
      <c r="B18" s="485" t="s">
        <v>3976</v>
      </c>
      <c r="C18" s="486" t="s">
        <v>4472</v>
      </c>
      <c r="M18" s="24">
        <f t="shared" si="19"/>
        <v>0</v>
      </c>
      <c r="AC18" s="24">
        <v>17</v>
      </c>
      <c r="AD18" s="478"/>
      <c r="AP18" s="493"/>
      <c r="AQ18" s="493"/>
      <c r="AR18" s="494" t="str">
        <f t="shared" si="21"/>
        <v/>
      </c>
      <c r="AS18" s="494" t="str">
        <f t="shared" ca="1" si="22"/>
        <v/>
      </c>
      <c r="AT18" s="494"/>
      <c r="AU18" s="494"/>
      <c r="AV18" s="494">
        <v>17</v>
      </c>
      <c r="AW18" s="24" t="str">
        <f t="shared" si="4"/>
        <v/>
      </c>
      <c r="AX18" s="24" t="str">
        <f t="shared" si="5"/>
        <v/>
      </c>
      <c r="AY18" s="24" t="str">
        <f t="shared" si="6"/>
        <v/>
      </c>
      <c r="BC18" s="24">
        <v>17</v>
      </c>
      <c r="BD18" s="484" t="str">
        <f>IF('入力シート（第１年度報告書）'!F264="","",'入力シート（第１年度報告書）'!F264&amp;"‡"&amp;'入力シート（第１年度報告書）'!I264)</f>
        <v/>
      </c>
      <c r="BE18" s="24" t="str">
        <f t="shared" si="7"/>
        <v/>
      </c>
      <c r="BF18" s="24" t="e">
        <f t="shared" si="8"/>
        <v>#VALUE!</v>
      </c>
      <c r="BG18" s="24">
        <f>'入力シート（第１年度報告書）'!I264</f>
        <v>0</v>
      </c>
      <c r="BH18" s="24" t="e">
        <f t="shared" si="0"/>
        <v>#VALUE!</v>
      </c>
      <c r="BP18" s="24" t="s">
        <v>4080</v>
      </c>
      <c r="BQ18" s="24">
        <f>CODE(BP18)</f>
        <v>8824</v>
      </c>
    </row>
    <row r="19" spans="1:69" ht="52.5">
      <c r="A19" s="474">
        <v>17</v>
      </c>
      <c r="B19" s="485" t="s">
        <v>4449</v>
      </c>
      <c r="C19" s="486" t="s">
        <v>4480</v>
      </c>
      <c r="M19" s="24">
        <f t="shared" si="19"/>
        <v>0</v>
      </c>
      <c r="AC19" s="24">
        <v>18</v>
      </c>
      <c r="AD19" s="478"/>
      <c r="AP19" s="493"/>
      <c r="AQ19" s="493"/>
      <c r="AR19" s="494" t="str">
        <f t="shared" si="21"/>
        <v/>
      </c>
      <c r="AS19" s="494" t="str">
        <f t="shared" ca="1" si="22"/>
        <v/>
      </c>
      <c r="AT19" s="494"/>
      <c r="AU19" s="494"/>
      <c r="AV19" s="494">
        <v>18</v>
      </c>
      <c r="AW19" s="24" t="str">
        <f t="shared" si="4"/>
        <v/>
      </c>
      <c r="AX19" s="24" t="str">
        <f t="shared" si="5"/>
        <v/>
      </c>
      <c r="AY19" s="24" t="str">
        <f t="shared" si="6"/>
        <v/>
      </c>
      <c r="BC19" s="24">
        <v>18</v>
      </c>
      <c r="BD19" s="484" t="str">
        <f>IF('入力シート（第１年度報告書）'!F265="","",'入力シート（第１年度報告書）'!F265&amp;"‡"&amp;'入力シート（第１年度報告書）'!I265)</f>
        <v/>
      </c>
      <c r="BE19" s="24" t="str">
        <f t="shared" si="7"/>
        <v/>
      </c>
      <c r="BF19" s="24" t="e">
        <f t="shared" si="8"/>
        <v>#VALUE!</v>
      </c>
      <c r="BG19" s="24">
        <f>'入力シート（第１年度報告書）'!I265</f>
        <v>0</v>
      </c>
      <c r="BH19" s="24" t="e">
        <f t="shared" si="0"/>
        <v>#VALUE!</v>
      </c>
    </row>
    <row r="20" spans="1:69" ht="35">
      <c r="A20" s="474">
        <v>18</v>
      </c>
      <c r="B20" s="485" t="s">
        <v>4342</v>
      </c>
      <c r="C20" s="486" t="s">
        <v>4473</v>
      </c>
      <c r="M20" s="24">
        <f t="shared" si="19"/>
        <v>0</v>
      </c>
      <c r="AC20" s="24">
        <v>19</v>
      </c>
      <c r="AD20" s="478"/>
      <c r="AP20" s="493"/>
      <c r="AQ20" s="493"/>
      <c r="AR20" s="494" t="str">
        <f t="shared" si="21"/>
        <v/>
      </c>
      <c r="AS20" s="494" t="str">
        <f t="shared" ca="1" si="22"/>
        <v/>
      </c>
      <c r="AT20" s="494"/>
      <c r="AU20" s="494"/>
      <c r="AV20" s="494">
        <v>19</v>
      </c>
      <c r="AW20" s="24" t="str">
        <f t="shared" si="4"/>
        <v/>
      </c>
      <c r="AX20" s="24" t="str">
        <f t="shared" si="5"/>
        <v/>
      </c>
      <c r="AY20" s="24" t="str">
        <f t="shared" si="6"/>
        <v/>
      </c>
      <c r="BC20" s="24">
        <v>19</v>
      </c>
      <c r="BD20" s="484" t="str">
        <f>IF('入力シート（第１年度報告書）'!F266="","",'入力シート（第１年度報告書）'!F266&amp;"‡"&amp;'入力シート（第１年度報告書）'!I266)</f>
        <v/>
      </c>
      <c r="BE20" s="24" t="str">
        <f t="shared" si="7"/>
        <v/>
      </c>
      <c r="BF20" s="24" t="e">
        <f t="shared" si="8"/>
        <v>#VALUE!</v>
      </c>
      <c r="BG20" s="24">
        <f>'入力シート（第１年度報告書）'!I266</f>
        <v>0</v>
      </c>
      <c r="BH20" s="24" t="e">
        <f t="shared" si="0"/>
        <v>#VALUE!</v>
      </c>
    </row>
    <row r="21" spans="1:69">
      <c r="A21" s="24"/>
      <c r="M21" s="24">
        <f t="shared" si="19"/>
        <v>0</v>
      </c>
      <c r="AC21" s="24">
        <v>20</v>
      </c>
      <c r="AD21" s="478"/>
      <c r="AP21" s="493"/>
      <c r="AQ21" s="493"/>
      <c r="AR21" s="494" t="str">
        <f t="shared" si="21"/>
        <v/>
      </c>
      <c r="AS21" s="494" t="str">
        <f t="shared" ca="1" si="22"/>
        <v/>
      </c>
      <c r="AT21" s="494"/>
      <c r="AU21" s="494"/>
      <c r="AV21" s="494">
        <v>20</v>
      </c>
      <c r="AW21" s="24" t="str">
        <f t="shared" si="4"/>
        <v/>
      </c>
      <c r="AX21" s="24" t="str">
        <f t="shared" si="5"/>
        <v/>
      </c>
      <c r="AY21" s="24" t="str">
        <f t="shared" si="6"/>
        <v/>
      </c>
      <c r="BC21" s="24">
        <v>20</v>
      </c>
      <c r="BD21" s="484" t="str">
        <f>IF('入力シート（第１年度報告書）'!F267="","",'入力シート（第１年度報告書）'!F267&amp;"‡"&amp;'入力シート（第１年度報告書）'!I267)</f>
        <v/>
      </c>
      <c r="BE21" s="24" t="str">
        <f t="shared" si="7"/>
        <v/>
      </c>
      <c r="BF21" s="24" t="e">
        <f t="shared" si="8"/>
        <v>#VALUE!</v>
      </c>
      <c r="BG21" s="24">
        <f>'入力シート（第１年度報告書）'!I267</f>
        <v>0</v>
      </c>
      <c r="BH21" s="24" t="e">
        <f t="shared" si="0"/>
        <v>#VALUE!</v>
      </c>
    </row>
    <row r="22" spans="1:69">
      <c r="A22" s="24"/>
      <c r="M22" s="24">
        <f t="shared" si="19"/>
        <v>0</v>
      </c>
      <c r="AC22" s="24">
        <v>21</v>
      </c>
      <c r="AD22" s="484">
        <f>'入力シート（第１年度報告書）'!F246</f>
        <v>0</v>
      </c>
      <c r="AE22" s="24" t="str">
        <f t="shared" si="1"/>
        <v/>
      </c>
      <c r="AF22" s="24" t="e">
        <f t="shared" si="2"/>
        <v>#VALUE!</v>
      </c>
      <c r="AP22" s="493"/>
      <c r="AQ22" s="493"/>
      <c r="AR22" s="494" t="str">
        <f t="shared" si="21"/>
        <v/>
      </c>
      <c r="AS22" s="494" t="str">
        <f t="shared" ca="1" si="22"/>
        <v/>
      </c>
      <c r="AT22" s="494"/>
      <c r="AU22" s="494"/>
      <c r="AV22" s="494">
        <v>21</v>
      </c>
      <c r="AW22" s="24" t="str">
        <f t="shared" si="4"/>
        <v/>
      </c>
      <c r="AX22" s="24" t="str">
        <f t="shared" si="5"/>
        <v/>
      </c>
      <c r="AY22" s="24" t="str">
        <f t="shared" si="6"/>
        <v/>
      </c>
      <c r="BC22" s="24">
        <v>21</v>
      </c>
      <c r="BD22" s="483" t="str">
        <f>IF('入力シート（第２年度報告書）'!F258="","",'入力シート（第２年度報告書）'!F258&amp;"‡"&amp;'入力シート（第２年度報告書）'!I258)</f>
        <v/>
      </c>
      <c r="BE22" s="24" t="str">
        <f t="shared" si="7"/>
        <v/>
      </c>
      <c r="BF22" s="24" t="e">
        <f t="shared" si="8"/>
        <v>#VALUE!</v>
      </c>
      <c r="BG22" s="24">
        <f>'入力シート（第２年度報告書）'!I258</f>
        <v>0</v>
      </c>
      <c r="BH22" s="24" t="e">
        <f t="shared" si="0"/>
        <v>#VALUE!</v>
      </c>
    </row>
    <row r="23" spans="1:69">
      <c r="A23" s="24"/>
      <c r="M23" s="24">
        <f t="shared" si="19"/>
        <v>0</v>
      </c>
      <c r="AC23" s="24">
        <v>22</v>
      </c>
      <c r="AD23" s="484">
        <f>'入力シート（第１年度報告書）'!F247</f>
        <v>0</v>
      </c>
      <c r="AE23" s="24" t="str">
        <f t="shared" si="1"/>
        <v/>
      </c>
      <c r="AF23" s="24" t="e">
        <f t="shared" si="2"/>
        <v>#VALUE!</v>
      </c>
      <c r="AP23" s="493"/>
      <c r="AQ23" s="493"/>
      <c r="AR23" s="494" t="str">
        <f t="shared" si="21"/>
        <v/>
      </c>
      <c r="AS23" s="494" t="str">
        <f t="shared" ca="1" si="22"/>
        <v/>
      </c>
      <c r="AT23" s="494"/>
      <c r="AU23" s="494"/>
      <c r="AV23" s="494">
        <v>22</v>
      </c>
      <c r="AW23" s="24" t="str">
        <f t="shared" si="4"/>
        <v/>
      </c>
      <c r="AX23" s="24" t="str">
        <f t="shared" si="5"/>
        <v/>
      </c>
      <c r="AY23" s="24" t="str">
        <f t="shared" si="6"/>
        <v/>
      </c>
      <c r="BC23" s="24">
        <v>22</v>
      </c>
      <c r="BD23" s="483" t="str">
        <f>IF('入力シート（第２年度報告書）'!F259="","",'入力シート（第２年度報告書）'!F259&amp;"‡"&amp;'入力シート（第２年度報告書）'!I259)</f>
        <v/>
      </c>
      <c r="BE23" s="24" t="str">
        <f t="shared" si="7"/>
        <v/>
      </c>
      <c r="BF23" s="24" t="e">
        <f t="shared" si="8"/>
        <v>#VALUE!</v>
      </c>
      <c r="BG23" s="24">
        <f>'入力シート（第２年度報告書）'!I259</f>
        <v>0</v>
      </c>
      <c r="BH23" s="24" t="e">
        <f t="shared" si="0"/>
        <v>#VALUE!</v>
      </c>
    </row>
    <row r="24" spans="1:69">
      <c r="A24" s="24"/>
      <c r="M24" s="24">
        <f t="shared" si="19"/>
        <v>0</v>
      </c>
      <c r="AC24" s="24">
        <v>23</v>
      </c>
      <c r="AD24" s="484">
        <f>'入力シート（第１年度報告書）'!F248</f>
        <v>0</v>
      </c>
      <c r="AE24" s="24" t="str">
        <f t="shared" si="1"/>
        <v/>
      </c>
      <c r="AF24" s="24" t="e">
        <f t="shared" si="2"/>
        <v>#VALUE!</v>
      </c>
      <c r="AP24" s="493"/>
      <c r="AQ24" s="493"/>
      <c r="AR24" s="494" t="str">
        <f t="shared" si="21"/>
        <v/>
      </c>
      <c r="AS24" s="494" t="str">
        <f t="shared" ca="1" si="22"/>
        <v/>
      </c>
      <c r="AT24" s="494"/>
      <c r="AU24" s="494"/>
      <c r="AV24" s="494">
        <v>23</v>
      </c>
      <c r="AW24" s="24" t="str">
        <f t="shared" si="4"/>
        <v/>
      </c>
      <c r="AX24" s="24" t="str">
        <f t="shared" si="5"/>
        <v/>
      </c>
      <c r="AY24" s="24" t="str">
        <f t="shared" si="6"/>
        <v/>
      </c>
      <c r="BC24" s="24">
        <v>23</v>
      </c>
      <c r="BD24" s="483" t="str">
        <f>IF('入力シート（第２年度報告書）'!F260="","",'入力シート（第２年度報告書）'!F260&amp;"‡"&amp;'入力シート（第２年度報告書）'!I260)</f>
        <v/>
      </c>
      <c r="BE24" s="24" t="str">
        <f t="shared" si="7"/>
        <v/>
      </c>
      <c r="BF24" s="24" t="e">
        <f t="shared" si="8"/>
        <v>#VALUE!</v>
      </c>
      <c r="BG24" s="24">
        <f>'入力シート（第２年度報告書）'!I260</f>
        <v>0</v>
      </c>
      <c r="BH24" s="24" t="e">
        <f t="shared" si="0"/>
        <v>#VALUE!</v>
      </c>
    </row>
    <row r="25" spans="1:69">
      <c r="A25" s="24"/>
      <c r="M25" s="24">
        <f t="shared" si="19"/>
        <v>0</v>
      </c>
      <c r="AC25" s="24">
        <v>24</v>
      </c>
      <c r="AD25" s="484">
        <f>'入力シート（第１年度報告書）'!F249</f>
        <v>0</v>
      </c>
      <c r="AE25" s="24" t="str">
        <f t="shared" si="1"/>
        <v/>
      </c>
      <c r="AF25" s="24" t="e">
        <f t="shared" si="2"/>
        <v>#VALUE!</v>
      </c>
      <c r="AP25" s="493"/>
      <c r="AQ25" s="493"/>
      <c r="AR25" s="494" t="str">
        <f t="shared" si="21"/>
        <v/>
      </c>
      <c r="AS25" s="494" t="str">
        <f t="shared" ca="1" si="22"/>
        <v/>
      </c>
      <c r="AT25" s="494"/>
      <c r="AU25" s="494"/>
      <c r="AV25" s="494">
        <v>24</v>
      </c>
      <c r="AW25" s="24" t="str">
        <f t="shared" si="4"/>
        <v/>
      </c>
      <c r="AX25" s="24" t="str">
        <f t="shared" si="5"/>
        <v/>
      </c>
      <c r="AY25" s="24" t="str">
        <f t="shared" si="6"/>
        <v/>
      </c>
      <c r="BC25" s="24">
        <v>24</v>
      </c>
      <c r="BD25" s="483" t="str">
        <f>IF('入力シート（第２年度報告書）'!F261="","",'入力シート（第２年度報告書）'!F261&amp;"‡"&amp;'入力シート（第２年度報告書）'!I261)</f>
        <v/>
      </c>
      <c r="BE25" s="24" t="str">
        <f t="shared" si="7"/>
        <v/>
      </c>
      <c r="BF25" s="24" t="e">
        <f t="shared" si="8"/>
        <v>#VALUE!</v>
      </c>
      <c r="BG25" s="24">
        <f>'入力シート（第２年度報告書）'!I261</f>
        <v>0</v>
      </c>
      <c r="BH25" s="24" t="e">
        <f t="shared" si="0"/>
        <v>#VALUE!</v>
      </c>
    </row>
    <row r="26" spans="1:69">
      <c r="A26" s="24"/>
      <c r="M26" s="24">
        <f t="shared" si="19"/>
        <v>0</v>
      </c>
      <c r="AC26" s="24">
        <v>25</v>
      </c>
      <c r="AD26" s="484">
        <f>'入力シート（第１年度報告書）'!F250</f>
        <v>0</v>
      </c>
      <c r="AE26" s="24" t="str">
        <f t="shared" si="1"/>
        <v/>
      </c>
      <c r="AF26" s="24" t="e">
        <f t="shared" si="2"/>
        <v>#VALUE!</v>
      </c>
      <c r="AP26" s="493"/>
      <c r="AQ26" s="493"/>
      <c r="AR26" s="494" t="str">
        <f t="shared" si="21"/>
        <v/>
      </c>
      <c r="AS26" s="494" t="str">
        <f t="shared" ca="1" si="22"/>
        <v/>
      </c>
      <c r="AT26" s="494"/>
      <c r="AU26" s="494"/>
      <c r="AV26" s="494">
        <v>25</v>
      </c>
      <c r="AW26" s="24" t="str">
        <f t="shared" si="4"/>
        <v/>
      </c>
      <c r="AX26" s="24" t="str">
        <f t="shared" si="5"/>
        <v/>
      </c>
      <c r="AY26" s="24" t="str">
        <f t="shared" si="6"/>
        <v/>
      </c>
      <c r="BC26" s="24">
        <v>25</v>
      </c>
      <c r="BD26" s="483" t="str">
        <f>IF('入力シート（第２年度報告書）'!F262="","",'入力シート（第２年度報告書）'!F262&amp;"‡"&amp;'入力シート（第２年度報告書）'!I262)</f>
        <v/>
      </c>
      <c r="BE26" s="24" t="str">
        <f t="shared" si="7"/>
        <v/>
      </c>
      <c r="BF26" s="24" t="e">
        <f t="shared" si="8"/>
        <v>#VALUE!</v>
      </c>
      <c r="BG26" s="24">
        <f>'入力シート（第２年度報告書）'!I262</f>
        <v>0</v>
      </c>
      <c r="BH26" s="24" t="e">
        <f t="shared" si="0"/>
        <v>#VALUE!</v>
      </c>
    </row>
    <row r="27" spans="1:69">
      <c r="A27" s="24"/>
      <c r="M27" s="24">
        <f t="shared" si="19"/>
        <v>0</v>
      </c>
      <c r="AC27" s="24">
        <v>26</v>
      </c>
      <c r="AD27" s="484">
        <f>'入力シート（第１年度報告書）'!F251</f>
        <v>0</v>
      </c>
      <c r="AE27" s="24" t="str">
        <f t="shared" si="1"/>
        <v/>
      </c>
      <c r="AF27" s="24" t="e">
        <f t="shared" si="2"/>
        <v>#VALUE!</v>
      </c>
      <c r="AP27" s="493"/>
      <c r="AQ27" s="493"/>
      <c r="AR27" s="494" t="str">
        <f t="shared" si="21"/>
        <v/>
      </c>
      <c r="AS27" s="494" t="str">
        <f t="shared" ca="1" si="22"/>
        <v/>
      </c>
      <c r="AT27" s="494"/>
      <c r="AU27" s="494"/>
      <c r="AV27" s="494">
        <v>26</v>
      </c>
      <c r="AW27" s="24" t="str">
        <f t="shared" si="4"/>
        <v/>
      </c>
      <c r="AX27" s="24" t="str">
        <f t="shared" si="5"/>
        <v/>
      </c>
      <c r="AY27" s="24" t="str">
        <f>IFERROR(INDEX($AD$2:$AD$41,MATCH(AV27,$AF$2:$AF$41,0)),"")</f>
        <v/>
      </c>
      <c r="BC27" s="24">
        <v>26</v>
      </c>
      <c r="BD27" s="483" t="str">
        <f>IF('入力シート（第２年度報告書）'!F263="","",'入力シート（第２年度報告書）'!F263&amp;"‡"&amp;'入力シート（第２年度報告書）'!I263)</f>
        <v/>
      </c>
      <c r="BE27" s="24" t="str">
        <f t="shared" si="7"/>
        <v/>
      </c>
      <c r="BF27" s="24" t="e">
        <f t="shared" si="8"/>
        <v>#VALUE!</v>
      </c>
      <c r="BG27" s="24">
        <f>'入力シート（第２年度報告書）'!I263</f>
        <v>0</v>
      </c>
      <c r="BH27" s="24" t="e">
        <f t="shared" si="0"/>
        <v>#VALUE!</v>
      </c>
    </row>
    <row r="28" spans="1:69">
      <c r="A28" s="24"/>
      <c r="M28" s="24">
        <f>LEN(F28)</f>
        <v>0</v>
      </c>
      <c r="AC28" s="24">
        <v>27</v>
      </c>
      <c r="AD28" s="484">
        <f>'入力シート（第１年度報告書）'!F252</f>
        <v>0</v>
      </c>
      <c r="AE28" s="24" t="str">
        <f t="shared" si="1"/>
        <v/>
      </c>
      <c r="AF28" s="24" t="e">
        <f t="shared" si="2"/>
        <v>#VALUE!</v>
      </c>
      <c r="AP28" s="495"/>
      <c r="AQ28" s="493"/>
      <c r="AR28" s="494" t="str">
        <f t="shared" si="21"/>
        <v/>
      </c>
      <c r="AS28" s="494" t="str">
        <f t="shared" ca="1" si="22"/>
        <v/>
      </c>
      <c r="AT28" s="494"/>
      <c r="AU28" s="494"/>
      <c r="AV28" s="494">
        <v>27</v>
      </c>
      <c r="AW28" s="24" t="str">
        <f t="shared" si="4"/>
        <v/>
      </c>
      <c r="AX28" s="24" t="str">
        <f t="shared" si="5"/>
        <v/>
      </c>
      <c r="AY28" s="24" t="str">
        <f t="shared" si="6"/>
        <v/>
      </c>
      <c r="BC28" s="24">
        <v>27</v>
      </c>
      <c r="BD28" s="483" t="str">
        <f>IF('入力シート（第２年度報告書）'!F264="","",'入力シート（第２年度報告書）'!F264&amp;"‡"&amp;'入力シート（第２年度報告書）'!I264)</f>
        <v/>
      </c>
      <c r="BE28" s="24" t="str">
        <f t="shared" si="7"/>
        <v/>
      </c>
      <c r="BF28" s="24" t="e">
        <f t="shared" si="8"/>
        <v>#VALUE!</v>
      </c>
      <c r="BG28" s="24">
        <f>'入力シート（第２年度報告書）'!I264</f>
        <v>0</v>
      </c>
      <c r="BH28" s="24" t="e">
        <f t="shared" si="0"/>
        <v>#VALUE!</v>
      </c>
    </row>
    <row r="29" spans="1:69">
      <c r="A29" s="24"/>
      <c r="M29" s="24">
        <f t="shared" ref="M29:M34" si="23">LEN(F29)</f>
        <v>0</v>
      </c>
      <c r="AC29" s="24">
        <v>28</v>
      </c>
      <c r="AD29" s="484">
        <f>'入力シート（第１年度報告書）'!F253</f>
        <v>0</v>
      </c>
      <c r="AE29" s="24" t="str">
        <f t="shared" si="1"/>
        <v/>
      </c>
      <c r="AF29" s="24" t="e">
        <f t="shared" si="2"/>
        <v>#VALUE!</v>
      </c>
      <c r="AP29" s="493"/>
      <c r="AQ29" s="493"/>
      <c r="AR29" s="494" t="str">
        <f t="shared" si="21"/>
        <v/>
      </c>
      <c r="AS29" s="494" t="str">
        <f t="shared" ca="1" si="22"/>
        <v/>
      </c>
      <c r="AT29" s="494"/>
      <c r="AU29" s="494"/>
      <c r="AV29" s="494">
        <v>28</v>
      </c>
      <c r="AW29" s="24" t="str">
        <f t="shared" si="4"/>
        <v/>
      </c>
      <c r="AX29" s="24" t="str">
        <f t="shared" si="5"/>
        <v/>
      </c>
      <c r="AY29" s="24" t="str">
        <f t="shared" si="6"/>
        <v/>
      </c>
      <c r="BC29" s="24">
        <v>28</v>
      </c>
      <c r="BD29" s="483" t="str">
        <f>IF('入力シート（第２年度報告書）'!F265="","",'入力シート（第２年度報告書）'!F265&amp;"‡"&amp;'入力シート（第２年度報告書）'!I265)</f>
        <v/>
      </c>
      <c r="BE29" s="24" t="str">
        <f t="shared" si="7"/>
        <v/>
      </c>
      <c r="BF29" s="24" t="e">
        <f t="shared" si="8"/>
        <v>#VALUE!</v>
      </c>
      <c r="BG29" s="24">
        <f>'入力シート（第２年度報告書）'!I265</f>
        <v>0</v>
      </c>
      <c r="BH29" s="24" t="e">
        <f t="shared" si="0"/>
        <v>#VALUE!</v>
      </c>
    </row>
    <row r="30" spans="1:69">
      <c r="A30" s="24"/>
      <c r="J30" s="283"/>
      <c r="M30" s="24">
        <f t="shared" si="23"/>
        <v>0</v>
      </c>
      <c r="AC30" s="24">
        <v>29</v>
      </c>
      <c r="AD30" s="484">
        <f>'入力シート（第１年度報告書）'!F254</f>
        <v>0</v>
      </c>
      <c r="AE30" s="24" t="str">
        <f t="shared" si="1"/>
        <v/>
      </c>
      <c r="AF30" s="24" t="e">
        <f t="shared" si="2"/>
        <v>#VALUE!</v>
      </c>
      <c r="AP30" s="493"/>
      <c r="AQ30" s="493"/>
      <c r="AR30" s="494" t="str">
        <f t="shared" si="21"/>
        <v/>
      </c>
      <c r="AS30" s="494" t="str">
        <f t="shared" ca="1" si="22"/>
        <v/>
      </c>
      <c r="AT30" s="494"/>
      <c r="AU30" s="494"/>
      <c r="AV30" s="494">
        <v>29</v>
      </c>
      <c r="AW30" s="24" t="str">
        <f t="shared" si="4"/>
        <v/>
      </c>
      <c r="AX30" s="24" t="str">
        <f t="shared" si="5"/>
        <v/>
      </c>
      <c r="AY30" s="24" t="str">
        <f t="shared" si="6"/>
        <v/>
      </c>
      <c r="BC30" s="24">
        <v>29</v>
      </c>
      <c r="BD30" s="483" t="str">
        <f>IF('入力シート（第２年度報告書）'!F266="","",'入力シート（第２年度報告書）'!F266&amp;"‡"&amp;'入力シート（第２年度報告書）'!I266)</f>
        <v/>
      </c>
      <c r="BE30" s="24" t="str">
        <f t="shared" si="7"/>
        <v/>
      </c>
      <c r="BF30" s="24" t="e">
        <f t="shared" si="8"/>
        <v>#VALUE!</v>
      </c>
      <c r="BG30" s="24">
        <f>'入力シート（第２年度報告書）'!I266</f>
        <v>0</v>
      </c>
      <c r="BH30" s="24" t="e">
        <f t="shared" si="0"/>
        <v>#VALUE!</v>
      </c>
    </row>
    <row r="31" spans="1:69">
      <c r="A31" s="24"/>
      <c r="J31" s="14"/>
      <c r="M31" s="24">
        <f t="shared" si="23"/>
        <v>0</v>
      </c>
      <c r="AC31" s="24">
        <v>30</v>
      </c>
      <c r="AD31" s="484"/>
      <c r="AP31" s="493"/>
      <c r="AQ31" s="493"/>
      <c r="AR31" s="494" t="str">
        <f t="shared" si="21"/>
        <v/>
      </c>
      <c r="AS31" s="494" t="str">
        <f t="shared" ca="1" si="22"/>
        <v/>
      </c>
      <c r="AT31" s="494"/>
      <c r="AU31" s="494"/>
      <c r="AV31" s="494">
        <v>30</v>
      </c>
      <c r="AW31" s="24" t="str">
        <f t="shared" si="4"/>
        <v/>
      </c>
      <c r="AX31" s="24" t="str">
        <f t="shared" si="5"/>
        <v/>
      </c>
      <c r="AY31" s="24" t="str">
        <f t="shared" si="6"/>
        <v/>
      </c>
      <c r="BC31" s="24">
        <v>30</v>
      </c>
      <c r="BD31" s="483" t="str">
        <f>IF('入力シート（第２年度報告書）'!F267="","",'入力シート（第２年度報告書）'!F267&amp;"‡"&amp;'入力シート（第２年度報告書）'!I267)</f>
        <v/>
      </c>
      <c r="BE31" s="24" t="str">
        <f t="shared" si="7"/>
        <v/>
      </c>
      <c r="BF31" s="24" t="e">
        <f t="shared" si="8"/>
        <v>#VALUE!</v>
      </c>
      <c r="BG31" s="24">
        <f>'入力シート（第２年度報告書）'!I267</f>
        <v>0</v>
      </c>
      <c r="BH31" s="24" t="e">
        <f t="shared" si="0"/>
        <v>#VALUE!</v>
      </c>
    </row>
    <row r="32" spans="1:69">
      <c r="A32" s="24"/>
      <c r="J32" s="14"/>
      <c r="M32" s="24">
        <f t="shared" si="23"/>
        <v>0</v>
      </c>
      <c r="AC32" s="24">
        <v>31</v>
      </c>
      <c r="AD32" s="484"/>
      <c r="AP32" s="493"/>
      <c r="AQ32" s="493"/>
      <c r="AR32" s="494" t="str">
        <f t="shared" si="21"/>
        <v/>
      </c>
      <c r="AS32" s="494" t="str">
        <f t="shared" ca="1" si="22"/>
        <v/>
      </c>
      <c r="AT32" s="494"/>
      <c r="AU32" s="494"/>
      <c r="AV32" s="494">
        <v>31</v>
      </c>
      <c r="AW32" s="24" t="str">
        <f t="shared" si="4"/>
        <v/>
      </c>
      <c r="AX32" s="24" t="str">
        <f t="shared" si="5"/>
        <v/>
      </c>
      <c r="AY32" s="24" t="str">
        <f t="shared" si="6"/>
        <v/>
      </c>
      <c r="BC32" s="24">
        <v>31</v>
      </c>
      <c r="BD32" s="496" t="str">
        <f>IF('入力シート（第３年度報告書）'!F258="","",'入力シート（第３年度報告書）'!F258&amp;"‡"&amp;'入力シート（第３年度報告書）'!I258)</f>
        <v/>
      </c>
      <c r="BE32" s="24" t="str">
        <f t="shared" si="7"/>
        <v/>
      </c>
      <c r="BF32" s="24" t="e">
        <f t="shared" si="8"/>
        <v>#VALUE!</v>
      </c>
      <c r="BG32" s="24">
        <f>'入力シート（第３年度報告書）'!I258</f>
        <v>0</v>
      </c>
      <c r="BH32" s="24" t="e">
        <f t="shared" si="0"/>
        <v>#VALUE!</v>
      </c>
    </row>
    <row r="33" spans="1:60">
      <c r="A33" s="24"/>
      <c r="J33" s="14"/>
      <c r="M33" s="24">
        <f t="shared" si="23"/>
        <v>0</v>
      </c>
      <c r="AC33" s="24">
        <v>32</v>
      </c>
      <c r="AD33" s="484"/>
      <c r="AP33" s="493"/>
      <c r="AQ33" s="493"/>
      <c r="AR33" s="494" t="str">
        <f t="shared" si="21"/>
        <v/>
      </c>
      <c r="AS33" s="494" t="str">
        <f t="shared" ca="1" si="22"/>
        <v/>
      </c>
      <c r="AT33" s="494"/>
      <c r="AU33" s="494"/>
      <c r="AV33" s="494">
        <v>32</v>
      </c>
      <c r="AW33" s="24" t="str">
        <f t="shared" si="4"/>
        <v/>
      </c>
      <c r="AX33" s="24" t="str">
        <f t="shared" si="5"/>
        <v/>
      </c>
      <c r="AY33" s="24" t="str">
        <f t="shared" si="6"/>
        <v/>
      </c>
      <c r="BC33" s="24">
        <v>32</v>
      </c>
      <c r="BD33" s="496" t="str">
        <f>IF('入力シート（第３年度報告書）'!F259="","",'入力シート（第３年度報告書）'!F259&amp;"‡"&amp;'入力シート（第３年度報告書）'!I259)</f>
        <v/>
      </c>
      <c r="BE33" s="24" t="str">
        <f t="shared" si="7"/>
        <v/>
      </c>
      <c r="BF33" s="24" t="e">
        <f t="shared" si="8"/>
        <v>#VALUE!</v>
      </c>
      <c r="BG33" s="24">
        <f>'入力シート（第３年度報告書）'!I259</f>
        <v>0</v>
      </c>
      <c r="BH33" s="24" t="e">
        <f t="shared" si="0"/>
        <v>#VALUE!</v>
      </c>
    </row>
    <row r="34" spans="1:60">
      <c r="A34" s="24"/>
      <c r="J34" s="14"/>
      <c r="M34" s="24">
        <f t="shared" si="23"/>
        <v>0</v>
      </c>
      <c r="AC34" s="24">
        <v>33</v>
      </c>
      <c r="AD34" s="484"/>
      <c r="BC34" s="24">
        <v>33</v>
      </c>
      <c r="BD34" s="496" t="str">
        <f>IF('入力シート（第３年度報告書）'!F260="","",'入力シート（第３年度報告書）'!F260&amp;"‡"&amp;'入力シート（第３年度報告書）'!I260)</f>
        <v/>
      </c>
      <c r="BE34" s="24" t="str">
        <f t="shared" si="7"/>
        <v/>
      </c>
      <c r="BF34" s="24" t="e">
        <f t="shared" si="8"/>
        <v>#VALUE!</v>
      </c>
      <c r="BG34" s="24">
        <f>'入力シート（第３年度報告書）'!I260</f>
        <v>0</v>
      </c>
      <c r="BH34" s="24" t="e">
        <f t="shared" si="0"/>
        <v>#VALUE!</v>
      </c>
    </row>
    <row r="35" spans="1:60">
      <c r="A35" s="24"/>
      <c r="J35" s="14"/>
      <c r="AC35" s="24">
        <v>34</v>
      </c>
      <c r="AD35" s="484"/>
      <c r="BC35" s="24">
        <v>34</v>
      </c>
      <c r="BD35" s="496" t="str">
        <f>IF('入力シート（第３年度報告書）'!F261="","",'入力シート（第３年度報告書）'!F261&amp;"‡"&amp;'入力シート（第３年度報告書）'!I261)</f>
        <v/>
      </c>
      <c r="BE35" s="24" t="str">
        <f t="shared" si="7"/>
        <v/>
      </c>
      <c r="BF35" s="24" t="e">
        <f t="shared" si="8"/>
        <v>#VALUE!</v>
      </c>
      <c r="BG35" s="24">
        <f>'入力シート（第３年度報告書）'!I261</f>
        <v>0</v>
      </c>
      <c r="BH35" s="24" t="e">
        <f t="shared" si="0"/>
        <v>#VALUE!</v>
      </c>
    </row>
    <row r="36" spans="1:60">
      <c r="A36" s="24"/>
      <c r="J36" s="14"/>
      <c r="AC36" s="24">
        <v>35</v>
      </c>
      <c r="AD36" s="484"/>
      <c r="BC36" s="24">
        <v>35</v>
      </c>
      <c r="BD36" s="496" t="str">
        <f>IF('入力シート（第３年度報告書）'!F262="","",'入力シート（第３年度報告書）'!F262&amp;"‡"&amp;'入力シート（第３年度報告書）'!I262)</f>
        <v/>
      </c>
      <c r="BE36" s="24" t="str">
        <f t="shared" si="7"/>
        <v/>
      </c>
      <c r="BF36" s="24" t="e">
        <f t="shared" si="8"/>
        <v>#VALUE!</v>
      </c>
      <c r="BG36" s="24">
        <f>'入力シート（第３年度報告書）'!I262</f>
        <v>0</v>
      </c>
      <c r="BH36" s="24" t="e">
        <f t="shared" si="0"/>
        <v>#VALUE!</v>
      </c>
    </row>
    <row r="37" spans="1:60">
      <c r="A37" s="24"/>
      <c r="J37" s="14"/>
      <c r="AC37" s="24">
        <v>36</v>
      </c>
      <c r="AD37" s="484"/>
      <c r="BC37" s="24">
        <v>36</v>
      </c>
      <c r="BD37" s="496" t="str">
        <f>IF('入力シート（第３年度報告書）'!F263="","",'入力シート（第３年度報告書）'!F263&amp;"‡"&amp;'入力シート（第３年度報告書）'!I263)</f>
        <v/>
      </c>
      <c r="BE37" s="24" t="str">
        <f t="shared" si="7"/>
        <v/>
      </c>
      <c r="BF37" s="24" t="e">
        <f t="shared" si="8"/>
        <v>#VALUE!</v>
      </c>
      <c r="BG37" s="24">
        <f>'入力シート（第３年度報告書）'!I263</f>
        <v>0</v>
      </c>
      <c r="BH37" s="24" t="e">
        <f t="shared" si="0"/>
        <v>#VALUE!</v>
      </c>
    </row>
    <row r="38" spans="1:60">
      <c r="A38" s="24"/>
      <c r="J38" s="14"/>
      <c r="AC38" s="24">
        <v>37</v>
      </c>
      <c r="AD38" s="484"/>
      <c r="BC38" s="24">
        <v>37</v>
      </c>
      <c r="BD38" s="496" t="str">
        <f>IF('入力シート（第３年度報告書）'!F264="","",'入力シート（第３年度報告書）'!F264&amp;"‡"&amp;'入力シート（第３年度報告書）'!I264)</f>
        <v/>
      </c>
      <c r="BE38" s="24" t="str">
        <f t="shared" si="7"/>
        <v/>
      </c>
      <c r="BF38" s="24" t="e">
        <f t="shared" si="8"/>
        <v>#VALUE!</v>
      </c>
      <c r="BG38" s="24">
        <f>'入力シート（第３年度報告書）'!I264</f>
        <v>0</v>
      </c>
      <c r="BH38" s="24" t="e">
        <f t="shared" si="0"/>
        <v>#VALUE!</v>
      </c>
    </row>
    <row r="39" spans="1:60">
      <c r="A39" s="24"/>
      <c r="J39" s="14"/>
      <c r="AC39" s="24">
        <v>38</v>
      </c>
      <c r="AD39" s="484"/>
      <c r="BC39" s="24">
        <v>38</v>
      </c>
      <c r="BD39" s="496" t="str">
        <f>IF('入力シート（第３年度報告書）'!F265="","",'入力シート（第３年度報告書）'!F265&amp;"‡"&amp;'入力シート（第３年度報告書）'!I265)</f>
        <v/>
      </c>
      <c r="BE39" s="24" t="str">
        <f t="shared" si="7"/>
        <v/>
      </c>
      <c r="BF39" s="24" t="e">
        <f t="shared" si="8"/>
        <v>#VALUE!</v>
      </c>
      <c r="BG39" s="24">
        <f>'入力シート（第３年度報告書）'!I265</f>
        <v>0</v>
      </c>
      <c r="BH39" s="24" t="e">
        <f t="shared" si="0"/>
        <v>#VALUE!</v>
      </c>
    </row>
    <row r="40" spans="1:60">
      <c r="A40" s="24"/>
      <c r="J40" s="14"/>
      <c r="AC40" s="24">
        <v>39</v>
      </c>
      <c r="AD40" s="484"/>
      <c r="BC40" s="24">
        <v>39</v>
      </c>
      <c r="BD40" s="496" t="str">
        <f>IF('入力シート（第３年度報告書）'!F266="","",'入力シート（第３年度報告書）'!F266&amp;"‡"&amp;'入力シート（第３年度報告書）'!I266)</f>
        <v/>
      </c>
      <c r="BE40" s="24" t="str">
        <f t="shared" si="7"/>
        <v/>
      </c>
      <c r="BF40" s="24" t="e">
        <f t="shared" si="8"/>
        <v>#VALUE!</v>
      </c>
      <c r="BG40" s="24">
        <f>'入力シート（第３年度報告書）'!I266</f>
        <v>0</v>
      </c>
      <c r="BH40" s="24" t="e">
        <f t="shared" si="0"/>
        <v>#VALUE!</v>
      </c>
    </row>
    <row r="41" spans="1:60">
      <c r="A41" s="24"/>
      <c r="J41" s="250"/>
      <c r="AC41" s="24">
        <v>40</v>
      </c>
      <c r="AD41" s="484"/>
      <c r="BC41" s="24">
        <v>40</v>
      </c>
      <c r="BD41" s="496" t="str">
        <f>IF('入力シート（第３年度報告書）'!F267="","",'入力シート（第３年度報告書）'!F267&amp;"‡"&amp;'入力シート（第３年度報告書）'!I267)</f>
        <v/>
      </c>
      <c r="BE41" s="24" t="str">
        <f t="shared" si="7"/>
        <v/>
      </c>
      <c r="BF41" s="24" t="e">
        <f t="shared" si="8"/>
        <v>#VALUE!</v>
      </c>
      <c r="BG41" s="24">
        <f>'入力シート（第３年度報告書）'!I267</f>
        <v>0</v>
      </c>
      <c r="BH41" s="24" t="e">
        <f t="shared" si="0"/>
        <v>#VALUE!</v>
      </c>
    </row>
    <row r="42" spans="1:60">
      <c r="A42" s="24"/>
      <c r="J42" s="14"/>
      <c r="AC42" s="24">
        <v>41</v>
      </c>
      <c r="AD42" s="497">
        <f>'入力シート（第２年度報告書）'!F246</f>
        <v>0</v>
      </c>
      <c r="AE42" s="24" t="str">
        <f t="shared" si="1"/>
        <v/>
      </c>
      <c r="AF42" s="24" t="e">
        <f t="shared" si="2"/>
        <v>#VALUE!</v>
      </c>
    </row>
    <row r="43" spans="1:60">
      <c r="A43" s="24"/>
      <c r="J43" s="14"/>
      <c r="AC43" s="24">
        <v>42</v>
      </c>
      <c r="AD43" s="497">
        <f>'入力シート（第２年度報告書）'!F247</f>
        <v>0</v>
      </c>
      <c r="AE43" s="24" t="str">
        <f t="shared" si="1"/>
        <v/>
      </c>
      <c r="AF43" s="24" t="e">
        <f t="shared" si="2"/>
        <v>#VALUE!</v>
      </c>
    </row>
    <row r="44" spans="1:60">
      <c r="A44" s="24"/>
      <c r="AC44" s="24">
        <v>43</v>
      </c>
      <c r="AD44" s="497">
        <f>'入力シート（第２年度報告書）'!F248</f>
        <v>0</v>
      </c>
      <c r="AE44" s="24" t="str">
        <f t="shared" si="1"/>
        <v/>
      </c>
      <c r="AF44" s="24" t="e">
        <f t="shared" si="2"/>
        <v>#VALUE!</v>
      </c>
    </row>
    <row r="45" spans="1:60">
      <c r="A45" s="24"/>
      <c r="F45" s="147"/>
      <c r="J45" s="146"/>
      <c r="AC45" s="24">
        <v>44</v>
      </c>
      <c r="AD45" s="497">
        <f>'入力シート（第２年度報告書）'!F249</f>
        <v>0</v>
      </c>
      <c r="AE45" s="24" t="str">
        <f t="shared" si="1"/>
        <v/>
      </c>
      <c r="AF45" s="24" t="e">
        <f t="shared" si="2"/>
        <v>#VALUE!</v>
      </c>
    </row>
    <row r="46" spans="1:60">
      <c r="A46" s="24"/>
      <c r="AC46" s="24">
        <v>45</v>
      </c>
      <c r="AD46" s="497">
        <f>'入力シート（第２年度報告書）'!F250</f>
        <v>0</v>
      </c>
      <c r="AE46" s="24" t="str">
        <f t="shared" si="1"/>
        <v/>
      </c>
      <c r="AF46" s="24" t="e">
        <f t="shared" si="2"/>
        <v>#VALUE!</v>
      </c>
    </row>
    <row r="47" spans="1:60">
      <c r="A47" s="24"/>
      <c r="AC47" s="24">
        <v>46</v>
      </c>
      <c r="AD47" s="497">
        <f>'入力シート（第２年度報告書）'!F251</f>
        <v>0</v>
      </c>
      <c r="AE47" s="24" t="str">
        <f t="shared" si="1"/>
        <v/>
      </c>
      <c r="AF47" s="24" t="e">
        <f t="shared" si="2"/>
        <v>#VALUE!</v>
      </c>
    </row>
    <row r="48" spans="1:60">
      <c r="A48" s="24"/>
      <c r="F48" s="498"/>
      <c r="G48" s="498"/>
      <c r="AC48" s="24">
        <v>47</v>
      </c>
      <c r="AD48" s="497">
        <f>'入力シート（第２年度報告書）'!F252</f>
        <v>0</v>
      </c>
      <c r="AE48" s="24" t="str">
        <f t="shared" si="1"/>
        <v/>
      </c>
      <c r="AF48" s="24" t="e">
        <f t="shared" si="2"/>
        <v>#VALUE!</v>
      </c>
    </row>
    <row r="49" spans="1:32">
      <c r="A49" s="24"/>
      <c r="F49" s="498"/>
      <c r="G49" s="498"/>
      <c r="AC49" s="24">
        <v>48</v>
      </c>
      <c r="AD49" s="497">
        <f>'入力シート（第２年度報告書）'!F253</f>
        <v>0</v>
      </c>
      <c r="AE49" s="24" t="str">
        <f t="shared" si="1"/>
        <v/>
      </c>
      <c r="AF49" s="24" t="e">
        <f t="shared" si="2"/>
        <v>#VALUE!</v>
      </c>
    </row>
    <row r="50" spans="1:32">
      <c r="A50" s="24"/>
      <c r="F50" s="499" t="s">
        <v>4283</v>
      </c>
      <c r="G50" s="500" t="s">
        <v>4343</v>
      </c>
      <c r="AC50" s="24">
        <v>49</v>
      </c>
      <c r="AD50" s="497">
        <f>'入力シート（第２年度報告書）'!F254</f>
        <v>0</v>
      </c>
      <c r="AE50" s="24" t="str">
        <f t="shared" si="1"/>
        <v/>
      </c>
      <c r="AF50" s="24" t="e">
        <f t="shared" si="2"/>
        <v>#VALUE!</v>
      </c>
    </row>
    <row r="51" spans="1:32" ht="35">
      <c r="A51" s="24"/>
      <c r="D51" s="24">
        <v>1</v>
      </c>
      <c r="F51" s="501" t="str">
        <f t="shared" ref="F51:G51" si="24">F3</f>
        <v>エコドライブの管理</v>
      </c>
      <c r="G51" s="502" t="str">
        <f t="shared" si="24"/>
        <v>デジタル式記録装置の活用等により、運転者・車種別等のエネルギー使用量を管理している。</v>
      </c>
      <c r="AC51" s="24">
        <v>50</v>
      </c>
      <c r="AD51" s="497"/>
    </row>
    <row r="52" spans="1:32" ht="35">
      <c r="A52" s="24"/>
      <c r="D52" s="24">
        <v>2</v>
      </c>
      <c r="F52" s="501" t="str">
        <f t="shared" ref="F52:G52" si="25">F4</f>
        <v>維持管理に関する教育</v>
      </c>
      <c r="G52" s="502" t="str">
        <f t="shared" si="25"/>
        <v>自動車の適正な維持管理に必要な知識や技術の習得のため、定期的に研修等を実施している。</v>
      </c>
      <c r="AC52" s="24">
        <v>51</v>
      </c>
      <c r="AD52" s="497"/>
    </row>
    <row r="53" spans="1:32" ht="35">
      <c r="A53" s="24"/>
      <c r="D53" s="24">
        <v>3</v>
      </c>
      <c r="F53" s="501" t="str">
        <f t="shared" ref="F53:G53" si="26">F5</f>
        <v>効率的な輸送計画の作成</v>
      </c>
      <c r="G53" s="502" t="str">
        <f t="shared" si="26"/>
        <v>混雑する道路や時間帯を避けるための輸送計画を作成している。</v>
      </c>
      <c r="AC53" s="24">
        <v>52</v>
      </c>
      <c r="AD53" s="497"/>
    </row>
    <row r="54" spans="1:32" ht="35">
      <c r="A54" s="24"/>
      <c r="D54" s="24">
        <v>4</v>
      </c>
      <c r="F54" s="501" t="str">
        <f t="shared" ref="F54:G54" si="27">F6</f>
        <v>事業者連携による効率的な輸送推進</v>
      </c>
      <c r="G54" s="502" t="str">
        <f t="shared" si="27"/>
        <v>他の事業者と連携して、共同輸配送や共同運行など効率的な輸送を推進している。</v>
      </c>
      <c r="AC54" s="24">
        <v>53</v>
      </c>
      <c r="AD54" s="497"/>
    </row>
    <row r="55" spans="1:32" ht="35">
      <c r="A55" s="24"/>
      <c r="D55" s="24">
        <v>5</v>
      </c>
      <c r="F55" s="501" t="str">
        <f t="shared" ref="F55:G55" si="28">F7</f>
        <v>モーダルシフトの推進</v>
      </c>
      <c r="G55" s="502" t="str">
        <f t="shared" si="28"/>
        <v>車両、鉄道、船等の低排出量の輸送方法への変更を検討・実施している。</v>
      </c>
      <c r="AC55" s="24">
        <v>54</v>
      </c>
      <c r="AD55" s="497"/>
    </row>
    <row r="56" spans="1:32" ht="52.5">
      <c r="A56" s="24"/>
      <c r="D56" s="24">
        <v>6</v>
      </c>
      <c r="F56" s="501" t="str">
        <f t="shared" ref="F56:G56" si="29">F8</f>
        <v>関係者への理解促進</v>
      </c>
      <c r="G56" s="502" t="str">
        <f t="shared" si="29"/>
        <v>荷主（顧客）、協力会社等の関係者に対して、自社の温室効果ガス削減の取り組みについて理解や協力を求めている。</v>
      </c>
      <c r="AC56" s="24">
        <v>55</v>
      </c>
      <c r="AD56" s="497"/>
    </row>
    <row r="57" spans="1:32" ht="35">
      <c r="A57" s="24"/>
      <c r="D57" s="24">
        <v>7</v>
      </c>
      <c r="F57" s="501" t="str">
        <f t="shared" ref="F57:G57" si="30">F9</f>
        <v>関係者へのエコカー導入誘導</v>
      </c>
      <c r="G57" s="502" t="str">
        <f t="shared" si="30"/>
        <v>協力会社等の関係者に対してエコカーに更新するよう働きかけを行っている。</v>
      </c>
      <c r="AC57" s="24">
        <v>56</v>
      </c>
      <c r="AD57" s="497"/>
    </row>
    <row r="58" spans="1:32" ht="52.5">
      <c r="A58" s="24"/>
      <c r="D58" s="24">
        <v>8</v>
      </c>
      <c r="F58" s="501" t="str">
        <f t="shared" ref="F58:G58" si="31">F10</f>
        <v>OA機器の待機電力削減</v>
      </c>
      <c r="G58" s="502" t="str">
        <f t="shared" si="31"/>
        <v>パソコンやプリンター等のOA機器が省エネモードに設定されており、長時間不使用の場合には電源を切ることがルール化されている。</v>
      </c>
      <c r="AC58" s="24">
        <v>57</v>
      </c>
      <c r="AD58" s="497"/>
    </row>
    <row r="59" spans="1:32" ht="35">
      <c r="A59" s="24"/>
      <c r="D59" s="24">
        <v>9</v>
      </c>
      <c r="F59" s="503" t="str">
        <f t="shared" ref="F59:G59" si="32">F11</f>
        <v>再エネ電力の調達等</v>
      </c>
      <c r="G59" s="504" t="str">
        <f t="shared" si="32"/>
        <v>再エネ電力の調達や自家消費型太陽光発電の導入等により、電気の脱炭素化に取り組んでいる。</v>
      </c>
      <c r="AC59" s="24">
        <v>58</v>
      </c>
      <c r="AD59" s="497"/>
    </row>
    <row r="60" spans="1:32">
      <c r="A60" s="24"/>
      <c r="D60" s="24">
        <v>10</v>
      </c>
      <c r="F60" s="23"/>
      <c r="G60" s="23"/>
      <c r="AC60" s="24">
        <v>59</v>
      </c>
      <c r="AD60" s="497"/>
    </row>
    <row r="61" spans="1:32">
      <c r="A61" s="24"/>
      <c r="D61" s="24">
        <v>11</v>
      </c>
      <c r="F61" s="23"/>
      <c r="G61" s="23"/>
      <c r="AC61" s="24">
        <v>60</v>
      </c>
      <c r="AD61" s="497"/>
    </row>
    <row r="62" spans="1:32">
      <c r="A62" s="24"/>
      <c r="D62" s="24">
        <v>12</v>
      </c>
      <c r="F62" s="23"/>
      <c r="G62" s="23"/>
      <c r="AC62" s="24">
        <v>61</v>
      </c>
      <c r="AD62" s="496">
        <f>'入力シート（第３年度報告書）'!F246</f>
        <v>0</v>
      </c>
      <c r="AE62" s="24" t="str">
        <f t="shared" si="1"/>
        <v/>
      </c>
      <c r="AF62" s="24" t="e">
        <f t="shared" si="2"/>
        <v>#VALUE!</v>
      </c>
    </row>
    <row r="63" spans="1:32">
      <c r="A63" s="24"/>
      <c r="D63" s="24">
        <v>13</v>
      </c>
      <c r="F63" s="23"/>
      <c r="G63" s="23"/>
      <c r="AC63" s="24">
        <v>62</v>
      </c>
      <c r="AD63" s="496">
        <f>'入力シート（第３年度報告書）'!F247</f>
        <v>0</v>
      </c>
      <c r="AE63" s="24" t="str">
        <f t="shared" si="1"/>
        <v/>
      </c>
      <c r="AF63" s="24" t="e">
        <f t="shared" si="2"/>
        <v>#VALUE!</v>
      </c>
    </row>
    <row r="64" spans="1:32">
      <c r="A64" s="24"/>
      <c r="D64" s="24">
        <v>14</v>
      </c>
      <c r="F64" s="23"/>
      <c r="G64" s="23"/>
      <c r="AC64" s="24">
        <v>63</v>
      </c>
      <c r="AD64" s="496">
        <f>'入力シート（第３年度報告書）'!F248</f>
        <v>0</v>
      </c>
      <c r="AE64" s="24" t="str">
        <f t="shared" si="1"/>
        <v/>
      </c>
      <c r="AF64" s="24" t="e">
        <f t="shared" si="2"/>
        <v>#VALUE!</v>
      </c>
    </row>
    <row r="65" spans="4:32">
      <c r="D65" s="24">
        <v>15</v>
      </c>
      <c r="F65" s="23"/>
      <c r="G65" s="23"/>
      <c r="AC65" s="24">
        <v>64</v>
      </c>
      <c r="AD65" s="496">
        <f>'入力シート（第３年度報告書）'!F249</f>
        <v>0</v>
      </c>
      <c r="AE65" s="24" t="str">
        <f t="shared" si="1"/>
        <v/>
      </c>
      <c r="AF65" s="24" t="e">
        <f t="shared" si="2"/>
        <v>#VALUE!</v>
      </c>
    </row>
    <row r="66" spans="4:32">
      <c r="D66" s="24">
        <v>16</v>
      </c>
      <c r="F66" s="23"/>
      <c r="G66" s="23"/>
      <c r="AC66" s="24">
        <v>65</v>
      </c>
      <c r="AD66" s="496">
        <f>'入力シート（第３年度報告書）'!F250</f>
        <v>0</v>
      </c>
      <c r="AE66" s="24" t="str">
        <f t="shared" si="1"/>
        <v/>
      </c>
      <c r="AF66" s="24" t="e">
        <f t="shared" si="2"/>
        <v>#VALUE!</v>
      </c>
    </row>
    <row r="67" spans="4:32">
      <c r="D67" s="24">
        <v>17</v>
      </c>
      <c r="F67" s="23"/>
      <c r="G67" s="23"/>
      <c r="AC67" s="24">
        <v>66</v>
      </c>
      <c r="AD67" s="496">
        <f>'入力シート（第３年度報告書）'!F251</f>
        <v>0</v>
      </c>
      <c r="AE67" s="24" t="str">
        <f t="shared" ref="AE67:AE70" si="33">IF(AD67&lt;&gt;0,ROW()-1,"")</f>
        <v/>
      </c>
      <c r="AF67" s="24" t="e">
        <f t="shared" ref="AF67:AF70" si="34">RANK(AE67,$AE$2:$AE$81,1)</f>
        <v>#VALUE!</v>
      </c>
    </row>
    <row r="68" spans="4:32">
      <c r="D68" s="24">
        <v>18</v>
      </c>
      <c r="F68" s="23"/>
      <c r="G68" s="23"/>
      <c r="AC68" s="24">
        <v>67</v>
      </c>
      <c r="AD68" s="496">
        <f>'入力シート（第３年度報告書）'!F252</f>
        <v>0</v>
      </c>
      <c r="AE68" s="24" t="str">
        <f t="shared" si="33"/>
        <v/>
      </c>
      <c r="AF68" s="24" t="e">
        <f t="shared" si="34"/>
        <v>#VALUE!</v>
      </c>
    </row>
    <row r="69" spans="4:32">
      <c r="D69" s="24">
        <v>19</v>
      </c>
      <c r="F69" s="23"/>
      <c r="G69" s="23"/>
      <c r="AC69" s="24">
        <v>68</v>
      </c>
      <c r="AD69" s="496">
        <f>'入力シート（第３年度報告書）'!F253</f>
        <v>0</v>
      </c>
      <c r="AE69" s="24" t="str">
        <f t="shared" si="33"/>
        <v/>
      </c>
      <c r="AF69" s="24" t="e">
        <f t="shared" si="34"/>
        <v>#VALUE!</v>
      </c>
    </row>
    <row r="70" spans="4:32">
      <c r="D70" s="24">
        <v>20</v>
      </c>
      <c r="F70" s="23"/>
      <c r="G70" s="23"/>
      <c r="AC70" s="24">
        <v>69</v>
      </c>
      <c r="AD70" s="496">
        <f>'入力シート（第３年度報告書）'!F254</f>
        <v>0</v>
      </c>
      <c r="AE70" s="24" t="str">
        <f t="shared" si="33"/>
        <v/>
      </c>
      <c r="AF70" s="24" t="e">
        <f t="shared" si="34"/>
        <v>#VALUE!</v>
      </c>
    </row>
    <row r="71" spans="4:32">
      <c r="D71" s="24">
        <v>21</v>
      </c>
      <c r="F71" s="23"/>
      <c r="G71" s="23"/>
      <c r="AC71" s="24">
        <v>70</v>
      </c>
      <c r="AD71" s="496"/>
    </row>
    <row r="72" spans="4:32">
      <c r="D72" s="24">
        <v>22</v>
      </c>
      <c r="F72" s="23"/>
      <c r="G72" s="23"/>
      <c r="AC72" s="24">
        <v>71</v>
      </c>
      <c r="AD72" s="496"/>
    </row>
    <row r="73" spans="4:32">
      <c r="D73" s="24">
        <v>23</v>
      </c>
      <c r="F73" s="23"/>
      <c r="G73" s="23"/>
      <c r="AC73" s="24">
        <v>72</v>
      </c>
      <c r="AD73" s="496"/>
    </row>
    <row r="74" spans="4:32">
      <c r="D74" s="24">
        <v>24</v>
      </c>
      <c r="F74" s="23"/>
      <c r="G74" s="23"/>
      <c r="AC74" s="24">
        <v>73</v>
      </c>
      <c r="AD74" s="496"/>
    </row>
    <row r="75" spans="4:32">
      <c r="D75" s="24">
        <v>25</v>
      </c>
      <c r="F75" s="23"/>
      <c r="G75" s="23"/>
      <c r="AC75" s="24">
        <v>74</v>
      </c>
      <c r="AD75" s="496"/>
    </row>
    <row r="76" spans="4:32">
      <c r="D76" s="24">
        <v>26</v>
      </c>
      <c r="F76" s="23"/>
      <c r="G76" s="23"/>
      <c r="AC76" s="24">
        <v>75</v>
      </c>
      <c r="AD76" s="496"/>
    </row>
    <row r="77" spans="4:32">
      <c r="D77" s="24">
        <v>27</v>
      </c>
      <c r="F77" s="23"/>
      <c r="G77" s="23"/>
      <c r="AC77" s="24">
        <v>76</v>
      </c>
      <c r="AD77" s="496"/>
    </row>
    <row r="78" spans="4:32">
      <c r="D78" s="24">
        <v>28</v>
      </c>
      <c r="F78" s="23"/>
      <c r="G78" s="23"/>
      <c r="AC78" s="24">
        <v>77</v>
      </c>
      <c r="AD78" s="496"/>
    </row>
    <row r="79" spans="4:32">
      <c r="D79" s="24">
        <v>29</v>
      </c>
      <c r="F79" s="23"/>
      <c r="G79" s="23"/>
      <c r="AC79" s="24">
        <v>78</v>
      </c>
      <c r="AD79" s="496"/>
    </row>
    <row r="80" spans="4:32">
      <c r="D80" s="24">
        <v>30</v>
      </c>
      <c r="F80" s="23"/>
      <c r="G80" s="23"/>
      <c r="AC80" s="24">
        <v>79</v>
      </c>
      <c r="AD80" s="496"/>
    </row>
    <row r="81" spans="4:30">
      <c r="D81" s="24">
        <v>31</v>
      </c>
      <c r="F81" s="23"/>
      <c r="G81" s="23"/>
      <c r="AC81" s="24">
        <v>80</v>
      </c>
      <c r="AD81" s="496"/>
    </row>
    <row r="82" spans="4:30">
      <c r="D82" s="24">
        <v>32</v>
      </c>
      <c r="F82" s="23"/>
      <c r="G82" s="23"/>
    </row>
    <row r="83" spans="4:30">
      <c r="F83" s="498"/>
      <c r="G83" s="498"/>
    </row>
    <row r="84" spans="4:30">
      <c r="F84" s="498"/>
      <c r="G84" s="498"/>
      <c r="J84" s="505" t="str">
        <f>J2</f>
        <v>項目</v>
      </c>
    </row>
    <row r="85" spans="4:30">
      <c r="F85" s="498"/>
      <c r="G85" s="498"/>
      <c r="H85" s="24">
        <v>1</v>
      </c>
      <c r="J85" s="506" t="str">
        <f t="shared" ref="J85:J97" si="35">J3</f>
        <v>環境マネジメントシステムの導入</v>
      </c>
    </row>
    <row r="86" spans="4:30">
      <c r="F86" s="498"/>
      <c r="G86" s="498"/>
      <c r="H86" s="24">
        <v>2</v>
      </c>
      <c r="J86" s="507" t="str">
        <f t="shared" si="35"/>
        <v>SBTやRE100等の国際的なイニシアティブ等への参加</v>
      </c>
    </row>
    <row r="87" spans="4:30">
      <c r="H87" s="24">
        <v>3</v>
      </c>
      <c r="J87" s="507" t="str">
        <f t="shared" si="35"/>
        <v>従業員の自動車利用の抑制、公共交通機関の利用促進</v>
      </c>
    </row>
    <row r="88" spans="4:30">
      <c r="H88" s="24">
        <v>4</v>
      </c>
      <c r="J88" s="507" t="str">
        <f t="shared" si="35"/>
        <v>環境教育・学習の実施（従業員以外を対象にしたもの）</v>
      </c>
    </row>
    <row r="89" spans="4:30">
      <c r="H89" s="24">
        <v>5</v>
      </c>
      <c r="J89" s="507" t="str">
        <f t="shared" si="35"/>
        <v>廃棄物削減対策の実施</v>
      </c>
    </row>
    <row r="90" spans="4:30">
      <c r="H90" s="24">
        <v>6</v>
      </c>
      <c r="J90" s="507" t="str">
        <f t="shared" si="35"/>
        <v>森林の保全・緑化の推進</v>
      </c>
    </row>
    <row r="91" spans="4:30">
      <c r="H91" s="24">
        <v>7</v>
      </c>
      <c r="J91" s="507" t="str">
        <f t="shared" si="35"/>
        <v>グリーン調達の実施</v>
      </c>
    </row>
    <row r="92" spans="4:30">
      <c r="H92" s="24">
        <v>8</v>
      </c>
      <c r="J92" s="507" t="str">
        <f t="shared" si="35"/>
        <v>カーボンオフセットの実施</v>
      </c>
    </row>
    <row r="93" spans="4:30">
      <c r="H93" s="24">
        <v>9</v>
      </c>
      <c r="J93" s="507" t="str">
        <f t="shared" si="35"/>
        <v>ヒートアイランド対策の実施</v>
      </c>
    </row>
    <row r="94" spans="4:30">
      <c r="H94" s="24">
        <v>10</v>
      </c>
      <c r="J94" s="507" t="str">
        <f t="shared" si="35"/>
        <v>計画期間以前の温室効果ガスの大幅な削減</v>
      </c>
    </row>
    <row r="95" spans="4:30">
      <c r="H95" s="24">
        <v>11</v>
      </c>
      <c r="J95" s="507" t="str">
        <f t="shared" si="35"/>
        <v>ＤＲ（デマンドレスポンス）の実施</v>
      </c>
    </row>
    <row r="96" spans="4:30">
      <c r="H96" s="24">
        <v>12</v>
      </c>
      <c r="J96" s="507" t="str">
        <f t="shared" si="35"/>
        <v>市が実施する環境関連事業への参画</v>
      </c>
    </row>
    <row r="97" spans="8:10">
      <c r="H97" s="24">
        <v>13</v>
      </c>
      <c r="J97" s="508" t="str">
        <f t="shared" si="35"/>
        <v>その他地球温暖化を防止する対策の実施</v>
      </c>
    </row>
  </sheetData>
  <sheetProtection algorithmName="SHA-512" hashValue="Wu7dmaz1N7wW82aug7nF5rHBab8/+OQkflO/c7eS+BvI+rrOMcF24DdzXrZ7SOFWuUr1BGlDSlP1RhYqnVetTQ==" saltValue="Ra69NrUPEd6IrzSZP8xqvA==" spinCount="100000" sheet="1" objects="1" scenarios="1"/>
  <sortState xmlns:xlrd2="http://schemas.microsoft.com/office/spreadsheetml/2017/richdata2" ref="CB15:CB18">
    <sortCondition descending="1" ref="CB15"/>
  </sortState>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FF00"/>
  </sheetPr>
  <dimension ref="A1:AA24"/>
  <sheetViews>
    <sheetView view="pageBreakPreview" topLeftCell="B1" zoomScaleNormal="85" zoomScaleSheetLayoutView="100" workbookViewId="0">
      <pane ySplit="4" topLeftCell="A5" activePane="bottomLeft" state="frozen"/>
      <selection activeCell="S71" sqref="S71"/>
      <selection pane="bottomLeft" activeCell="E5" sqref="E5:N5"/>
    </sheetView>
  </sheetViews>
  <sheetFormatPr defaultColWidth="8.90625" defaultRowHeight="17.5"/>
  <cols>
    <col min="1" max="1" width="5" style="14" hidden="1" customWidth="1"/>
    <col min="2" max="2" width="13.08984375" style="24" bestFit="1" customWidth="1"/>
    <col min="3" max="3" width="18.6328125" style="24" customWidth="1"/>
    <col min="4" max="4" width="3.08984375" style="522" customWidth="1"/>
    <col min="5" max="13" width="6.08984375" style="24" customWidth="1"/>
    <col min="14" max="14" width="25.1796875" style="24" customWidth="1"/>
    <col min="15" max="17" width="5.6328125" style="24" customWidth="1"/>
    <col min="18" max="18" width="21.453125" style="24" hidden="1" customWidth="1"/>
    <col min="19" max="19" width="7.453125" style="24" hidden="1" customWidth="1"/>
    <col min="20" max="20" width="10.36328125" style="14" hidden="1" customWidth="1"/>
    <col min="21" max="21" width="16.90625" style="14" hidden="1" customWidth="1"/>
    <col min="22" max="23" width="5.6328125" style="14" hidden="1" customWidth="1"/>
    <col min="24" max="24" width="0" style="14" hidden="1" customWidth="1"/>
    <col min="25" max="25" width="15.54296875" style="14" hidden="1" customWidth="1"/>
    <col min="26" max="26" width="8.90625" style="14" hidden="1" customWidth="1"/>
    <col min="27" max="27" width="8.90625" style="14"/>
    <col min="28" max="16384" width="8.90625" style="24"/>
  </cols>
  <sheetData>
    <row r="1" spans="1:27" ht="42" customHeight="1">
      <c r="A1" s="653"/>
      <c r="B1" s="654" t="s">
        <v>4299</v>
      </c>
      <c r="C1" s="655"/>
      <c r="D1" s="656"/>
      <c r="E1" s="298"/>
      <c r="F1" s="298"/>
      <c r="G1" s="655"/>
      <c r="H1" s="655"/>
      <c r="I1" s="655"/>
      <c r="J1" s="655"/>
      <c r="K1" s="655"/>
      <c r="L1" s="655"/>
      <c r="M1" s="655"/>
      <c r="N1" s="657"/>
      <c r="O1" s="14"/>
      <c r="P1" s="14"/>
      <c r="Q1" s="14"/>
      <c r="R1" s="14"/>
      <c r="S1" s="14"/>
    </row>
    <row r="2" spans="1:27" ht="24" hidden="1" customHeight="1">
      <c r="B2" s="658"/>
      <c r="C2" s="28"/>
      <c r="D2" s="28"/>
      <c r="E2" s="28"/>
      <c r="F2" s="28"/>
      <c r="G2" s="28"/>
      <c r="H2" s="28"/>
      <c r="I2" s="28"/>
      <c r="J2" s="28"/>
      <c r="K2" s="28"/>
      <c r="L2" s="28"/>
      <c r="M2" s="28"/>
      <c r="N2" s="659"/>
      <c r="O2" s="14"/>
      <c r="P2" s="14"/>
      <c r="Q2" s="14"/>
      <c r="R2" s="14"/>
      <c r="S2" s="14"/>
      <c r="Z2" s="660"/>
    </row>
    <row r="3" spans="1:27" s="10" customFormat="1" ht="20.25" hidden="1" customHeight="1">
      <c r="A3" s="77"/>
      <c r="B3" s="658"/>
      <c r="C3" s="28"/>
      <c r="D3" s="28"/>
      <c r="E3" s="28"/>
      <c r="F3" s="28"/>
      <c r="G3" s="28"/>
      <c r="H3" s="28"/>
      <c r="I3" s="28"/>
      <c r="J3" s="28"/>
      <c r="K3" s="28"/>
      <c r="L3" s="28"/>
      <c r="M3" s="28"/>
      <c r="N3" s="659"/>
      <c r="O3" s="77"/>
      <c r="P3" s="77"/>
      <c r="Q3" s="77"/>
      <c r="R3" s="77"/>
      <c r="S3" s="77"/>
      <c r="T3" s="77"/>
      <c r="U3" s="77"/>
      <c r="V3" s="77"/>
      <c r="W3" s="77"/>
      <c r="X3" s="77"/>
      <c r="Y3" s="77"/>
      <c r="Z3" s="77"/>
      <c r="AA3" s="77"/>
    </row>
    <row r="4" spans="1:27" s="10" customFormat="1" ht="20.25" hidden="1" customHeight="1">
      <c r="A4" s="77"/>
      <c r="B4" s="658"/>
      <c r="C4" s="28"/>
      <c r="D4" s="28"/>
      <c r="E4" s="28"/>
      <c r="F4" s="28"/>
      <c r="G4" s="28"/>
      <c r="H4" s="28"/>
      <c r="I4" s="28"/>
      <c r="J4" s="28"/>
      <c r="K4" s="28"/>
      <c r="L4" s="28"/>
      <c r="M4" s="28"/>
      <c r="N4" s="659"/>
      <c r="O4" s="77"/>
      <c r="P4" s="77"/>
      <c r="Q4" s="77"/>
      <c r="R4" s="77"/>
      <c r="S4" s="77"/>
      <c r="T4" s="661"/>
      <c r="U4" s="77"/>
      <c r="V4" s="77"/>
      <c r="W4" s="77"/>
      <c r="X4" s="77"/>
      <c r="Y4" s="77"/>
      <c r="Z4" s="77"/>
      <c r="AA4" s="77"/>
    </row>
    <row r="5" spans="1:27" s="10" customFormat="1" ht="20.25" customHeight="1">
      <c r="A5" s="77"/>
      <c r="B5" s="662" t="s">
        <v>17</v>
      </c>
      <c r="C5" s="663" t="s">
        <v>19</v>
      </c>
      <c r="D5" s="664"/>
      <c r="E5" s="736"/>
      <c r="F5" s="736"/>
      <c r="G5" s="736"/>
      <c r="H5" s="736"/>
      <c r="I5" s="736"/>
      <c r="J5" s="736"/>
      <c r="K5" s="736"/>
      <c r="L5" s="736"/>
      <c r="M5" s="736"/>
      <c r="N5" s="736"/>
      <c r="O5" s="77"/>
      <c r="P5" s="77"/>
      <c r="Q5" s="77"/>
      <c r="R5" s="77"/>
      <c r="S5" s="77"/>
      <c r="T5" s="661"/>
      <c r="U5" s="77" t="str">
        <f>TRIM(ASC(E5))</f>
        <v/>
      </c>
      <c r="V5" s="77">
        <f>LEN(U5)</f>
        <v>0</v>
      </c>
      <c r="W5" s="77"/>
      <c r="X5" s="77"/>
      <c r="Z5" s="77"/>
      <c r="AA5" s="77"/>
    </row>
    <row r="6" spans="1:27" s="10" customFormat="1" ht="20.25" customHeight="1">
      <c r="A6" s="77"/>
      <c r="B6" s="665"/>
      <c r="C6" s="663" t="s">
        <v>18</v>
      </c>
      <c r="D6" s="664"/>
      <c r="E6" s="736"/>
      <c r="F6" s="736"/>
      <c r="G6" s="736"/>
      <c r="H6" s="736"/>
      <c r="I6" s="736"/>
      <c r="J6" s="736"/>
      <c r="K6" s="736"/>
      <c r="L6" s="736"/>
      <c r="M6" s="736"/>
      <c r="N6" s="736"/>
      <c r="O6" s="77"/>
      <c r="P6" s="77"/>
      <c r="Q6" s="77"/>
      <c r="R6" s="77"/>
      <c r="S6" s="77"/>
      <c r="T6" s="661"/>
      <c r="U6" s="77" t="str">
        <f>TRIM(ASC(E12))</f>
        <v/>
      </c>
      <c r="V6" s="77"/>
      <c r="W6" s="77"/>
      <c r="X6" s="77"/>
      <c r="Y6" s="77"/>
      <c r="Z6" s="77"/>
      <c r="AA6" s="77"/>
    </row>
    <row r="7" spans="1:27" s="10" customFormat="1" ht="20.25" customHeight="1">
      <c r="A7" s="77"/>
      <c r="B7" s="665"/>
      <c r="C7" s="663" t="s">
        <v>20</v>
      </c>
      <c r="D7" s="664"/>
      <c r="E7" s="736"/>
      <c r="F7" s="736"/>
      <c r="G7" s="736"/>
      <c r="H7" s="736"/>
      <c r="I7" s="736"/>
      <c r="J7" s="736"/>
      <c r="K7" s="736"/>
      <c r="L7" s="736"/>
      <c r="M7" s="736"/>
      <c r="N7" s="736"/>
      <c r="O7" s="77"/>
      <c r="P7" s="77"/>
      <c r="Q7" s="77"/>
      <c r="R7" s="77"/>
      <c r="S7" s="77"/>
      <c r="T7" s="661"/>
      <c r="U7" s="77" t="str">
        <f>IF(E5="","",
   IF(U5&lt;&gt;LEFT(U6,V5),
         TRIM(E5)&amp;" "&amp;TRIM(E12),TRIM(E12)))</f>
        <v/>
      </c>
      <c r="V7" s="77"/>
      <c r="W7" s="77"/>
      <c r="X7" s="77"/>
      <c r="Y7" s="77"/>
      <c r="Z7" s="77"/>
      <c r="AA7" s="77"/>
    </row>
    <row r="8" spans="1:27" s="10" customFormat="1" ht="20.25" customHeight="1">
      <c r="A8" s="77"/>
      <c r="B8" s="666"/>
      <c r="C8" s="663" t="s">
        <v>21</v>
      </c>
      <c r="D8" s="664"/>
      <c r="E8" s="736"/>
      <c r="F8" s="736"/>
      <c r="G8" s="736"/>
      <c r="H8" s="736"/>
      <c r="I8" s="736"/>
      <c r="J8" s="736"/>
      <c r="K8" s="736"/>
      <c r="L8" s="736"/>
      <c r="M8" s="736"/>
      <c r="N8" s="736"/>
      <c r="O8" s="77"/>
      <c r="P8" s="77"/>
      <c r="Q8" s="77"/>
      <c r="R8" s="77"/>
      <c r="S8" s="77"/>
      <c r="T8" s="661"/>
      <c r="U8" s="77"/>
      <c r="V8" s="77"/>
      <c r="W8" s="77"/>
      <c r="X8" s="77"/>
      <c r="Y8" s="77"/>
      <c r="Z8" s="77"/>
      <c r="AA8" s="77"/>
    </row>
    <row r="9" spans="1:27" s="10" customFormat="1" ht="20.25" customHeight="1">
      <c r="A9" s="77"/>
      <c r="B9" s="662" t="s">
        <v>3986</v>
      </c>
      <c r="C9" s="663" t="s">
        <v>3987</v>
      </c>
      <c r="D9" s="664"/>
      <c r="E9" s="721"/>
      <c r="F9" s="737" t="s">
        <v>3990</v>
      </c>
      <c r="G9" s="738"/>
      <c r="H9" s="738"/>
      <c r="I9" s="738"/>
      <c r="J9" s="738"/>
      <c r="K9" s="738"/>
      <c r="L9" s="738"/>
      <c r="M9" s="738"/>
      <c r="N9" s="739"/>
      <c r="O9" s="77"/>
      <c r="P9" s="77"/>
      <c r="Q9" s="77"/>
      <c r="R9" s="77"/>
      <c r="S9" s="668" t="b">
        <v>0</v>
      </c>
      <c r="T9" s="661"/>
      <c r="U9" s="77"/>
      <c r="V9" s="77"/>
      <c r="W9" s="77"/>
      <c r="X9" s="77"/>
      <c r="Y9" s="77"/>
      <c r="Z9" s="77"/>
      <c r="AA9" s="77"/>
    </row>
    <row r="10" spans="1:27" s="10" customFormat="1" ht="20.25" customHeight="1">
      <c r="A10" s="77"/>
      <c r="B10" s="665"/>
      <c r="C10" s="663" t="s">
        <v>3988</v>
      </c>
      <c r="D10" s="664"/>
      <c r="E10" s="667"/>
      <c r="F10" s="737" t="s">
        <v>4494</v>
      </c>
      <c r="G10" s="738"/>
      <c r="H10" s="738"/>
      <c r="I10" s="738"/>
      <c r="J10" s="738"/>
      <c r="K10" s="738"/>
      <c r="L10" s="738"/>
      <c r="M10" s="738"/>
      <c r="N10" s="739"/>
      <c r="O10" s="77"/>
      <c r="P10" s="77"/>
      <c r="Q10" s="77"/>
      <c r="R10" s="77"/>
      <c r="S10" s="668" t="b">
        <v>0</v>
      </c>
      <c r="T10" s="77"/>
      <c r="U10" s="77"/>
      <c r="V10" s="77"/>
      <c r="W10" s="77"/>
      <c r="X10" s="77"/>
      <c r="Y10" s="77"/>
      <c r="Z10" s="77"/>
      <c r="AA10" s="77"/>
    </row>
    <row r="11" spans="1:27" s="10" customFormat="1" ht="20.25" customHeight="1">
      <c r="A11" s="77"/>
      <c r="B11" s="666"/>
      <c r="C11" s="663" t="s">
        <v>3989</v>
      </c>
      <c r="D11" s="664"/>
      <c r="E11" s="667"/>
      <c r="F11" s="737" t="s">
        <v>3991</v>
      </c>
      <c r="G11" s="738"/>
      <c r="H11" s="738"/>
      <c r="I11" s="738"/>
      <c r="J11" s="738"/>
      <c r="K11" s="738"/>
      <c r="L11" s="738"/>
      <c r="M11" s="738"/>
      <c r="N11" s="739"/>
      <c r="O11" s="77"/>
      <c r="P11" s="77"/>
      <c r="Q11" s="77"/>
      <c r="R11" s="77"/>
      <c r="S11" s="668" t="b">
        <v>1</v>
      </c>
      <c r="T11" s="77"/>
      <c r="U11" s="77"/>
      <c r="V11" s="77"/>
      <c r="W11" s="77"/>
      <c r="X11" s="77"/>
      <c r="Y11" s="77"/>
      <c r="Z11" s="77"/>
      <c r="AA11" s="77"/>
    </row>
    <row r="12" spans="1:27" s="10" customFormat="1" ht="20.25" customHeight="1">
      <c r="A12" s="77"/>
      <c r="B12" s="662" t="s">
        <v>28</v>
      </c>
      <c r="C12" s="663" t="s">
        <v>22</v>
      </c>
      <c r="D12" s="664"/>
      <c r="E12" s="736"/>
      <c r="F12" s="736"/>
      <c r="G12" s="736"/>
      <c r="H12" s="736"/>
      <c r="I12" s="736"/>
      <c r="J12" s="736"/>
      <c r="K12" s="736"/>
      <c r="L12" s="736"/>
      <c r="M12" s="736"/>
      <c r="N12" s="736"/>
      <c r="O12" s="77"/>
      <c r="P12" s="77"/>
      <c r="Q12" s="77"/>
      <c r="R12" s="77"/>
      <c r="S12" s="77">
        <f>SUM(S9*1,S10*2,S11*4)</f>
        <v>4</v>
      </c>
      <c r="T12" s="77"/>
      <c r="V12" s="77"/>
      <c r="W12" s="77"/>
      <c r="X12" s="77"/>
      <c r="Y12" s="77"/>
      <c r="Z12" s="77"/>
      <c r="AA12" s="77"/>
    </row>
    <row r="13" spans="1:27" s="10" customFormat="1" ht="20.25" customHeight="1">
      <c r="A13" s="77"/>
      <c r="B13" s="665"/>
      <c r="C13" s="669" t="s">
        <v>23</v>
      </c>
      <c r="D13" s="670"/>
      <c r="E13" s="378" t="s">
        <v>24</v>
      </c>
      <c r="F13" s="166"/>
      <c r="G13" s="378" t="s">
        <v>25</v>
      </c>
      <c r="H13" s="166"/>
      <c r="I13" s="77"/>
      <c r="J13" s="77"/>
      <c r="K13" s="77"/>
      <c r="L13" s="77"/>
      <c r="M13" s="77"/>
      <c r="N13" s="671"/>
      <c r="O13" s="77"/>
      <c r="P13" s="77"/>
      <c r="Q13" s="77"/>
      <c r="R13" s="77"/>
      <c r="S13" s="77"/>
      <c r="T13" s="77"/>
      <c r="U13" s="77"/>
      <c r="V13" s="77"/>
      <c r="W13" s="77"/>
      <c r="X13" s="77"/>
      <c r="Y13" s="77"/>
      <c r="Z13" s="77"/>
      <c r="AA13" s="77"/>
    </row>
    <row r="14" spans="1:27" s="10" customFormat="1" ht="20.25" customHeight="1">
      <c r="A14" s="77"/>
      <c r="B14" s="665"/>
      <c r="C14" s="672"/>
      <c r="D14" s="673"/>
      <c r="E14" s="736"/>
      <c r="F14" s="736"/>
      <c r="G14" s="736"/>
      <c r="H14" s="736"/>
      <c r="I14" s="736"/>
      <c r="J14" s="736"/>
      <c r="K14" s="736"/>
      <c r="L14" s="736"/>
      <c r="M14" s="736"/>
      <c r="N14" s="736"/>
      <c r="O14" s="77"/>
      <c r="P14" s="77"/>
      <c r="Q14" s="77"/>
      <c r="R14" s="674" t="s">
        <v>110</v>
      </c>
      <c r="S14" s="77" t="str">
        <f>E15&amp;F15</f>
        <v/>
      </c>
      <c r="T14" s="661"/>
      <c r="U14" s="77"/>
      <c r="V14" s="77"/>
      <c r="W14" s="77"/>
      <c r="X14" s="77"/>
      <c r="Y14" s="77"/>
      <c r="Z14" s="77"/>
      <c r="AA14" s="77"/>
    </row>
    <row r="15" spans="1:27" s="10" customFormat="1" ht="20.25" customHeight="1">
      <c r="A15" s="77"/>
      <c r="B15" s="665"/>
      <c r="C15" s="663" t="s">
        <v>26</v>
      </c>
      <c r="D15" s="664"/>
      <c r="E15" s="167"/>
      <c r="F15" s="167"/>
      <c r="G15" s="167"/>
      <c r="H15" s="167"/>
      <c r="I15" s="77"/>
      <c r="J15" s="77"/>
      <c r="K15" s="77"/>
      <c r="L15" s="77"/>
      <c r="M15" s="77"/>
      <c r="N15" s="671"/>
      <c r="O15" s="77"/>
      <c r="P15" s="77"/>
      <c r="Q15" s="77"/>
      <c r="R15" s="674" t="s">
        <v>3497</v>
      </c>
      <c r="S15" s="77" t="str">
        <f>IFERROR(VLOOKUP(S14,中分類,2,FALSE),"")</f>
        <v/>
      </c>
      <c r="T15" s="77"/>
      <c r="U15" s="77"/>
      <c r="V15" s="77"/>
      <c r="W15" s="77"/>
      <c r="X15" s="77"/>
      <c r="Y15" s="77"/>
      <c r="Z15" s="77"/>
      <c r="AA15" s="77"/>
    </row>
    <row r="16" spans="1:27" s="10" customFormat="1" ht="20.25" customHeight="1">
      <c r="A16" s="77"/>
      <c r="B16" s="665"/>
      <c r="C16" s="663" t="s">
        <v>27</v>
      </c>
      <c r="D16" s="664"/>
      <c r="E16" s="742" t="str">
        <f>S15</f>
        <v/>
      </c>
      <c r="F16" s="743"/>
      <c r="G16" s="743"/>
      <c r="H16" s="743"/>
      <c r="I16" s="743"/>
      <c r="J16" s="743"/>
      <c r="K16" s="743"/>
      <c r="L16" s="743"/>
      <c r="M16" s="743"/>
      <c r="N16" s="744"/>
      <c r="O16" s="77"/>
      <c r="P16" s="77"/>
      <c r="Q16" s="77"/>
      <c r="R16" s="674" t="s">
        <v>3498</v>
      </c>
      <c r="S16" s="77" t="str">
        <f>E15&amp;F15&amp;G15</f>
        <v/>
      </c>
      <c r="T16" s="77"/>
      <c r="U16" s="77"/>
      <c r="V16" s="77"/>
      <c r="W16" s="77"/>
      <c r="X16" s="77"/>
      <c r="Y16" s="77"/>
      <c r="Z16" s="77"/>
      <c r="AA16" s="77"/>
    </row>
    <row r="17" spans="1:27" s="10" customFormat="1" ht="20.25" hidden="1" customHeight="1">
      <c r="A17" s="77"/>
      <c r="B17" s="665"/>
      <c r="C17" s="663"/>
      <c r="D17" s="664"/>
      <c r="E17" s="742"/>
      <c r="F17" s="743"/>
      <c r="G17" s="743"/>
      <c r="H17" s="743"/>
      <c r="I17" s="743"/>
      <c r="J17" s="743"/>
      <c r="K17" s="743"/>
      <c r="L17" s="743"/>
      <c r="M17" s="743"/>
      <c r="N17" s="744"/>
      <c r="O17" s="77"/>
      <c r="P17" s="77"/>
      <c r="Q17" s="77"/>
      <c r="R17" s="674" t="s">
        <v>3499</v>
      </c>
      <c r="S17" s="77" t="str">
        <f>IFERROR(VLOOKUP(S16,小分類,2,FALSE),"")</f>
        <v/>
      </c>
      <c r="T17" s="77"/>
      <c r="U17" s="77"/>
      <c r="V17" s="77"/>
      <c r="W17" s="77" t="s">
        <v>4096</v>
      </c>
      <c r="X17" s="77"/>
      <c r="Y17" s="77"/>
      <c r="Z17" s="77"/>
      <c r="AA17" s="77"/>
    </row>
    <row r="18" spans="1:27" s="10" customFormat="1" ht="20.25" hidden="1" customHeight="1">
      <c r="A18" s="77"/>
      <c r="B18" s="666"/>
      <c r="C18" s="663"/>
      <c r="D18" s="664"/>
      <c r="E18" s="742"/>
      <c r="F18" s="743"/>
      <c r="G18" s="743"/>
      <c r="H18" s="743"/>
      <c r="I18" s="743"/>
      <c r="J18" s="743"/>
      <c r="K18" s="743"/>
      <c r="L18" s="743"/>
      <c r="M18" s="743"/>
      <c r="N18" s="744"/>
      <c r="O18" s="77"/>
      <c r="P18" s="77"/>
      <c r="Q18" s="77"/>
      <c r="R18" s="674" t="s">
        <v>3040</v>
      </c>
      <c r="S18" s="77" t="str">
        <f>E15&amp;F15&amp;G15&amp;H15</f>
        <v/>
      </c>
      <c r="T18" s="77"/>
      <c r="U18" s="77"/>
      <c r="V18" s="77"/>
      <c r="W18" s="77"/>
      <c r="X18" s="77"/>
      <c r="Y18" s="77"/>
      <c r="Z18" s="77"/>
      <c r="AA18" s="77"/>
    </row>
    <row r="19" spans="1:27" s="10" customFormat="1" ht="20.25" customHeight="1">
      <c r="A19" s="77"/>
      <c r="B19" s="662" t="s">
        <v>29</v>
      </c>
      <c r="C19" s="663" t="s">
        <v>30</v>
      </c>
      <c r="D19" s="664"/>
      <c r="E19" s="736"/>
      <c r="F19" s="736"/>
      <c r="G19" s="736"/>
      <c r="H19" s="736"/>
      <c r="I19" s="736"/>
      <c r="J19" s="736"/>
      <c r="K19" s="736"/>
      <c r="L19" s="736"/>
      <c r="M19" s="736"/>
      <c r="N19" s="736"/>
      <c r="O19" s="77"/>
      <c r="P19" s="77"/>
      <c r="Q19" s="77"/>
      <c r="R19" s="77" t="s">
        <v>111</v>
      </c>
      <c r="S19" s="77" t="str">
        <f>IFERROR(VLOOKUP(S18,細分類,2,FALSE),"")</f>
        <v/>
      </c>
      <c r="T19" s="77"/>
      <c r="U19" s="77"/>
      <c r="V19" s="77"/>
      <c r="W19" s="77"/>
      <c r="X19" s="77"/>
      <c r="Y19" s="77"/>
      <c r="Z19" s="77"/>
      <c r="AA19" s="77"/>
    </row>
    <row r="20" spans="1:27" s="10" customFormat="1" ht="20.25" customHeight="1">
      <c r="A20" s="77"/>
      <c r="B20" s="665"/>
      <c r="C20" s="669" t="s">
        <v>4</v>
      </c>
      <c r="D20" s="670"/>
      <c r="E20" s="378" t="s">
        <v>24</v>
      </c>
      <c r="F20" s="166"/>
      <c r="G20" s="378" t="s">
        <v>25</v>
      </c>
      <c r="H20" s="166"/>
      <c r="I20" s="77"/>
      <c r="J20" s="77"/>
      <c r="K20" s="77"/>
      <c r="L20" s="77"/>
      <c r="M20" s="77"/>
      <c r="N20" s="671"/>
      <c r="O20" s="77"/>
      <c r="P20" s="77"/>
      <c r="Q20" s="77"/>
      <c r="R20" s="77"/>
      <c r="S20" s="77"/>
      <c r="T20" s="77"/>
      <c r="U20" s="77"/>
      <c r="V20" s="77"/>
      <c r="W20" s="77"/>
      <c r="X20" s="77"/>
      <c r="Y20" s="77"/>
      <c r="Z20" s="77"/>
      <c r="AA20" s="77"/>
    </row>
    <row r="21" spans="1:27" s="10" customFormat="1" ht="20.25" customHeight="1">
      <c r="A21" s="77"/>
      <c r="B21" s="665"/>
      <c r="C21" s="672"/>
      <c r="D21" s="673"/>
      <c r="E21" s="736"/>
      <c r="F21" s="736"/>
      <c r="G21" s="736"/>
      <c r="H21" s="736"/>
      <c r="I21" s="736"/>
      <c r="J21" s="736"/>
      <c r="K21" s="736"/>
      <c r="L21" s="736"/>
      <c r="M21" s="736"/>
      <c r="N21" s="736"/>
      <c r="O21" s="77"/>
      <c r="P21" s="77"/>
      <c r="Q21" s="77"/>
      <c r="R21" s="77"/>
      <c r="S21" s="77"/>
      <c r="T21" s="77"/>
      <c r="U21" s="77"/>
      <c r="V21" s="77"/>
      <c r="W21" s="77"/>
      <c r="X21" s="77"/>
      <c r="Y21" s="77"/>
      <c r="Z21" s="77"/>
      <c r="AA21" s="77"/>
    </row>
    <row r="22" spans="1:27" s="10" customFormat="1" ht="20.25" customHeight="1">
      <c r="A22" s="77"/>
      <c r="B22" s="665"/>
      <c r="C22" s="663" t="s">
        <v>31</v>
      </c>
      <c r="D22" s="664"/>
      <c r="E22" s="736"/>
      <c r="F22" s="736"/>
      <c r="G22" s="736"/>
      <c r="H22" s="736"/>
      <c r="I22" s="736"/>
      <c r="J22" s="736"/>
      <c r="K22" s="736"/>
      <c r="L22" s="736"/>
      <c r="M22" s="736"/>
      <c r="N22" s="736"/>
      <c r="O22" s="77"/>
      <c r="P22" s="77"/>
      <c r="Q22" s="77"/>
      <c r="R22" s="77"/>
      <c r="S22" s="77"/>
      <c r="T22" s="661"/>
      <c r="U22" s="77"/>
      <c r="V22" s="77"/>
      <c r="W22" s="77"/>
      <c r="X22" s="77"/>
      <c r="Y22" s="77"/>
      <c r="Z22" s="77"/>
      <c r="AA22" s="77"/>
    </row>
    <row r="23" spans="1:27" s="10" customFormat="1" ht="20.25" customHeight="1">
      <c r="A23" s="77"/>
      <c r="B23" s="665"/>
      <c r="C23" s="663" t="s">
        <v>4300</v>
      </c>
      <c r="D23" s="664"/>
      <c r="E23" s="740"/>
      <c r="F23" s="740"/>
      <c r="G23" s="740"/>
      <c r="H23" s="740"/>
      <c r="I23" s="740"/>
      <c r="J23" s="740"/>
      <c r="K23" s="740"/>
      <c r="L23" s="740"/>
      <c r="M23" s="740"/>
      <c r="N23" s="740"/>
      <c r="O23" s="77"/>
      <c r="P23" s="77"/>
      <c r="Q23" s="77"/>
      <c r="R23" s="77"/>
      <c r="S23" s="77"/>
      <c r="T23" s="661"/>
      <c r="U23" s="77"/>
      <c r="V23" s="77"/>
      <c r="W23" s="77"/>
      <c r="X23" s="77"/>
      <c r="Y23" s="77"/>
      <c r="Z23" s="77"/>
      <c r="AA23" s="77"/>
    </row>
    <row r="24" spans="1:27" s="10" customFormat="1" ht="20.25" customHeight="1">
      <c r="A24" s="77"/>
      <c r="B24" s="666"/>
      <c r="C24" s="663" t="s">
        <v>32</v>
      </c>
      <c r="D24" s="664"/>
      <c r="E24" s="741"/>
      <c r="F24" s="736"/>
      <c r="G24" s="736"/>
      <c r="H24" s="736"/>
      <c r="I24" s="736"/>
      <c r="J24" s="736"/>
      <c r="K24" s="736"/>
      <c r="L24" s="736"/>
      <c r="M24" s="736"/>
      <c r="N24" s="736"/>
      <c r="O24" s="77"/>
      <c r="P24" s="77"/>
      <c r="Q24" s="77"/>
      <c r="R24" s="77"/>
      <c r="S24" s="77"/>
      <c r="T24" s="661"/>
      <c r="U24" s="77"/>
      <c r="V24" s="77"/>
      <c r="W24" s="77"/>
      <c r="X24" s="77"/>
      <c r="Y24" s="77"/>
      <c r="Z24" s="77"/>
      <c r="AA24" s="77"/>
    </row>
  </sheetData>
  <sheetProtection algorithmName="SHA-512" hashValue="eyRurJ5f3Y9BZzZT8kibRouK6RfxChds4Sg9IxV24gHV3ATi83f2UW94lhvWOVrSqTIRm5GRE1E/gQcvYrUPYA==" saltValue="65vtbgzLVnaGA6hOoq/mEw==" spinCount="100000" sheet="1" objects="1" scenarios="1" selectLockedCells="1"/>
  <mergeCells count="17">
    <mergeCell ref="E22:N22"/>
    <mergeCell ref="E23:N23"/>
    <mergeCell ref="E24:N24"/>
    <mergeCell ref="E19:N19"/>
    <mergeCell ref="E14:N14"/>
    <mergeCell ref="E21:N21"/>
    <mergeCell ref="E16:N16"/>
    <mergeCell ref="E17:N17"/>
    <mergeCell ref="E18:N18"/>
    <mergeCell ref="E5:N5"/>
    <mergeCell ref="E6:N6"/>
    <mergeCell ref="E7:N7"/>
    <mergeCell ref="E8:N8"/>
    <mergeCell ref="E12:N12"/>
    <mergeCell ref="F9:N9"/>
    <mergeCell ref="F10:N10"/>
    <mergeCell ref="F11:N11"/>
  </mergeCells>
  <phoneticPr fontId="1"/>
  <conditionalFormatting sqref="E5">
    <cfRule type="expression" dxfId="308" priority="11" stopIfTrue="1">
      <formula>$E$5&lt;&gt;""</formula>
    </cfRule>
  </conditionalFormatting>
  <conditionalFormatting sqref="E6">
    <cfRule type="expression" dxfId="307" priority="13" stopIfTrue="1">
      <formula>$E$6&lt;&gt;""</formula>
    </cfRule>
  </conditionalFormatting>
  <conditionalFormatting sqref="E7">
    <cfRule type="expression" dxfId="306" priority="12" stopIfTrue="1">
      <formula>$E$7&lt;&gt;""</formula>
    </cfRule>
  </conditionalFormatting>
  <conditionalFormatting sqref="E9:E11">
    <cfRule type="expression" dxfId="305" priority="14">
      <formula>$S$12&gt;0</formula>
    </cfRule>
    <cfRule type="expression" dxfId="304" priority="426">
      <formula>OR($S$9,$S$10,$S$11,#REF!)</formula>
    </cfRule>
  </conditionalFormatting>
  <conditionalFormatting sqref="E12">
    <cfRule type="expression" dxfId="303" priority="2" stopIfTrue="1">
      <formula>$E$12&lt;&gt;""</formula>
    </cfRule>
  </conditionalFormatting>
  <conditionalFormatting sqref="E14">
    <cfRule type="expression" dxfId="302" priority="8" stopIfTrue="1">
      <formula>$E$14&lt;&gt;""</formula>
    </cfRule>
  </conditionalFormatting>
  <conditionalFormatting sqref="E15">
    <cfRule type="expression" dxfId="301" priority="7" stopIfTrue="1">
      <formula>$E$15&lt;&gt;""</formula>
    </cfRule>
  </conditionalFormatting>
  <conditionalFormatting sqref="E19">
    <cfRule type="expression" dxfId="300" priority="27" stopIfTrue="1">
      <formula>$E$19&lt;&gt;""</formula>
    </cfRule>
  </conditionalFormatting>
  <conditionalFormatting sqref="E21">
    <cfRule type="expression" dxfId="299" priority="31" stopIfTrue="1">
      <formula>$E$21&lt;&gt;""</formula>
    </cfRule>
  </conditionalFormatting>
  <conditionalFormatting sqref="E22">
    <cfRule type="expression" dxfId="298" priority="32" stopIfTrue="1">
      <formula>$E$22&lt;&gt;""</formula>
    </cfRule>
  </conditionalFormatting>
  <conditionalFormatting sqref="E23">
    <cfRule type="expression" dxfId="297" priority="33" stopIfTrue="1">
      <formula>$E$23&lt;&gt;""</formula>
    </cfRule>
  </conditionalFormatting>
  <conditionalFormatting sqref="E24">
    <cfRule type="expression" dxfId="296" priority="35" stopIfTrue="1">
      <formula>$E$24&lt;&gt;""</formula>
    </cfRule>
  </conditionalFormatting>
  <conditionalFormatting sqref="E8:N8">
    <cfRule type="expression" dxfId="295" priority="10">
      <formula>$E$8&lt;&gt;""</formula>
    </cfRule>
  </conditionalFormatting>
  <conditionalFormatting sqref="F13">
    <cfRule type="expression" dxfId="294" priority="9" stopIfTrue="1">
      <formula>$F$13&lt;&gt;""</formula>
    </cfRule>
  </conditionalFormatting>
  <conditionalFormatting sqref="F15">
    <cfRule type="expression" dxfId="293" priority="6" stopIfTrue="1">
      <formula>$F$15&lt;&gt;""</formula>
    </cfRule>
  </conditionalFormatting>
  <conditionalFormatting sqref="F20">
    <cfRule type="expression" dxfId="292" priority="22" stopIfTrue="1">
      <formula>$F$20&lt;&gt;""</formula>
    </cfRule>
  </conditionalFormatting>
  <conditionalFormatting sqref="G15">
    <cfRule type="expression" dxfId="291" priority="5" stopIfTrue="1">
      <formula>$G$15&lt;&gt;""</formula>
    </cfRule>
  </conditionalFormatting>
  <conditionalFormatting sqref="H13">
    <cfRule type="expression" dxfId="290" priority="3" stopIfTrue="1">
      <formula>$H$13&lt;&gt;""</formula>
    </cfRule>
  </conditionalFormatting>
  <conditionalFormatting sqref="H15">
    <cfRule type="expression" dxfId="289" priority="4" stopIfTrue="1">
      <formula>$H$15&lt;&gt;""</formula>
    </cfRule>
  </conditionalFormatting>
  <conditionalFormatting sqref="H20">
    <cfRule type="expression" dxfId="288" priority="21" stopIfTrue="1">
      <formula>$H$20&lt;&gt;""</formula>
    </cfRule>
  </conditionalFormatting>
  <dataValidations xWindow="332" yWindow="344" count="6">
    <dataValidation imeMode="fullAlpha" allowBlank="1" showInputMessage="1" showErrorMessage="1" sqref="E1" xr:uid="{D1B32701-8AA2-4A77-A172-983091FDD55A}"/>
    <dataValidation imeMode="halfAlpha" allowBlank="1" showInputMessage="1" showErrorMessage="1" sqref="H20 F20 F13 H13" xr:uid="{00000000-0002-0000-0500-000006000000}"/>
    <dataValidation type="list" allowBlank="1" showInputMessage="1" showErrorMessage="1" sqref="E15:H15" xr:uid="{24C695D7-B914-4BC2-B266-82F08DEE6EFB}">
      <formula1>"0,1,2,3,4,5,6,7,8,9"</formula1>
    </dataValidation>
    <dataValidation imeMode="disabled" allowBlank="1" showInputMessage="1" showErrorMessage="1" sqref="E24:N24" xr:uid="{00000000-0002-0000-0500-00000A000000}"/>
    <dataValidation imeMode="hiragana" allowBlank="1" showInputMessage="1" showErrorMessage="1" sqref="E21:N22 E19:N19 E5:N8 E14:N14 E12:N12" xr:uid="{00000000-0002-0000-0500-00000B000000}"/>
    <dataValidation imeMode="disabled" operator="greaterThan" allowBlank="1" showInputMessage="1" showErrorMessage="1" sqref="E23:N23" xr:uid="{00000000-0002-0000-0500-00000F000000}"/>
  </dataValidations>
  <pageMargins left="0.70866141732283472" right="0.55118110236220474" top="0.74803149606299213" bottom="0.74803149606299213" header="0.31496062992125984" footer="0.31496062992125984"/>
  <pageSetup paperSize="9" scale="75" orientation="portrait" r:id="rId1"/>
  <headerFooter>
    <oddFooter>&amp;R&amp;"メイリオ,レギュラー"&amp;8（特定事業者（運送事業者）用</oddFooter>
  </headerFooter>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ltText="">
                <anchor moveWithCells="1">
                  <from>
                    <xdr:col>4</xdr:col>
                    <xdr:colOff>114300</xdr:colOff>
                    <xdr:row>10</xdr:row>
                    <xdr:rowOff>31750</xdr:rowOff>
                  </from>
                  <to>
                    <xdr:col>4</xdr:col>
                    <xdr:colOff>342900</xdr:colOff>
                    <xdr:row>11</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093D-5BBC-4D40-820F-A959AD2EC17F}">
  <sheetPr codeName="Sheet7">
    <tabColor rgb="FFFF0000"/>
    <pageSetUpPr fitToPage="1"/>
  </sheetPr>
  <dimension ref="B1:N80"/>
  <sheetViews>
    <sheetView zoomScaleNormal="100" workbookViewId="0">
      <pane xSplit="12" ySplit="2" topLeftCell="M62" activePane="bottomRight" state="frozen"/>
      <selection pane="topRight" activeCell="M1" sqref="M1"/>
      <selection pane="bottomLeft" activeCell="A3" sqref="A3"/>
      <selection pane="bottomRight"/>
    </sheetView>
  </sheetViews>
  <sheetFormatPr defaultColWidth="8.90625" defaultRowHeight="17.5"/>
  <cols>
    <col min="1" max="1" width="8.90625" style="24"/>
    <col min="2" max="2" width="5.1796875" style="640" customWidth="1"/>
    <col min="3" max="3" width="51.36328125" style="640" customWidth="1"/>
    <col min="4" max="4" width="14.90625" style="640" customWidth="1"/>
    <col min="5" max="5" width="11.6328125" style="640" customWidth="1"/>
    <col min="6" max="6" width="13.1796875" style="640" customWidth="1"/>
    <col min="7" max="7" width="18.453125" style="640" customWidth="1"/>
    <col min="8" max="8" width="8.90625" style="640"/>
    <col min="9" max="12" width="9.453125" style="640" customWidth="1"/>
    <col min="13" max="16384" width="8.90625" style="24"/>
  </cols>
  <sheetData>
    <row r="1" spans="2:14" ht="53.4" customHeight="1">
      <c r="B1" s="536" t="s">
        <v>4289</v>
      </c>
      <c r="C1" s="536"/>
      <c r="D1" s="536"/>
      <c r="E1" s="537"/>
      <c r="F1" s="537"/>
      <c r="G1" s="537"/>
      <c r="H1" s="538"/>
      <c r="I1" s="538"/>
      <c r="J1" s="538" t="s">
        <v>4290</v>
      </c>
      <c r="K1" s="538"/>
      <c r="L1" s="538"/>
      <c r="N1" s="472"/>
    </row>
    <row r="2" spans="2:14">
      <c r="B2" s="539"/>
      <c r="C2" s="540" t="s">
        <v>4175</v>
      </c>
      <c r="D2" s="540" t="s">
        <v>4176</v>
      </c>
      <c r="E2" s="541" t="s">
        <v>4121</v>
      </c>
      <c r="F2" s="541"/>
      <c r="G2" s="542"/>
      <c r="H2" s="543" t="s">
        <v>36</v>
      </c>
      <c r="I2" s="544" t="s">
        <v>4122</v>
      </c>
      <c r="J2" s="545"/>
      <c r="K2" s="544" t="s">
        <v>4177</v>
      </c>
      <c r="L2" s="546"/>
      <c r="N2" s="472"/>
    </row>
    <row r="3" spans="2:14" ht="17.399999999999999" customHeight="1">
      <c r="B3" s="1258" t="s">
        <v>4123</v>
      </c>
      <c r="C3" s="547" t="s">
        <v>83</v>
      </c>
      <c r="D3" s="548" t="s">
        <v>4100</v>
      </c>
      <c r="E3" s="255" t="s">
        <v>83</v>
      </c>
      <c r="F3" s="255"/>
      <c r="G3" s="255"/>
      <c r="H3" s="549" t="s">
        <v>35</v>
      </c>
      <c r="I3" s="550">
        <v>38.299999999999997</v>
      </c>
      <c r="J3" s="551" t="s">
        <v>37</v>
      </c>
      <c r="K3" s="552">
        <v>1.9E-2</v>
      </c>
      <c r="L3" s="553" t="s">
        <v>3044</v>
      </c>
    </row>
    <row r="4" spans="2:14">
      <c r="B4" s="1259"/>
      <c r="C4" s="554" t="s">
        <v>84</v>
      </c>
      <c r="D4" s="555" t="s">
        <v>4100</v>
      </c>
      <c r="E4" s="556" t="s">
        <v>84</v>
      </c>
      <c r="F4" s="556"/>
      <c r="G4" s="556"/>
      <c r="H4" s="557" t="s">
        <v>35</v>
      </c>
      <c r="I4" s="558">
        <v>34.799999999999997</v>
      </c>
      <c r="J4" s="559" t="s">
        <v>37</v>
      </c>
      <c r="K4" s="560">
        <v>1.83E-2</v>
      </c>
      <c r="L4" s="561" t="s">
        <v>3044</v>
      </c>
      <c r="M4" s="562"/>
      <c r="N4" s="472"/>
    </row>
    <row r="5" spans="2:14">
      <c r="B5" s="1259"/>
      <c r="C5" s="554" t="s">
        <v>4178</v>
      </c>
      <c r="D5" s="555" t="s">
        <v>4100</v>
      </c>
      <c r="E5" s="256" t="s">
        <v>85</v>
      </c>
      <c r="F5" s="256"/>
      <c r="G5" s="256"/>
      <c r="H5" s="563" t="s">
        <v>35</v>
      </c>
      <c r="I5" s="564">
        <v>33.4</v>
      </c>
      <c r="J5" s="565" t="s">
        <v>37</v>
      </c>
      <c r="K5" s="566">
        <v>1.8700000000000001E-2</v>
      </c>
      <c r="L5" s="567" t="s">
        <v>3044</v>
      </c>
    </row>
    <row r="6" spans="2:14">
      <c r="B6" s="1259"/>
      <c r="C6" s="554" t="s">
        <v>38</v>
      </c>
      <c r="D6" s="555" t="s">
        <v>4100</v>
      </c>
      <c r="E6" s="256" t="s">
        <v>38</v>
      </c>
      <c r="F6" s="256"/>
      <c r="G6" s="256"/>
      <c r="H6" s="563" t="s">
        <v>35</v>
      </c>
      <c r="I6" s="564">
        <v>33.299999999999997</v>
      </c>
      <c r="J6" s="565" t="s">
        <v>37</v>
      </c>
      <c r="K6" s="566">
        <v>1.8599999999999998E-2</v>
      </c>
      <c r="L6" s="567" t="s">
        <v>3044</v>
      </c>
    </row>
    <row r="7" spans="2:14">
      <c r="B7" s="1259"/>
      <c r="C7" s="554" t="s">
        <v>4179</v>
      </c>
      <c r="D7" s="555" t="s">
        <v>4100</v>
      </c>
      <c r="E7" s="256" t="s">
        <v>4099</v>
      </c>
      <c r="F7" s="256"/>
      <c r="G7" s="256"/>
      <c r="H7" s="563" t="s">
        <v>35</v>
      </c>
      <c r="I7" s="564">
        <v>36.299999999999997</v>
      </c>
      <c r="J7" s="565" t="s">
        <v>37</v>
      </c>
      <c r="K7" s="566">
        <v>1.8599999999999998E-2</v>
      </c>
      <c r="L7" s="567" t="s">
        <v>3044</v>
      </c>
    </row>
    <row r="8" spans="2:14">
      <c r="B8" s="1259"/>
      <c r="C8" s="554" t="s">
        <v>39</v>
      </c>
      <c r="D8" s="555" t="s">
        <v>4100</v>
      </c>
      <c r="E8" s="256" t="s">
        <v>39</v>
      </c>
      <c r="F8" s="256"/>
      <c r="G8" s="256"/>
      <c r="H8" s="563" t="s">
        <v>35</v>
      </c>
      <c r="I8" s="564">
        <v>36.5</v>
      </c>
      <c r="J8" s="565" t="s">
        <v>37</v>
      </c>
      <c r="K8" s="566">
        <v>1.8700000000000001E-2</v>
      </c>
      <c r="L8" s="567" t="s">
        <v>3044</v>
      </c>
    </row>
    <row r="9" spans="2:14">
      <c r="B9" s="1259"/>
      <c r="C9" s="554" t="s">
        <v>40</v>
      </c>
      <c r="D9" s="555" t="s">
        <v>4100</v>
      </c>
      <c r="E9" s="256" t="s">
        <v>40</v>
      </c>
      <c r="F9" s="256"/>
      <c r="G9" s="256"/>
      <c r="H9" s="563" t="s">
        <v>35</v>
      </c>
      <c r="I9" s="564">
        <v>38</v>
      </c>
      <c r="J9" s="565" t="s">
        <v>37</v>
      </c>
      <c r="K9" s="566">
        <v>1.8800000000000001E-2</v>
      </c>
      <c r="L9" s="567" t="s">
        <v>3044</v>
      </c>
    </row>
    <row r="10" spans="2:14">
      <c r="B10" s="1259"/>
      <c r="C10" s="554" t="s">
        <v>4247</v>
      </c>
      <c r="D10" s="555" t="s">
        <v>4100</v>
      </c>
      <c r="E10" s="256" t="s">
        <v>41</v>
      </c>
      <c r="F10" s="256"/>
      <c r="G10" s="256"/>
      <c r="H10" s="563" t="s">
        <v>35</v>
      </c>
      <c r="I10" s="564">
        <v>38.9</v>
      </c>
      <c r="J10" s="565" t="s">
        <v>37</v>
      </c>
      <c r="K10" s="566">
        <v>1.9300000000000001E-2</v>
      </c>
      <c r="L10" s="567" t="s">
        <v>3044</v>
      </c>
    </row>
    <row r="11" spans="2:14">
      <c r="B11" s="1259"/>
      <c r="C11" s="554" t="s">
        <v>42</v>
      </c>
      <c r="D11" s="555" t="s">
        <v>4100</v>
      </c>
      <c r="E11" s="256" t="s">
        <v>42</v>
      </c>
      <c r="F11" s="256"/>
      <c r="G11" s="256"/>
      <c r="H11" s="563" t="s">
        <v>35</v>
      </c>
      <c r="I11" s="564">
        <v>41.8</v>
      </c>
      <c r="J11" s="565" t="s">
        <v>37</v>
      </c>
      <c r="K11" s="566">
        <v>2.0199999999999999E-2</v>
      </c>
      <c r="L11" s="567" t="s">
        <v>3044</v>
      </c>
    </row>
    <row r="12" spans="2:14">
      <c r="B12" s="1259"/>
      <c r="C12" s="554" t="s">
        <v>43</v>
      </c>
      <c r="D12" s="555" t="s">
        <v>4100</v>
      </c>
      <c r="E12" s="256" t="s">
        <v>43</v>
      </c>
      <c r="F12" s="256"/>
      <c r="G12" s="256"/>
      <c r="H12" s="563" t="s">
        <v>44</v>
      </c>
      <c r="I12" s="564">
        <v>40</v>
      </c>
      <c r="J12" s="565" t="s">
        <v>45</v>
      </c>
      <c r="K12" s="566">
        <v>2.0400000000000001E-2</v>
      </c>
      <c r="L12" s="567" t="s">
        <v>3044</v>
      </c>
    </row>
    <row r="13" spans="2:14">
      <c r="B13" s="1259"/>
      <c r="C13" s="554" t="s">
        <v>46</v>
      </c>
      <c r="D13" s="555" t="s">
        <v>4100</v>
      </c>
      <c r="E13" s="256" t="s">
        <v>46</v>
      </c>
      <c r="F13" s="256"/>
      <c r="G13" s="256"/>
      <c r="H13" s="563" t="s">
        <v>44</v>
      </c>
      <c r="I13" s="564">
        <v>34.1</v>
      </c>
      <c r="J13" s="565" t="s">
        <v>45</v>
      </c>
      <c r="K13" s="566">
        <v>2.4500000000000001E-2</v>
      </c>
      <c r="L13" s="567" t="s">
        <v>3044</v>
      </c>
    </row>
    <row r="14" spans="2:14">
      <c r="B14" s="1259"/>
      <c r="C14" s="554" t="s">
        <v>4180</v>
      </c>
      <c r="D14" s="555" t="s">
        <v>4100</v>
      </c>
      <c r="E14" s="1271" t="s">
        <v>47</v>
      </c>
      <c r="F14" s="322" t="s">
        <v>48</v>
      </c>
      <c r="G14" s="256"/>
      <c r="H14" s="563" t="s">
        <v>44</v>
      </c>
      <c r="I14" s="564">
        <v>50.1</v>
      </c>
      <c r="J14" s="565" t="s">
        <v>45</v>
      </c>
      <c r="K14" s="566">
        <v>1.6299999999999999E-2</v>
      </c>
      <c r="L14" s="567" t="s">
        <v>3044</v>
      </c>
    </row>
    <row r="15" spans="2:14" ht="18" customHeight="1">
      <c r="B15" s="1259"/>
      <c r="C15" s="554" t="s">
        <v>4181</v>
      </c>
      <c r="D15" s="555" t="s">
        <v>4100</v>
      </c>
      <c r="E15" s="1272"/>
      <c r="F15" s="322" t="s">
        <v>49</v>
      </c>
      <c r="G15" s="256"/>
      <c r="H15" s="568" t="s">
        <v>4248</v>
      </c>
      <c r="I15" s="564">
        <v>46.1</v>
      </c>
      <c r="J15" s="565" t="s">
        <v>53</v>
      </c>
      <c r="K15" s="566">
        <v>1.44E-2</v>
      </c>
      <c r="L15" s="567" t="s">
        <v>3044</v>
      </c>
    </row>
    <row r="16" spans="2:14" ht="17.399999999999999" customHeight="1">
      <c r="B16" s="1259"/>
      <c r="C16" s="554" t="s">
        <v>4182</v>
      </c>
      <c r="D16" s="555" t="s">
        <v>4100</v>
      </c>
      <c r="E16" s="1271" t="s">
        <v>50</v>
      </c>
      <c r="F16" s="322" t="s">
        <v>51</v>
      </c>
      <c r="G16" s="256"/>
      <c r="H16" s="563" t="s">
        <v>44</v>
      </c>
      <c r="I16" s="564">
        <v>54.7</v>
      </c>
      <c r="J16" s="565" t="s">
        <v>45</v>
      </c>
      <c r="K16" s="566">
        <v>1.3899999999999999E-2</v>
      </c>
      <c r="L16" s="567" t="s">
        <v>3044</v>
      </c>
    </row>
    <row r="17" spans="2:12">
      <c r="B17" s="1259"/>
      <c r="C17" s="554" t="s">
        <v>52</v>
      </c>
      <c r="D17" s="555" t="s">
        <v>4100</v>
      </c>
      <c r="E17" s="1272"/>
      <c r="F17" s="322" t="s">
        <v>52</v>
      </c>
      <c r="G17" s="256"/>
      <c r="H17" s="568" t="s">
        <v>4248</v>
      </c>
      <c r="I17" s="564">
        <v>38.4</v>
      </c>
      <c r="J17" s="565" t="s">
        <v>53</v>
      </c>
      <c r="K17" s="566">
        <v>1.3899999999999999E-2</v>
      </c>
      <c r="L17" s="567" t="s">
        <v>3044</v>
      </c>
    </row>
    <row r="18" spans="2:12">
      <c r="B18" s="1259"/>
      <c r="C18" s="554" t="s">
        <v>4103</v>
      </c>
      <c r="D18" s="555" t="s">
        <v>4100</v>
      </c>
      <c r="E18" s="1273" t="s">
        <v>54</v>
      </c>
      <c r="F18" s="1276" t="s">
        <v>4104</v>
      </c>
      <c r="G18" s="322" t="s">
        <v>4103</v>
      </c>
      <c r="H18" s="563" t="s">
        <v>44</v>
      </c>
      <c r="I18" s="564">
        <v>28.7</v>
      </c>
      <c r="J18" s="565" t="s">
        <v>45</v>
      </c>
      <c r="K18" s="566">
        <v>2.46E-2</v>
      </c>
      <c r="L18" s="567" t="s">
        <v>3044</v>
      </c>
    </row>
    <row r="19" spans="2:12">
      <c r="B19" s="1259"/>
      <c r="C19" s="554" t="s">
        <v>4105</v>
      </c>
      <c r="D19" s="555" t="s">
        <v>4100</v>
      </c>
      <c r="E19" s="1274"/>
      <c r="F19" s="1277"/>
      <c r="G19" s="322" t="s">
        <v>4105</v>
      </c>
      <c r="H19" s="563" t="s">
        <v>44</v>
      </c>
      <c r="I19" s="564">
        <v>28.9</v>
      </c>
      <c r="J19" s="565" t="s">
        <v>45</v>
      </c>
      <c r="K19" s="566">
        <v>2.4500000000000001E-2</v>
      </c>
      <c r="L19" s="567" t="s">
        <v>3044</v>
      </c>
    </row>
    <row r="20" spans="2:12">
      <c r="B20" s="1259"/>
      <c r="C20" s="554" t="s">
        <v>4106</v>
      </c>
      <c r="D20" s="555" t="s">
        <v>4100</v>
      </c>
      <c r="E20" s="1274"/>
      <c r="F20" s="1278"/>
      <c r="G20" s="322" t="s">
        <v>4106</v>
      </c>
      <c r="H20" s="563" t="s">
        <v>44</v>
      </c>
      <c r="I20" s="564">
        <v>28.3</v>
      </c>
      <c r="J20" s="565" t="s">
        <v>45</v>
      </c>
      <c r="K20" s="566">
        <v>2.5100000000000001E-2</v>
      </c>
      <c r="L20" s="567" t="s">
        <v>3044</v>
      </c>
    </row>
    <row r="21" spans="2:12">
      <c r="B21" s="1259"/>
      <c r="C21" s="554" t="s">
        <v>4108</v>
      </c>
      <c r="D21" s="555" t="s">
        <v>4100</v>
      </c>
      <c r="E21" s="1274"/>
      <c r="F21" s="1276" t="s">
        <v>4107</v>
      </c>
      <c r="G21" s="322" t="s">
        <v>4108</v>
      </c>
      <c r="H21" s="563" t="s">
        <v>44</v>
      </c>
      <c r="I21" s="564">
        <v>26.1</v>
      </c>
      <c r="J21" s="565" t="s">
        <v>45</v>
      </c>
      <c r="K21" s="566">
        <v>2.4299999999999999E-2</v>
      </c>
      <c r="L21" s="567" t="s">
        <v>3044</v>
      </c>
    </row>
    <row r="22" spans="2:12">
      <c r="B22" s="1259"/>
      <c r="C22" s="554" t="s">
        <v>4109</v>
      </c>
      <c r="D22" s="555" t="s">
        <v>4100</v>
      </c>
      <c r="E22" s="1274"/>
      <c r="F22" s="1278"/>
      <c r="G22" s="322" t="s">
        <v>4109</v>
      </c>
      <c r="H22" s="563" t="s">
        <v>44</v>
      </c>
      <c r="I22" s="564">
        <v>24.2</v>
      </c>
      <c r="J22" s="565" t="s">
        <v>45</v>
      </c>
      <c r="K22" s="566">
        <v>2.4199999999999999E-2</v>
      </c>
      <c r="L22" s="567" t="s">
        <v>3044</v>
      </c>
    </row>
    <row r="23" spans="2:12">
      <c r="B23" s="1259"/>
      <c r="C23" s="554" t="s">
        <v>4110</v>
      </c>
      <c r="D23" s="555" t="s">
        <v>4100</v>
      </c>
      <c r="E23" s="1275"/>
      <c r="F23" s="569" t="s">
        <v>4110</v>
      </c>
      <c r="G23" s="570"/>
      <c r="H23" s="563" t="s">
        <v>44</v>
      </c>
      <c r="I23" s="564">
        <v>27.8</v>
      </c>
      <c r="J23" s="565" t="s">
        <v>45</v>
      </c>
      <c r="K23" s="566">
        <v>2.5899999999999999E-2</v>
      </c>
      <c r="L23" s="567" t="s">
        <v>3044</v>
      </c>
    </row>
    <row r="24" spans="2:12">
      <c r="B24" s="1259"/>
      <c r="C24" s="554" t="s">
        <v>55</v>
      </c>
      <c r="D24" s="555" t="s">
        <v>4100</v>
      </c>
      <c r="E24" s="256" t="s">
        <v>55</v>
      </c>
      <c r="F24" s="556"/>
      <c r="G24" s="556"/>
      <c r="H24" s="563" t="s">
        <v>44</v>
      </c>
      <c r="I24" s="564">
        <v>29</v>
      </c>
      <c r="J24" s="565" t="s">
        <v>45</v>
      </c>
      <c r="K24" s="566">
        <v>2.9899999999999999E-2</v>
      </c>
      <c r="L24" s="567" t="s">
        <v>3044</v>
      </c>
    </row>
    <row r="25" spans="2:12">
      <c r="B25" s="1259"/>
      <c r="C25" s="554" t="s">
        <v>56</v>
      </c>
      <c r="D25" s="555" t="s">
        <v>4100</v>
      </c>
      <c r="E25" s="256" t="s">
        <v>56</v>
      </c>
      <c r="F25" s="256"/>
      <c r="G25" s="256"/>
      <c r="H25" s="563" t="s">
        <v>44</v>
      </c>
      <c r="I25" s="564">
        <v>37.299999999999997</v>
      </c>
      <c r="J25" s="565" t="s">
        <v>45</v>
      </c>
      <c r="K25" s="566">
        <v>2.0899999999999998E-2</v>
      </c>
      <c r="L25" s="567" t="s">
        <v>3044</v>
      </c>
    </row>
    <row r="26" spans="2:12">
      <c r="B26" s="1259"/>
      <c r="C26" s="554" t="s">
        <v>57</v>
      </c>
      <c r="D26" s="555" t="s">
        <v>4100</v>
      </c>
      <c r="E26" s="256" t="s">
        <v>57</v>
      </c>
      <c r="F26" s="256"/>
      <c r="G26" s="256"/>
      <c r="H26" s="568" t="s">
        <v>4248</v>
      </c>
      <c r="I26" s="564">
        <v>18.399999999999999</v>
      </c>
      <c r="J26" s="565" t="s">
        <v>53</v>
      </c>
      <c r="K26" s="566">
        <v>1.09E-2</v>
      </c>
      <c r="L26" s="567" t="s">
        <v>3044</v>
      </c>
    </row>
    <row r="27" spans="2:12">
      <c r="B27" s="1259"/>
      <c r="C27" s="554" t="s">
        <v>58</v>
      </c>
      <c r="D27" s="555" t="s">
        <v>4100</v>
      </c>
      <c r="E27" s="256" t="s">
        <v>58</v>
      </c>
      <c r="F27" s="256"/>
      <c r="G27" s="256"/>
      <c r="H27" s="568" t="s">
        <v>4248</v>
      </c>
      <c r="I27" s="571">
        <v>3.23</v>
      </c>
      <c r="J27" s="565" t="s">
        <v>53</v>
      </c>
      <c r="K27" s="566">
        <v>2.64E-2</v>
      </c>
      <c r="L27" s="567" t="s">
        <v>3044</v>
      </c>
    </row>
    <row r="28" spans="2:12">
      <c r="B28" s="1259"/>
      <c r="C28" s="554" t="s">
        <v>4111</v>
      </c>
      <c r="D28" s="555" t="s">
        <v>4100</v>
      </c>
      <c r="E28" s="570" t="s">
        <v>4111</v>
      </c>
      <c r="F28" s="572"/>
      <c r="G28" s="572"/>
      <c r="H28" s="568" t="s">
        <v>4248</v>
      </c>
      <c r="I28" s="571">
        <v>3.45</v>
      </c>
      <c r="J28" s="565" t="s">
        <v>53</v>
      </c>
      <c r="K28" s="566">
        <v>2.64E-2</v>
      </c>
      <c r="L28" s="567" t="s">
        <v>3044</v>
      </c>
    </row>
    <row r="29" spans="2:12">
      <c r="B29" s="1259"/>
      <c r="C29" s="554" t="s">
        <v>59</v>
      </c>
      <c r="D29" s="555" t="s">
        <v>4100</v>
      </c>
      <c r="E29" s="256" t="s">
        <v>59</v>
      </c>
      <c r="F29" s="256"/>
      <c r="G29" s="256"/>
      <c r="H29" s="568" t="s">
        <v>4248</v>
      </c>
      <c r="I29" s="571">
        <v>7.53</v>
      </c>
      <c r="J29" s="565" t="s">
        <v>53</v>
      </c>
      <c r="K29" s="566">
        <v>4.2000000000000003E-2</v>
      </c>
      <c r="L29" s="567" t="s">
        <v>3044</v>
      </c>
    </row>
    <row r="30" spans="2:12">
      <c r="B30" s="1259"/>
      <c r="C30" s="554" t="s">
        <v>4184</v>
      </c>
      <c r="D30" s="555" t="s">
        <v>4100</v>
      </c>
      <c r="E30" s="256" t="s">
        <v>60</v>
      </c>
      <c r="F30" s="256"/>
      <c r="G30" s="256"/>
      <c r="H30" s="573" t="s">
        <v>4169</v>
      </c>
      <c r="I30" s="574">
        <v>45</v>
      </c>
      <c r="J30" s="575" t="s">
        <v>4249</v>
      </c>
      <c r="K30" s="566">
        <v>1.4E-2</v>
      </c>
      <c r="L30" s="567" t="s">
        <v>4222</v>
      </c>
    </row>
    <row r="31" spans="2:12">
      <c r="B31" s="1260"/>
      <c r="C31" s="576" t="s">
        <v>4185</v>
      </c>
      <c r="D31" s="577" t="s">
        <v>4100</v>
      </c>
      <c r="E31" s="578" t="s">
        <v>3043</v>
      </c>
      <c r="F31" s="578"/>
      <c r="G31" s="578"/>
      <c r="H31" s="579" t="s">
        <v>61</v>
      </c>
      <c r="I31" s="580">
        <v>1.19</v>
      </c>
      <c r="J31" s="581" t="s">
        <v>62</v>
      </c>
      <c r="K31" s="582" t="s">
        <v>4183</v>
      </c>
      <c r="L31" s="583"/>
    </row>
    <row r="32" spans="2:12" ht="17.399999999999999" customHeight="1">
      <c r="B32" s="1250" t="s">
        <v>4124</v>
      </c>
      <c r="C32" s="547" t="s">
        <v>4125</v>
      </c>
      <c r="D32" s="548" t="s">
        <v>4101</v>
      </c>
      <c r="E32" s="584" t="s">
        <v>4125</v>
      </c>
      <c r="F32" s="584"/>
      <c r="G32" s="584"/>
      <c r="H32" s="585" t="s">
        <v>4112</v>
      </c>
      <c r="I32" s="586">
        <v>13.6</v>
      </c>
      <c r="J32" s="551" t="s">
        <v>4126</v>
      </c>
      <c r="K32" s="587" t="s">
        <v>4183</v>
      </c>
      <c r="L32" s="588"/>
    </row>
    <row r="33" spans="2:12">
      <c r="B33" s="1251"/>
      <c r="C33" s="554" t="s">
        <v>4127</v>
      </c>
      <c r="D33" s="555" t="s">
        <v>4101</v>
      </c>
      <c r="E33" s="589" t="s">
        <v>4127</v>
      </c>
      <c r="F33" s="589"/>
      <c r="G33" s="589"/>
      <c r="H33" s="590" t="s">
        <v>4112</v>
      </c>
      <c r="I33" s="591">
        <v>13.2</v>
      </c>
      <c r="J33" s="565" t="s">
        <v>4126</v>
      </c>
      <c r="K33" s="582" t="s">
        <v>4183</v>
      </c>
      <c r="L33" s="583"/>
    </row>
    <row r="34" spans="2:12">
      <c r="B34" s="1251"/>
      <c r="C34" s="554" t="s">
        <v>4128</v>
      </c>
      <c r="D34" s="555" t="s">
        <v>4101</v>
      </c>
      <c r="E34" s="589" t="s">
        <v>4128</v>
      </c>
      <c r="F34" s="589"/>
      <c r="G34" s="589"/>
      <c r="H34" s="590" t="s">
        <v>4112</v>
      </c>
      <c r="I34" s="591">
        <v>17.100000000000001</v>
      </c>
      <c r="J34" s="565" t="s">
        <v>4126</v>
      </c>
      <c r="K34" s="582" t="s">
        <v>4183</v>
      </c>
      <c r="L34" s="583"/>
    </row>
    <row r="35" spans="2:12">
      <c r="B35" s="1251"/>
      <c r="C35" s="554" t="s">
        <v>4129</v>
      </c>
      <c r="D35" s="555" t="s">
        <v>4101</v>
      </c>
      <c r="E35" s="589" t="s">
        <v>4129</v>
      </c>
      <c r="F35" s="589"/>
      <c r="G35" s="589"/>
      <c r="H35" s="590" t="s">
        <v>4113</v>
      </c>
      <c r="I35" s="591">
        <v>23.4</v>
      </c>
      <c r="J35" s="565" t="s">
        <v>4130</v>
      </c>
      <c r="K35" s="582" t="s">
        <v>4183</v>
      </c>
      <c r="L35" s="583"/>
    </row>
    <row r="36" spans="2:12">
      <c r="B36" s="1251"/>
      <c r="C36" s="554" t="s">
        <v>4131</v>
      </c>
      <c r="D36" s="555" t="s">
        <v>4101</v>
      </c>
      <c r="E36" s="589" t="s">
        <v>4131</v>
      </c>
      <c r="F36" s="589"/>
      <c r="G36" s="589"/>
      <c r="H36" s="590" t="s">
        <v>4113</v>
      </c>
      <c r="I36" s="591">
        <v>35.6</v>
      </c>
      <c r="J36" s="565" t="s">
        <v>4130</v>
      </c>
      <c r="K36" s="582" t="s">
        <v>4183</v>
      </c>
      <c r="L36" s="583"/>
    </row>
    <row r="37" spans="2:12">
      <c r="B37" s="1251"/>
      <c r="C37" s="554" t="s">
        <v>4132</v>
      </c>
      <c r="D37" s="555" t="s">
        <v>4101</v>
      </c>
      <c r="E37" s="589" t="s">
        <v>4132</v>
      </c>
      <c r="F37" s="589"/>
      <c r="G37" s="589"/>
      <c r="H37" s="590" t="s">
        <v>4114</v>
      </c>
      <c r="I37" s="591">
        <v>21.2</v>
      </c>
      <c r="J37" s="565" t="s">
        <v>4133</v>
      </c>
      <c r="K37" s="582" t="s">
        <v>4183</v>
      </c>
      <c r="L37" s="583"/>
    </row>
    <row r="38" spans="2:12">
      <c r="B38" s="1251"/>
      <c r="C38" s="554" t="s">
        <v>4134</v>
      </c>
      <c r="D38" s="555" t="s">
        <v>4101</v>
      </c>
      <c r="E38" s="589" t="s">
        <v>4134</v>
      </c>
      <c r="F38" s="589"/>
      <c r="G38" s="589"/>
      <c r="H38" s="590" t="s">
        <v>4112</v>
      </c>
      <c r="I38" s="591">
        <v>13.2</v>
      </c>
      <c r="J38" s="565" t="s">
        <v>4126</v>
      </c>
      <c r="K38" s="582" t="s">
        <v>4183</v>
      </c>
      <c r="L38" s="583"/>
    </row>
    <row r="39" spans="2:12">
      <c r="B39" s="1251"/>
      <c r="C39" s="554" t="s">
        <v>4135</v>
      </c>
      <c r="D39" s="555" t="s">
        <v>4101</v>
      </c>
      <c r="E39" s="589" t="s">
        <v>4135</v>
      </c>
      <c r="F39" s="589"/>
      <c r="G39" s="589"/>
      <c r="H39" s="590" t="s">
        <v>4112</v>
      </c>
      <c r="I39" s="591">
        <v>18</v>
      </c>
      <c r="J39" s="565" t="s">
        <v>4126</v>
      </c>
      <c r="K39" s="566">
        <v>1.6199999999999999E-2</v>
      </c>
      <c r="L39" s="565" t="s">
        <v>3044</v>
      </c>
    </row>
    <row r="40" spans="2:12">
      <c r="B40" s="1251"/>
      <c r="C40" s="554" t="s">
        <v>4136</v>
      </c>
      <c r="D40" s="555" t="s">
        <v>4101</v>
      </c>
      <c r="E40" s="589" t="s">
        <v>4136</v>
      </c>
      <c r="F40" s="589"/>
      <c r="G40" s="589"/>
      <c r="H40" s="590" t="s">
        <v>4112</v>
      </c>
      <c r="I40" s="591">
        <v>26.9</v>
      </c>
      <c r="J40" s="565" t="s">
        <v>4126</v>
      </c>
      <c r="K40" s="566">
        <v>1.66E-2</v>
      </c>
      <c r="L40" s="565" t="s">
        <v>3044</v>
      </c>
    </row>
    <row r="41" spans="2:12">
      <c r="B41" s="1251"/>
      <c r="C41" s="554" t="s">
        <v>4137</v>
      </c>
      <c r="D41" s="555" t="s">
        <v>4101</v>
      </c>
      <c r="E41" s="589" t="s">
        <v>4137</v>
      </c>
      <c r="F41" s="592"/>
      <c r="G41" s="592"/>
      <c r="H41" s="593" t="s">
        <v>4112</v>
      </c>
      <c r="I41" s="594">
        <v>33.200000000000003</v>
      </c>
      <c r="J41" s="565" t="s">
        <v>4126</v>
      </c>
      <c r="K41" s="566">
        <v>1.35E-2</v>
      </c>
      <c r="L41" s="565" t="s">
        <v>3044</v>
      </c>
    </row>
    <row r="42" spans="2:12" ht="17.399999999999999" customHeight="1">
      <c r="B42" s="1251"/>
      <c r="C42" s="554" t="s">
        <v>4186</v>
      </c>
      <c r="D42" s="555" t="s">
        <v>4101</v>
      </c>
      <c r="E42" s="1253" t="s">
        <v>4138</v>
      </c>
      <c r="F42" s="595" t="s">
        <v>4115</v>
      </c>
      <c r="G42" s="592"/>
      <c r="H42" s="593" t="s">
        <v>4112</v>
      </c>
      <c r="I42" s="594">
        <v>29.3</v>
      </c>
      <c r="J42" s="565" t="s">
        <v>4126</v>
      </c>
      <c r="K42" s="566">
        <v>2.5700000000000001E-2</v>
      </c>
      <c r="L42" s="565" t="s">
        <v>3044</v>
      </c>
    </row>
    <row r="43" spans="2:12">
      <c r="B43" s="1251"/>
      <c r="C43" s="554" t="s">
        <v>4187</v>
      </c>
      <c r="D43" s="555" t="s">
        <v>4101</v>
      </c>
      <c r="E43" s="1254"/>
      <c r="F43" s="595" t="s">
        <v>4116</v>
      </c>
      <c r="G43" s="592"/>
      <c r="H43" s="593" t="s">
        <v>4112</v>
      </c>
      <c r="I43" s="594">
        <v>29.3</v>
      </c>
      <c r="J43" s="565" t="s">
        <v>4126</v>
      </c>
      <c r="K43" s="566">
        <v>2.3900000000000001E-2</v>
      </c>
      <c r="L43" s="565" t="s">
        <v>3044</v>
      </c>
    </row>
    <row r="44" spans="2:12">
      <c r="B44" s="1251"/>
      <c r="C44" s="554" t="s">
        <v>4139</v>
      </c>
      <c r="D44" s="555" t="s">
        <v>4101</v>
      </c>
      <c r="E44" s="589" t="s">
        <v>4139</v>
      </c>
      <c r="F44" s="592"/>
      <c r="G44" s="592"/>
      <c r="H44" s="593" t="s">
        <v>4113</v>
      </c>
      <c r="I44" s="594">
        <v>40.200000000000003</v>
      </c>
      <c r="J44" s="565" t="s">
        <v>4130</v>
      </c>
      <c r="K44" s="566">
        <v>1.7899999999999999E-2</v>
      </c>
      <c r="L44" s="565" t="s">
        <v>3044</v>
      </c>
    </row>
    <row r="45" spans="2:12">
      <c r="B45" s="1251"/>
      <c r="C45" s="554" t="s">
        <v>4140</v>
      </c>
      <c r="D45" s="555" t="s">
        <v>4101</v>
      </c>
      <c r="E45" s="589" t="s">
        <v>4140</v>
      </c>
      <c r="F45" s="589"/>
      <c r="G45" s="589"/>
      <c r="H45" s="590" t="s">
        <v>4114</v>
      </c>
      <c r="I45" s="591">
        <v>21.2</v>
      </c>
      <c r="J45" s="565" t="s">
        <v>4133</v>
      </c>
      <c r="K45" s="582" t="s">
        <v>4183</v>
      </c>
      <c r="L45" s="583"/>
    </row>
    <row r="46" spans="2:12">
      <c r="B46" s="1251"/>
      <c r="C46" s="554" t="s">
        <v>4141</v>
      </c>
      <c r="D46" s="555" t="s">
        <v>4101</v>
      </c>
      <c r="E46" s="589" t="s">
        <v>4141</v>
      </c>
      <c r="F46" s="589"/>
      <c r="G46" s="589"/>
      <c r="H46" s="590" t="s">
        <v>4112</v>
      </c>
      <c r="I46" s="591">
        <v>17.100000000000001</v>
      </c>
      <c r="J46" s="565" t="s">
        <v>4126</v>
      </c>
      <c r="K46" s="582" t="s">
        <v>4183</v>
      </c>
      <c r="L46" s="583"/>
    </row>
    <row r="47" spans="2:12">
      <c r="B47" s="1251"/>
      <c r="C47" s="554" t="s">
        <v>4142</v>
      </c>
      <c r="D47" s="555" t="s">
        <v>4101</v>
      </c>
      <c r="E47" s="589" t="s">
        <v>4142</v>
      </c>
      <c r="F47" s="589"/>
      <c r="G47" s="589"/>
      <c r="H47" s="590" t="s">
        <v>4112</v>
      </c>
      <c r="I47" s="591">
        <v>142</v>
      </c>
      <c r="J47" s="565" t="s">
        <v>4126</v>
      </c>
      <c r="K47" s="582" t="s">
        <v>4183</v>
      </c>
      <c r="L47" s="583"/>
    </row>
    <row r="48" spans="2:12">
      <c r="B48" s="1252"/>
      <c r="C48" s="576" t="s">
        <v>4143</v>
      </c>
      <c r="D48" s="577" t="s">
        <v>4101</v>
      </c>
      <c r="E48" s="596" t="s">
        <v>4143</v>
      </c>
      <c r="F48" s="596"/>
      <c r="G48" s="596"/>
      <c r="H48" s="597" t="s">
        <v>4112</v>
      </c>
      <c r="I48" s="598">
        <v>22.5</v>
      </c>
      <c r="J48" s="581" t="s">
        <v>4126</v>
      </c>
      <c r="K48" s="582" t="s">
        <v>4183</v>
      </c>
      <c r="L48" s="583"/>
    </row>
    <row r="49" spans="2:12">
      <c r="B49" s="1255" t="s">
        <v>4144</v>
      </c>
      <c r="C49" s="599" t="s">
        <v>4188</v>
      </c>
      <c r="D49" s="600" t="s">
        <v>4144</v>
      </c>
      <c r="E49" s="255" t="s">
        <v>86</v>
      </c>
      <c r="F49" s="255"/>
      <c r="G49" s="255"/>
      <c r="H49" s="601" t="s">
        <v>61</v>
      </c>
      <c r="I49" s="602">
        <v>1.17</v>
      </c>
      <c r="J49" s="603" t="s">
        <v>62</v>
      </c>
      <c r="K49" s="604">
        <v>6.54E-2</v>
      </c>
      <c r="L49" s="603" t="s">
        <v>4502</v>
      </c>
    </row>
    <row r="50" spans="2:12">
      <c r="B50" s="1256"/>
      <c r="C50" s="605" t="s">
        <v>4189</v>
      </c>
      <c r="D50" s="606" t="s">
        <v>4144</v>
      </c>
      <c r="E50" s="256" t="s">
        <v>94</v>
      </c>
      <c r="F50" s="256"/>
      <c r="G50" s="256"/>
      <c r="H50" s="607" t="s">
        <v>61</v>
      </c>
      <c r="I50" s="608">
        <v>1.19</v>
      </c>
      <c r="J50" s="609" t="s">
        <v>62</v>
      </c>
      <c r="K50" s="582" t="s">
        <v>4183</v>
      </c>
      <c r="L50" s="583"/>
    </row>
    <row r="51" spans="2:12">
      <c r="B51" s="1256"/>
      <c r="C51" s="605" t="s">
        <v>4190</v>
      </c>
      <c r="D51" s="606" t="s">
        <v>4144</v>
      </c>
      <c r="E51" s="256" t="s">
        <v>63</v>
      </c>
      <c r="F51" s="256"/>
      <c r="G51" s="256"/>
      <c r="H51" s="607" t="s">
        <v>61</v>
      </c>
      <c r="I51" s="608">
        <v>1.19</v>
      </c>
      <c r="J51" s="609" t="s">
        <v>62</v>
      </c>
      <c r="K51" s="582" t="s">
        <v>4183</v>
      </c>
      <c r="L51" s="583"/>
    </row>
    <row r="52" spans="2:12">
      <c r="B52" s="1256"/>
      <c r="C52" s="605" t="s">
        <v>4191</v>
      </c>
      <c r="D52" s="606" t="s">
        <v>4144</v>
      </c>
      <c r="E52" s="256" t="s">
        <v>64</v>
      </c>
      <c r="F52" s="256"/>
      <c r="G52" s="256"/>
      <c r="H52" s="607" t="s">
        <v>61</v>
      </c>
      <c r="I52" s="608">
        <v>1.19</v>
      </c>
      <c r="J52" s="609" t="s">
        <v>62</v>
      </c>
      <c r="K52" s="582" t="s">
        <v>4183</v>
      </c>
      <c r="L52" s="583"/>
    </row>
    <row r="53" spans="2:12">
      <c r="B53" s="1256"/>
      <c r="C53" s="605" t="s">
        <v>4192</v>
      </c>
      <c r="D53" s="606" t="s">
        <v>4144</v>
      </c>
      <c r="E53" s="256" t="s">
        <v>86</v>
      </c>
      <c r="F53" s="256"/>
      <c r="G53" s="256"/>
      <c r="H53" s="607" t="s">
        <v>61</v>
      </c>
      <c r="I53" s="608">
        <v>1.17</v>
      </c>
      <c r="J53" s="609" t="s">
        <v>62</v>
      </c>
      <c r="K53" s="582" t="s">
        <v>4183</v>
      </c>
      <c r="L53" s="583"/>
    </row>
    <row r="54" spans="2:12">
      <c r="B54" s="1256"/>
      <c r="C54" s="605" t="s">
        <v>4193</v>
      </c>
      <c r="D54" s="606" t="s">
        <v>4144</v>
      </c>
      <c r="E54" s="256" t="s">
        <v>94</v>
      </c>
      <c r="F54" s="256"/>
      <c r="G54" s="256"/>
      <c r="H54" s="607" t="s">
        <v>61</v>
      </c>
      <c r="I54" s="608">
        <v>1.19</v>
      </c>
      <c r="J54" s="609" t="s">
        <v>62</v>
      </c>
      <c r="K54" s="582" t="s">
        <v>4183</v>
      </c>
      <c r="L54" s="583"/>
    </row>
    <row r="55" spans="2:12">
      <c r="B55" s="1256"/>
      <c r="C55" s="605" t="s">
        <v>4194</v>
      </c>
      <c r="D55" s="606" t="s">
        <v>4144</v>
      </c>
      <c r="E55" s="256" t="s">
        <v>63</v>
      </c>
      <c r="F55" s="256"/>
      <c r="G55" s="256"/>
      <c r="H55" s="607" t="s">
        <v>61</v>
      </c>
      <c r="I55" s="608">
        <v>1.19</v>
      </c>
      <c r="J55" s="609" t="s">
        <v>62</v>
      </c>
      <c r="K55" s="582" t="s">
        <v>4183</v>
      </c>
      <c r="L55" s="583"/>
    </row>
    <row r="56" spans="2:12">
      <c r="B56" s="1256"/>
      <c r="C56" s="605" t="s">
        <v>4195</v>
      </c>
      <c r="D56" s="606" t="s">
        <v>4144</v>
      </c>
      <c r="E56" s="256" t="s">
        <v>64</v>
      </c>
      <c r="F56" s="256"/>
      <c r="G56" s="256"/>
      <c r="H56" s="607" t="s">
        <v>61</v>
      </c>
      <c r="I56" s="608">
        <v>1.19</v>
      </c>
      <c r="J56" s="609" t="s">
        <v>4196</v>
      </c>
      <c r="K56" s="582" t="s">
        <v>4183</v>
      </c>
      <c r="L56" s="583"/>
    </row>
    <row r="57" spans="2:12" ht="18" customHeight="1">
      <c r="B57" s="1256"/>
      <c r="C57" s="605" t="s">
        <v>4146</v>
      </c>
      <c r="D57" s="606" t="s">
        <v>4144</v>
      </c>
      <c r="E57" s="256" t="s">
        <v>4146</v>
      </c>
      <c r="F57" s="256"/>
      <c r="G57" s="256"/>
      <c r="H57" s="607" t="s">
        <v>61</v>
      </c>
      <c r="I57" s="582" t="s">
        <v>4183</v>
      </c>
      <c r="J57" s="583"/>
      <c r="K57" s="582" t="s">
        <v>4183</v>
      </c>
      <c r="L57" s="583"/>
    </row>
    <row r="58" spans="2:12">
      <c r="B58" s="1256"/>
      <c r="C58" s="605" t="s">
        <v>4147</v>
      </c>
      <c r="D58" s="606" t="s">
        <v>4144</v>
      </c>
      <c r="E58" s="256" t="s">
        <v>4147</v>
      </c>
      <c r="F58" s="256"/>
      <c r="G58" s="256"/>
      <c r="H58" s="607" t="s">
        <v>61</v>
      </c>
      <c r="I58" s="582" t="s">
        <v>4183</v>
      </c>
      <c r="J58" s="583"/>
      <c r="K58" s="582" t="s">
        <v>4183</v>
      </c>
      <c r="L58" s="583"/>
    </row>
    <row r="59" spans="2:12" ht="17.399999999999999" customHeight="1">
      <c r="B59" s="1256"/>
      <c r="C59" s="605" t="s">
        <v>4148</v>
      </c>
      <c r="D59" s="606" t="s">
        <v>4144</v>
      </c>
      <c r="E59" s="256" t="s">
        <v>4148</v>
      </c>
      <c r="F59" s="256"/>
      <c r="G59" s="256"/>
      <c r="H59" s="607" t="s">
        <v>61</v>
      </c>
      <c r="I59" s="582" t="s">
        <v>4183</v>
      </c>
      <c r="J59" s="583"/>
      <c r="K59" s="582" t="s">
        <v>4183</v>
      </c>
      <c r="L59" s="583"/>
    </row>
    <row r="60" spans="2:12" ht="17.399999999999999" customHeight="1">
      <c r="B60" s="1257"/>
      <c r="C60" s="610" t="s">
        <v>4149</v>
      </c>
      <c r="D60" s="611" t="s">
        <v>4144</v>
      </c>
      <c r="E60" s="578" t="s">
        <v>4149</v>
      </c>
      <c r="F60" s="578"/>
      <c r="G60" s="578"/>
      <c r="H60" s="612" t="s">
        <v>61</v>
      </c>
      <c r="I60" s="613" t="s">
        <v>4183</v>
      </c>
      <c r="J60" s="614"/>
      <c r="K60" s="582" t="s">
        <v>4183</v>
      </c>
      <c r="L60" s="583"/>
    </row>
    <row r="61" spans="2:12" ht="17.399999999999999" customHeight="1">
      <c r="B61" s="1261" t="s">
        <v>4150</v>
      </c>
      <c r="C61" s="615" t="s">
        <v>4250</v>
      </c>
      <c r="D61" s="600" t="s">
        <v>4102</v>
      </c>
      <c r="E61" s="616" t="s">
        <v>4251</v>
      </c>
      <c r="F61" s="255"/>
      <c r="G61" s="255"/>
      <c r="H61" s="585" t="s">
        <v>4170</v>
      </c>
      <c r="I61" s="617">
        <v>8.64</v>
      </c>
      <c r="J61" s="618" t="s">
        <v>4151</v>
      </c>
      <c r="K61" s="587" t="s">
        <v>4183</v>
      </c>
      <c r="L61" s="588"/>
    </row>
    <row r="62" spans="2:12" ht="17.399999999999999" customHeight="1">
      <c r="B62" s="1262"/>
      <c r="C62" s="605" t="s">
        <v>4197</v>
      </c>
      <c r="D62" s="606" t="s">
        <v>4102</v>
      </c>
      <c r="E62" s="619" t="s">
        <v>87</v>
      </c>
      <c r="F62" s="256"/>
      <c r="G62" s="256"/>
      <c r="H62" s="590" t="s">
        <v>4170</v>
      </c>
      <c r="I62" s="620" t="s">
        <v>4183</v>
      </c>
      <c r="J62" s="583"/>
      <c r="K62" s="582" t="s">
        <v>4183</v>
      </c>
      <c r="L62" s="583"/>
    </row>
    <row r="63" spans="2:12" ht="17.399999999999999" customHeight="1">
      <c r="B63" s="1262"/>
      <c r="C63" s="605" t="s">
        <v>88</v>
      </c>
      <c r="D63" s="606" t="s">
        <v>4102</v>
      </c>
      <c r="E63" s="619" t="s">
        <v>88</v>
      </c>
      <c r="F63" s="256"/>
      <c r="G63" s="376"/>
      <c r="H63" s="590" t="s">
        <v>4170</v>
      </c>
      <c r="I63" s="621">
        <v>8.64</v>
      </c>
      <c r="J63" s="622" t="s">
        <v>4151</v>
      </c>
      <c r="K63" s="582" t="s">
        <v>4183</v>
      </c>
      <c r="L63" s="583"/>
    </row>
    <row r="64" spans="2:12" ht="17.399999999999999" customHeight="1">
      <c r="B64" s="1262"/>
      <c r="C64" s="623" t="s">
        <v>4198</v>
      </c>
      <c r="D64" s="624" t="s">
        <v>4102</v>
      </c>
      <c r="E64" s="1264" t="s">
        <v>4152</v>
      </c>
      <c r="F64" s="1279" t="s">
        <v>4153</v>
      </c>
      <c r="G64" s="625" t="s">
        <v>4154</v>
      </c>
      <c r="H64" s="626" t="s">
        <v>4170</v>
      </c>
      <c r="I64" s="627">
        <v>8.64</v>
      </c>
      <c r="J64" s="628" t="s">
        <v>4151</v>
      </c>
      <c r="K64" s="629" t="s">
        <v>4183</v>
      </c>
      <c r="L64" s="630"/>
    </row>
    <row r="65" spans="2:12" ht="17.399999999999999" customHeight="1">
      <c r="B65" s="1262"/>
      <c r="C65" s="605" t="s">
        <v>4199</v>
      </c>
      <c r="D65" s="606" t="s">
        <v>4102</v>
      </c>
      <c r="E65" s="1264"/>
      <c r="F65" s="1280"/>
      <c r="G65" s="631" t="s">
        <v>4155</v>
      </c>
      <c r="H65" s="590" t="s">
        <v>4170</v>
      </c>
      <c r="I65" s="621">
        <v>8.64</v>
      </c>
      <c r="J65" s="622" t="s">
        <v>4151</v>
      </c>
      <c r="K65" s="582" t="s">
        <v>4183</v>
      </c>
      <c r="L65" s="583"/>
    </row>
    <row r="66" spans="2:12" ht="17.399999999999999" customHeight="1">
      <c r="B66" s="1262"/>
      <c r="C66" s="605" t="s">
        <v>4200</v>
      </c>
      <c r="D66" s="606" t="s">
        <v>4102</v>
      </c>
      <c r="E66" s="1264"/>
      <c r="F66" s="1281" t="s">
        <v>4156</v>
      </c>
      <c r="G66" s="632" t="s">
        <v>4157</v>
      </c>
      <c r="H66" s="590" t="s">
        <v>4170</v>
      </c>
      <c r="I66" s="633">
        <v>3.6</v>
      </c>
      <c r="J66" s="622" t="s">
        <v>4151</v>
      </c>
      <c r="K66" s="582" t="s">
        <v>4183</v>
      </c>
      <c r="L66" s="583"/>
    </row>
    <row r="67" spans="2:12" ht="35">
      <c r="B67" s="1262"/>
      <c r="C67" s="605" t="s">
        <v>4201</v>
      </c>
      <c r="D67" s="606" t="s">
        <v>4102</v>
      </c>
      <c r="E67" s="1265"/>
      <c r="F67" s="1280"/>
      <c r="G67" s="632" t="s">
        <v>4158</v>
      </c>
      <c r="H67" s="590" t="s">
        <v>4170</v>
      </c>
      <c r="I67" s="633">
        <v>3.6</v>
      </c>
      <c r="J67" s="622" t="s">
        <v>4151</v>
      </c>
      <c r="K67" s="582" t="s">
        <v>4183</v>
      </c>
      <c r="L67" s="583"/>
    </row>
    <row r="68" spans="2:12">
      <c r="B68" s="1262"/>
      <c r="C68" s="605" t="s">
        <v>4202</v>
      </c>
      <c r="D68" s="606" t="s">
        <v>4102</v>
      </c>
      <c r="E68" s="1266" t="s">
        <v>4159</v>
      </c>
      <c r="F68" s="634" t="s">
        <v>4160</v>
      </c>
      <c r="G68" s="635"/>
      <c r="H68" s="590" t="s">
        <v>4170</v>
      </c>
      <c r="I68" s="633">
        <v>3.6</v>
      </c>
      <c r="J68" s="622" t="s">
        <v>4151</v>
      </c>
      <c r="K68" s="582" t="s">
        <v>4183</v>
      </c>
      <c r="L68" s="583"/>
    </row>
    <row r="69" spans="2:12" ht="17.399999999999999" customHeight="1">
      <c r="B69" s="1262"/>
      <c r="C69" s="605" t="s">
        <v>4203</v>
      </c>
      <c r="D69" s="606" t="s">
        <v>4102</v>
      </c>
      <c r="E69" s="1267"/>
      <c r="F69" s="1281" t="s">
        <v>4161</v>
      </c>
      <c r="G69" s="631" t="s">
        <v>4154</v>
      </c>
      <c r="H69" s="590" t="s">
        <v>4170</v>
      </c>
      <c r="I69" s="621">
        <v>8.64</v>
      </c>
      <c r="J69" s="622" t="s">
        <v>4151</v>
      </c>
      <c r="K69" s="582" t="s">
        <v>4183</v>
      </c>
      <c r="L69" s="583"/>
    </row>
    <row r="70" spans="2:12">
      <c r="B70" s="1262"/>
      <c r="C70" s="605" t="s">
        <v>4204</v>
      </c>
      <c r="D70" s="606" t="s">
        <v>4102</v>
      </c>
      <c r="E70" s="1282"/>
      <c r="F70" s="1280"/>
      <c r="G70" s="631" t="s">
        <v>4155</v>
      </c>
      <c r="H70" s="590" t="s">
        <v>4170</v>
      </c>
      <c r="I70" s="621">
        <v>8.64</v>
      </c>
      <c r="J70" s="622" t="s">
        <v>4151</v>
      </c>
      <c r="K70" s="582" t="s">
        <v>4183</v>
      </c>
      <c r="L70" s="583"/>
    </row>
    <row r="71" spans="2:12">
      <c r="B71" s="1262"/>
      <c r="C71" s="605" t="s">
        <v>4205</v>
      </c>
      <c r="D71" s="606" t="s">
        <v>4102</v>
      </c>
      <c r="E71" s="1266" t="s">
        <v>4162</v>
      </c>
      <c r="F71" s="636" t="s">
        <v>4160</v>
      </c>
      <c r="G71" s="635"/>
      <c r="H71" s="590" t="s">
        <v>4170</v>
      </c>
      <c r="I71" s="633">
        <v>3.6</v>
      </c>
      <c r="J71" s="622" t="s">
        <v>4151</v>
      </c>
      <c r="K71" s="582" t="s">
        <v>4183</v>
      </c>
      <c r="L71" s="583"/>
    </row>
    <row r="72" spans="2:12">
      <c r="B72" s="1262"/>
      <c r="C72" s="605" t="s">
        <v>4206</v>
      </c>
      <c r="D72" s="606" t="s">
        <v>4102</v>
      </c>
      <c r="E72" s="1267"/>
      <c r="F72" s="1281" t="s">
        <v>4161</v>
      </c>
      <c r="G72" s="631" t="s">
        <v>4154</v>
      </c>
      <c r="H72" s="590" t="s">
        <v>4170</v>
      </c>
      <c r="I72" s="621">
        <v>8.64</v>
      </c>
      <c r="J72" s="622" t="s">
        <v>4151</v>
      </c>
      <c r="K72" s="582" t="s">
        <v>4183</v>
      </c>
      <c r="L72" s="583"/>
    </row>
    <row r="73" spans="2:12">
      <c r="B73" s="1262"/>
      <c r="C73" s="605" t="s">
        <v>4207</v>
      </c>
      <c r="D73" s="606" t="s">
        <v>4102</v>
      </c>
      <c r="E73" s="1282"/>
      <c r="F73" s="1280"/>
      <c r="G73" s="631" t="s">
        <v>4155</v>
      </c>
      <c r="H73" s="590" t="s">
        <v>4170</v>
      </c>
      <c r="I73" s="621">
        <v>8.64</v>
      </c>
      <c r="J73" s="622" t="s">
        <v>4151</v>
      </c>
      <c r="K73" s="582" t="s">
        <v>4183</v>
      </c>
      <c r="L73" s="583"/>
    </row>
    <row r="74" spans="2:12">
      <c r="B74" s="1262"/>
      <c r="C74" s="605" t="s">
        <v>4208</v>
      </c>
      <c r="D74" s="606" t="s">
        <v>4102</v>
      </c>
      <c r="E74" s="1266" t="s">
        <v>4163</v>
      </c>
      <c r="F74" s="637" t="s">
        <v>4118</v>
      </c>
      <c r="G74" s="635"/>
      <c r="H74" s="590" t="s">
        <v>4170</v>
      </c>
      <c r="I74" s="633">
        <v>3.6</v>
      </c>
      <c r="J74" s="622" t="s">
        <v>4151</v>
      </c>
      <c r="K74" s="582" t="s">
        <v>4183</v>
      </c>
      <c r="L74" s="583"/>
    </row>
    <row r="75" spans="2:12">
      <c r="B75" s="1262"/>
      <c r="C75" s="605" t="s">
        <v>4209</v>
      </c>
      <c r="D75" s="606" t="s">
        <v>4102</v>
      </c>
      <c r="E75" s="1267"/>
      <c r="F75" s="637" t="s">
        <v>4120</v>
      </c>
      <c r="G75" s="635"/>
      <c r="H75" s="590" t="s">
        <v>4170</v>
      </c>
      <c r="I75" s="633">
        <v>3.6</v>
      </c>
      <c r="J75" s="622" t="s">
        <v>4151</v>
      </c>
      <c r="K75" s="582" t="s">
        <v>4183</v>
      </c>
      <c r="L75" s="583"/>
    </row>
    <row r="76" spans="2:12">
      <c r="B76" s="1262"/>
      <c r="C76" s="605" t="s">
        <v>4210</v>
      </c>
      <c r="D76" s="606" t="s">
        <v>4102</v>
      </c>
      <c r="E76" s="1267"/>
      <c r="F76" s="637" t="s">
        <v>4145</v>
      </c>
      <c r="G76" s="635"/>
      <c r="H76" s="590" t="s">
        <v>4170</v>
      </c>
      <c r="I76" s="633">
        <v>3.6</v>
      </c>
      <c r="J76" s="622" t="s">
        <v>4151</v>
      </c>
      <c r="K76" s="582" t="s">
        <v>4183</v>
      </c>
      <c r="L76" s="583"/>
    </row>
    <row r="77" spans="2:12">
      <c r="B77" s="1262"/>
      <c r="C77" s="605" t="s">
        <v>4211</v>
      </c>
      <c r="D77" s="606" t="s">
        <v>4102</v>
      </c>
      <c r="E77" s="1267"/>
      <c r="F77" s="637" t="s">
        <v>4119</v>
      </c>
      <c r="G77" s="635"/>
      <c r="H77" s="590" t="s">
        <v>4170</v>
      </c>
      <c r="I77" s="633">
        <v>3.6</v>
      </c>
      <c r="J77" s="622" t="s">
        <v>4151</v>
      </c>
      <c r="K77" s="582" t="s">
        <v>4183</v>
      </c>
      <c r="L77" s="583"/>
    </row>
    <row r="78" spans="2:12" ht="35">
      <c r="B78" s="1262"/>
      <c r="C78" s="605" t="s">
        <v>4212</v>
      </c>
      <c r="D78" s="606" t="s">
        <v>4102</v>
      </c>
      <c r="E78" s="1267"/>
      <c r="F78" s="1269" t="s">
        <v>4164</v>
      </c>
      <c r="G78" s="638" t="s">
        <v>4165</v>
      </c>
      <c r="H78" s="590" t="s">
        <v>4170</v>
      </c>
      <c r="I78" s="633">
        <v>3.6</v>
      </c>
      <c r="J78" s="622" t="s">
        <v>4151</v>
      </c>
      <c r="K78" s="582" t="s">
        <v>4183</v>
      </c>
      <c r="L78" s="583"/>
    </row>
    <row r="79" spans="2:12">
      <c r="B79" s="1263"/>
      <c r="C79" s="610" t="s">
        <v>4213</v>
      </c>
      <c r="D79" s="611" t="s">
        <v>4102</v>
      </c>
      <c r="E79" s="1268"/>
      <c r="F79" s="1270"/>
      <c r="G79" s="639" t="s">
        <v>4166</v>
      </c>
      <c r="H79" s="597" t="s">
        <v>4170</v>
      </c>
      <c r="I79" s="613" t="s">
        <v>4183</v>
      </c>
      <c r="J79" s="614"/>
      <c r="K79" s="613" t="s">
        <v>4183</v>
      </c>
      <c r="L79" s="614"/>
    </row>
    <row r="80" spans="2:12" ht="17.399999999999999" customHeight="1"/>
  </sheetData>
  <sheetProtection algorithmName="SHA-512" hashValue="7HnKmWFcYaBlpPQ5K4oYxYzn1qfuxdUfiptVOulAjV+8464nZZIvPQMe/+1OmQcd6D9ZAjNnClpQpmMcfNEm0w==" saltValue="syvPIf6MsqskyfwCDRhRfQ==" spinCount="100000" sheet="1" objects="1" scenarios="1"/>
  <mergeCells count="19">
    <mergeCell ref="F78:F79"/>
    <mergeCell ref="E14:E15"/>
    <mergeCell ref="E16:E17"/>
    <mergeCell ref="E18:E23"/>
    <mergeCell ref="F18:F20"/>
    <mergeCell ref="F21:F22"/>
    <mergeCell ref="F64:F65"/>
    <mergeCell ref="F66:F67"/>
    <mergeCell ref="E68:E70"/>
    <mergeCell ref="F69:F70"/>
    <mergeCell ref="E71:E73"/>
    <mergeCell ref="F72:F73"/>
    <mergeCell ref="B32:B48"/>
    <mergeCell ref="E42:E43"/>
    <mergeCell ref="B49:B60"/>
    <mergeCell ref="B3:B31"/>
    <mergeCell ref="B61:B79"/>
    <mergeCell ref="E64:E67"/>
    <mergeCell ref="E74:E79"/>
  </mergeCells>
  <phoneticPr fontId="1"/>
  <pageMargins left="0.36" right="0.70866141732283472" top="0.39370078740157483" bottom="0.19685039370078741" header="0.31496062992125984" footer="0.31496062992125984"/>
  <pageSetup paperSize="8" scale="85" fitToWidth="2"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2">
    <tabColor rgb="FFFF0000"/>
  </sheetPr>
  <dimension ref="A1:H1460"/>
  <sheetViews>
    <sheetView workbookViewId="0">
      <pane xSplit="8" ySplit="1" topLeftCell="I2" activePane="bottomRight" state="frozen"/>
      <selection pane="topRight" activeCell="I1" sqref="I1"/>
      <selection pane="bottomLeft" activeCell="A2" sqref="A2"/>
      <selection pane="bottomRight"/>
    </sheetView>
  </sheetViews>
  <sheetFormatPr defaultColWidth="8.90625" defaultRowHeight="17.5"/>
  <cols>
    <col min="1" max="1" width="8.90625" style="24"/>
    <col min="2" max="2" width="33.08984375" style="24" customWidth="1"/>
    <col min="3" max="4" width="8.90625" style="24"/>
    <col min="5" max="5" width="33.08984375" style="24" customWidth="1"/>
    <col min="6" max="7" width="8.90625" style="24"/>
    <col min="8" max="8" width="33.08984375" style="24" customWidth="1"/>
    <col min="9" max="16384" width="8.90625" style="24"/>
  </cols>
  <sheetData>
    <row r="1" spans="1:8" ht="39.65" customHeight="1">
      <c r="A1" s="641" t="s">
        <v>2940</v>
      </c>
      <c r="B1" s="641" t="s">
        <v>112</v>
      </c>
      <c r="C1" s="15"/>
      <c r="D1" s="641" t="s">
        <v>3054</v>
      </c>
      <c r="E1" s="641" t="s">
        <v>112</v>
      </c>
      <c r="F1" s="15"/>
      <c r="G1" s="641" t="s">
        <v>3055</v>
      </c>
      <c r="H1" s="641" t="s">
        <v>112</v>
      </c>
    </row>
    <row r="2" spans="1:8">
      <c r="A2" s="642" t="s">
        <v>2941</v>
      </c>
      <c r="B2" s="643" t="s">
        <v>2933</v>
      </c>
      <c r="D2" s="644" t="s">
        <v>3440</v>
      </c>
      <c r="E2" s="643" t="s">
        <v>3056</v>
      </c>
      <c r="G2" s="481" t="s">
        <v>113</v>
      </c>
      <c r="H2" s="643" t="s">
        <v>114</v>
      </c>
    </row>
    <row r="3" spans="1:8">
      <c r="A3" s="642" t="s">
        <v>2942</v>
      </c>
      <c r="B3" s="643" t="s">
        <v>2846</v>
      </c>
      <c r="D3" s="644" t="s">
        <v>3441</v>
      </c>
      <c r="E3" s="643" t="s">
        <v>3057</v>
      </c>
      <c r="G3" s="481" t="s">
        <v>115</v>
      </c>
      <c r="H3" s="643" t="s">
        <v>116</v>
      </c>
    </row>
    <row r="4" spans="1:8">
      <c r="A4" s="642" t="s">
        <v>2943</v>
      </c>
      <c r="B4" s="643" t="s">
        <v>2847</v>
      </c>
      <c r="D4" s="644" t="s">
        <v>3442</v>
      </c>
      <c r="E4" s="643" t="s">
        <v>3058</v>
      </c>
      <c r="G4" s="481" t="s">
        <v>117</v>
      </c>
      <c r="H4" s="643" t="s">
        <v>118</v>
      </c>
    </row>
    <row r="5" spans="1:8">
      <c r="A5" s="642" t="s">
        <v>2944</v>
      </c>
      <c r="B5" s="643" t="s">
        <v>2848</v>
      </c>
      <c r="D5" s="644" t="s">
        <v>3443</v>
      </c>
      <c r="E5" s="643" t="s">
        <v>3059</v>
      </c>
      <c r="G5" s="481" t="s">
        <v>119</v>
      </c>
      <c r="H5" s="643" t="s">
        <v>120</v>
      </c>
    </row>
    <row r="6" spans="1:8">
      <c r="A6" s="642" t="s">
        <v>2945</v>
      </c>
      <c r="B6" s="643" t="s">
        <v>2934</v>
      </c>
      <c r="D6" s="644" t="s">
        <v>3444</v>
      </c>
      <c r="E6" s="643" t="s">
        <v>156</v>
      </c>
      <c r="G6" s="481" t="s">
        <v>121</v>
      </c>
      <c r="H6" s="643" t="s">
        <v>122</v>
      </c>
    </row>
    <row r="7" spans="1:8">
      <c r="A7" s="642" t="s">
        <v>2946</v>
      </c>
      <c r="B7" s="643" t="s">
        <v>2849</v>
      </c>
      <c r="D7" s="644" t="s">
        <v>3445</v>
      </c>
      <c r="E7" s="643" t="s">
        <v>3060</v>
      </c>
      <c r="G7" s="481" t="s">
        <v>123</v>
      </c>
      <c r="H7" s="643" t="s">
        <v>124</v>
      </c>
    </row>
    <row r="8" spans="1:8">
      <c r="A8" s="642" t="s">
        <v>2947</v>
      </c>
      <c r="B8" s="643" t="s">
        <v>2850</v>
      </c>
      <c r="D8" s="644" t="s">
        <v>3446</v>
      </c>
      <c r="E8" s="643" t="s">
        <v>160</v>
      </c>
      <c r="G8" s="481" t="s">
        <v>125</v>
      </c>
      <c r="H8" s="643" t="s">
        <v>126</v>
      </c>
    </row>
    <row r="9" spans="1:8">
      <c r="A9" s="642" t="s">
        <v>2948</v>
      </c>
      <c r="B9" s="643" t="s">
        <v>2851</v>
      </c>
      <c r="D9" s="644" t="s">
        <v>3447</v>
      </c>
      <c r="E9" s="643" t="s">
        <v>162</v>
      </c>
      <c r="G9" s="481" t="s">
        <v>127</v>
      </c>
      <c r="H9" s="643" t="s">
        <v>128</v>
      </c>
    </row>
    <row r="10" spans="1:8">
      <c r="A10" s="642" t="s">
        <v>2949</v>
      </c>
      <c r="B10" s="643" t="s">
        <v>2852</v>
      </c>
      <c r="D10" s="644" t="s">
        <v>3448</v>
      </c>
      <c r="E10" s="643" t="s">
        <v>3061</v>
      </c>
      <c r="G10" s="481" t="s">
        <v>129</v>
      </c>
      <c r="H10" s="643" t="s">
        <v>130</v>
      </c>
    </row>
    <row r="11" spans="1:8">
      <c r="A11" s="642" t="s">
        <v>2950</v>
      </c>
      <c r="B11" s="643" t="s">
        <v>2853</v>
      </c>
      <c r="D11" s="644" t="s">
        <v>3449</v>
      </c>
      <c r="E11" s="643" t="s">
        <v>3062</v>
      </c>
      <c r="G11" s="481" t="s">
        <v>131</v>
      </c>
      <c r="H11" s="643" t="s">
        <v>132</v>
      </c>
    </row>
    <row r="12" spans="1:8">
      <c r="A12" s="642" t="s">
        <v>2951</v>
      </c>
      <c r="B12" s="643" t="s">
        <v>2854</v>
      </c>
      <c r="D12" s="644" t="s">
        <v>3450</v>
      </c>
      <c r="E12" s="643" t="s">
        <v>176</v>
      </c>
      <c r="G12" s="481" t="s">
        <v>133</v>
      </c>
      <c r="H12" s="643" t="s">
        <v>134</v>
      </c>
    </row>
    <row r="13" spans="1:8">
      <c r="A13" s="642" t="s">
        <v>2952</v>
      </c>
      <c r="B13" s="643" t="s">
        <v>2855</v>
      </c>
      <c r="D13" s="644" t="s">
        <v>3451</v>
      </c>
      <c r="E13" s="643" t="s">
        <v>3063</v>
      </c>
      <c r="G13" s="481" t="s">
        <v>135</v>
      </c>
      <c r="H13" s="643" t="s">
        <v>136</v>
      </c>
    </row>
    <row r="14" spans="1:8">
      <c r="A14" s="642" t="s">
        <v>2953</v>
      </c>
      <c r="B14" s="643" t="s">
        <v>2856</v>
      </c>
      <c r="D14" s="644" t="s">
        <v>3452</v>
      </c>
      <c r="E14" s="643" t="s">
        <v>3064</v>
      </c>
      <c r="G14" s="481" t="s">
        <v>137</v>
      </c>
      <c r="H14" s="643" t="s">
        <v>138</v>
      </c>
    </row>
    <row r="15" spans="1:8">
      <c r="A15" s="642" t="s">
        <v>2954</v>
      </c>
      <c r="B15" s="643" t="s">
        <v>2857</v>
      </c>
      <c r="D15" s="644" t="s">
        <v>3453</v>
      </c>
      <c r="E15" s="643" t="s">
        <v>198</v>
      </c>
      <c r="G15" s="481" t="s">
        <v>139</v>
      </c>
      <c r="H15" s="643" t="s">
        <v>140</v>
      </c>
    </row>
    <row r="16" spans="1:8">
      <c r="A16" s="642" t="s">
        <v>2955</v>
      </c>
      <c r="B16" s="643" t="s">
        <v>2858</v>
      </c>
      <c r="D16" s="644" t="s">
        <v>3454</v>
      </c>
      <c r="E16" s="643" t="s">
        <v>3065</v>
      </c>
      <c r="G16" s="481" t="s">
        <v>141</v>
      </c>
      <c r="H16" s="643" t="s">
        <v>142</v>
      </c>
    </row>
    <row r="17" spans="1:8">
      <c r="A17" s="642" t="s">
        <v>2956</v>
      </c>
      <c r="B17" s="643" t="s">
        <v>2859</v>
      </c>
      <c r="D17" s="644" t="s">
        <v>3455</v>
      </c>
      <c r="E17" s="643" t="s">
        <v>3066</v>
      </c>
      <c r="G17" s="481" t="s">
        <v>143</v>
      </c>
      <c r="H17" s="643" t="s">
        <v>144</v>
      </c>
    </row>
    <row r="18" spans="1:8">
      <c r="A18" s="642" t="s">
        <v>2957</v>
      </c>
      <c r="B18" s="643" t="s">
        <v>2860</v>
      </c>
      <c r="D18" s="644" t="s">
        <v>3456</v>
      </c>
      <c r="E18" s="643" t="s">
        <v>214</v>
      </c>
      <c r="G18" s="481" t="s">
        <v>145</v>
      </c>
      <c r="H18" s="643" t="s">
        <v>146</v>
      </c>
    </row>
    <row r="19" spans="1:8">
      <c r="A19" s="642" t="s">
        <v>2958</v>
      </c>
      <c r="B19" s="643" t="s">
        <v>2861</v>
      </c>
      <c r="D19" s="644" t="s">
        <v>3457</v>
      </c>
      <c r="E19" s="643" t="s">
        <v>3067</v>
      </c>
      <c r="G19" s="481" t="s">
        <v>147</v>
      </c>
      <c r="H19" s="643" t="s">
        <v>148</v>
      </c>
    </row>
    <row r="20" spans="1:8">
      <c r="A20" s="642" t="s">
        <v>2959</v>
      </c>
      <c r="B20" s="643" t="s">
        <v>2862</v>
      </c>
      <c r="D20" s="644" t="s">
        <v>3458</v>
      </c>
      <c r="E20" s="643" t="s">
        <v>3068</v>
      </c>
      <c r="G20" s="481" t="s">
        <v>149</v>
      </c>
      <c r="H20" s="643" t="s">
        <v>150</v>
      </c>
    </row>
    <row r="21" spans="1:8">
      <c r="A21" s="642" t="s">
        <v>2960</v>
      </c>
      <c r="B21" s="643" t="s">
        <v>2863</v>
      </c>
      <c r="D21" s="644" t="s">
        <v>3459</v>
      </c>
      <c r="E21" s="643" t="s">
        <v>3069</v>
      </c>
      <c r="G21" s="481" t="s">
        <v>151</v>
      </c>
      <c r="H21" s="643" t="s">
        <v>152</v>
      </c>
    </row>
    <row r="22" spans="1:8">
      <c r="A22" s="642" t="s">
        <v>2961</v>
      </c>
      <c r="B22" s="643" t="s">
        <v>2864</v>
      </c>
      <c r="D22" s="644" t="s">
        <v>3460</v>
      </c>
      <c r="E22" s="643" t="s">
        <v>3070</v>
      </c>
      <c r="G22" s="481" t="s">
        <v>153</v>
      </c>
      <c r="H22" s="643" t="s">
        <v>154</v>
      </c>
    </row>
    <row r="23" spans="1:8">
      <c r="A23" s="642" t="s">
        <v>2962</v>
      </c>
      <c r="B23" s="643" t="s">
        <v>2865</v>
      </c>
      <c r="D23" s="644" t="s">
        <v>3461</v>
      </c>
      <c r="E23" s="643" t="s">
        <v>3071</v>
      </c>
      <c r="G23" s="481" t="s">
        <v>155</v>
      </c>
      <c r="H23" s="643" t="s">
        <v>156</v>
      </c>
    </row>
    <row r="24" spans="1:8">
      <c r="A24" s="642" t="s">
        <v>2963</v>
      </c>
      <c r="B24" s="643" t="s">
        <v>2866</v>
      </c>
      <c r="D24" s="644" t="s">
        <v>3462</v>
      </c>
      <c r="E24" s="643" t="s">
        <v>3072</v>
      </c>
      <c r="G24" s="481" t="s">
        <v>157</v>
      </c>
      <c r="H24" s="643" t="s">
        <v>114</v>
      </c>
    </row>
    <row r="25" spans="1:8">
      <c r="A25" s="642" t="s">
        <v>2964</v>
      </c>
      <c r="B25" s="643" t="s">
        <v>2867</v>
      </c>
      <c r="D25" s="644" t="s">
        <v>3463</v>
      </c>
      <c r="E25" s="643" t="s">
        <v>3073</v>
      </c>
      <c r="G25" s="481" t="s">
        <v>158</v>
      </c>
      <c r="H25" s="643" t="s">
        <v>116</v>
      </c>
    </row>
    <row r="26" spans="1:8">
      <c r="A26" s="642" t="s">
        <v>2965</v>
      </c>
      <c r="B26" s="643" t="s">
        <v>2868</v>
      </c>
      <c r="D26" s="644" t="s">
        <v>3464</v>
      </c>
      <c r="E26" s="643" t="s">
        <v>3074</v>
      </c>
      <c r="G26" s="481" t="s">
        <v>159</v>
      </c>
      <c r="H26" s="643" t="s">
        <v>160</v>
      </c>
    </row>
    <row r="27" spans="1:8">
      <c r="A27" s="642" t="s">
        <v>2966</v>
      </c>
      <c r="B27" s="643" t="s">
        <v>2869</v>
      </c>
      <c r="D27" s="644" t="s">
        <v>3465</v>
      </c>
      <c r="E27" s="643" t="s">
        <v>280</v>
      </c>
      <c r="G27" s="481" t="s">
        <v>161</v>
      </c>
      <c r="H27" s="643" t="s">
        <v>162</v>
      </c>
    </row>
    <row r="28" spans="1:8">
      <c r="A28" s="642" t="s">
        <v>2967</v>
      </c>
      <c r="B28" s="643" t="s">
        <v>2870</v>
      </c>
      <c r="D28" s="644" t="s">
        <v>3466</v>
      </c>
      <c r="E28" s="643" t="s">
        <v>3075</v>
      </c>
      <c r="G28" s="481" t="s">
        <v>163</v>
      </c>
      <c r="H28" s="643" t="s">
        <v>164</v>
      </c>
    </row>
    <row r="29" spans="1:8">
      <c r="A29" s="642" t="s">
        <v>2968</v>
      </c>
      <c r="B29" s="643" t="s">
        <v>2871</v>
      </c>
      <c r="D29" s="644" t="s">
        <v>3467</v>
      </c>
      <c r="E29" s="643" t="s">
        <v>288</v>
      </c>
      <c r="G29" s="481" t="s">
        <v>165</v>
      </c>
      <c r="H29" s="643" t="s">
        <v>166</v>
      </c>
    </row>
    <row r="30" spans="1:8">
      <c r="A30" s="642" t="s">
        <v>2969</v>
      </c>
      <c r="B30" s="643" t="s">
        <v>2872</v>
      </c>
      <c r="D30" s="644" t="s">
        <v>3468</v>
      </c>
      <c r="E30" s="643" t="s">
        <v>290</v>
      </c>
      <c r="G30" s="481" t="s">
        <v>167</v>
      </c>
      <c r="H30" s="643" t="s">
        <v>168</v>
      </c>
    </row>
    <row r="31" spans="1:8">
      <c r="A31" s="642" t="s">
        <v>2970</v>
      </c>
      <c r="B31" s="643" t="s">
        <v>2873</v>
      </c>
      <c r="D31" s="644" t="s">
        <v>3469</v>
      </c>
      <c r="E31" s="643" t="s">
        <v>292</v>
      </c>
      <c r="G31" s="481" t="s">
        <v>169</v>
      </c>
      <c r="H31" s="643" t="s">
        <v>170</v>
      </c>
    </row>
    <row r="32" spans="1:8">
      <c r="A32" s="642" t="s">
        <v>2971</v>
      </c>
      <c r="B32" s="643" t="s">
        <v>2874</v>
      </c>
      <c r="D32" s="644" t="s">
        <v>3470</v>
      </c>
      <c r="E32" s="643" t="s">
        <v>294</v>
      </c>
      <c r="G32" s="481" t="s">
        <v>171</v>
      </c>
      <c r="H32" s="643" t="s">
        <v>172</v>
      </c>
    </row>
    <row r="33" spans="1:8">
      <c r="A33" s="642" t="s">
        <v>2972</v>
      </c>
      <c r="B33" s="643" t="s">
        <v>2875</v>
      </c>
      <c r="D33" s="644" t="s">
        <v>3471</v>
      </c>
      <c r="E33" s="643" t="s">
        <v>3076</v>
      </c>
      <c r="G33" s="481" t="s">
        <v>173</v>
      </c>
      <c r="H33" s="643" t="s">
        <v>174</v>
      </c>
    </row>
    <row r="34" spans="1:8">
      <c r="A34" s="642" t="s">
        <v>2973</v>
      </c>
      <c r="B34" s="643" t="s">
        <v>2876</v>
      </c>
      <c r="D34" s="644" t="s">
        <v>3472</v>
      </c>
      <c r="E34" s="643" t="s">
        <v>3077</v>
      </c>
      <c r="G34" s="481" t="s">
        <v>175</v>
      </c>
      <c r="H34" s="643" t="s">
        <v>176</v>
      </c>
    </row>
    <row r="35" spans="1:8">
      <c r="A35" s="642" t="s">
        <v>2974</v>
      </c>
      <c r="B35" s="643" t="s">
        <v>2877</v>
      </c>
      <c r="D35" s="644" t="s">
        <v>3473</v>
      </c>
      <c r="E35" s="643" t="s">
        <v>3078</v>
      </c>
      <c r="G35" s="481" t="s">
        <v>177</v>
      </c>
      <c r="H35" s="643" t="s">
        <v>114</v>
      </c>
    </row>
    <row r="36" spans="1:8">
      <c r="A36" s="642" t="s">
        <v>2975</v>
      </c>
      <c r="B36" s="643" t="s">
        <v>1537</v>
      </c>
      <c r="D36" s="644" t="s">
        <v>3474</v>
      </c>
      <c r="E36" s="643" t="s">
        <v>3079</v>
      </c>
      <c r="G36" s="481" t="s">
        <v>178</v>
      </c>
      <c r="H36" s="643" t="s">
        <v>116</v>
      </c>
    </row>
    <row r="37" spans="1:8">
      <c r="A37" s="642" t="s">
        <v>2976</v>
      </c>
      <c r="B37" s="643" t="s">
        <v>2878</v>
      </c>
      <c r="D37" s="644" t="s">
        <v>3475</v>
      </c>
      <c r="E37" s="643" t="s">
        <v>3080</v>
      </c>
      <c r="G37" s="481" t="s">
        <v>179</v>
      </c>
      <c r="H37" s="643" t="s">
        <v>180</v>
      </c>
    </row>
    <row r="38" spans="1:8">
      <c r="A38" s="642" t="s">
        <v>2977</v>
      </c>
      <c r="B38" s="643" t="s">
        <v>2879</v>
      </c>
      <c r="D38" s="644" t="s">
        <v>3476</v>
      </c>
      <c r="E38" s="643" t="s">
        <v>320</v>
      </c>
      <c r="G38" s="481" t="s">
        <v>181</v>
      </c>
      <c r="H38" s="643" t="s">
        <v>182</v>
      </c>
    </row>
    <row r="39" spans="1:8">
      <c r="A39" s="642" t="s">
        <v>2978</v>
      </c>
      <c r="B39" s="643" t="s">
        <v>2880</v>
      </c>
      <c r="D39" s="644" t="s">
        <v>3477</v>
      </c>
      <c r="E39" s="643" t="s">
        <v>3081</v>
      </c>
      <c r="G39" s="481" t="s">
        <v>183</v>
      </c>
      <c r="H39" s="643" t="s">
        <v>184</v>
      </c>
    </row>
    <row r="40" spans="1:8">
      <c r="A40" s="642" t="s">
        <v>2979</v>
      </c>
      <c r="B40" s="643" t="s">
        <v>2881</v>
      </c>
      <c r="D40" s="644" t="s">
        <v>3478</v>
      </c>
      <c r="E40" s="643" t="s">
        <v>3082</v>
      </c>
      <c r="G40" s="481" t="s">
        <v>185</v>
      </c>
      <c r="H40" s="643" t="s">
        <v>186</v>
      </c>
    </row>
    <row r="41" spans="1:8">
      <c r="A41" s="642" t="s">
        <v>2980</v>
      </c>
      <c r="B41" s="643" t="s">
        <v>2882</v>
      </c>
      <c r="D41" s="644" t="s">
        <v>3479</v>
      </c>
      <c r="E41" s="643" t="s">
        <v>3083</v>
      </c>
      <c r="G41" s="481" t="s">
        <v>187</v>
      </c>
      <c r="H41" s="643" t="s">
        <v>188</v>
      </c>
    </row>
    <row r="42" spans="1:8">
      <c r="A42" s="642" t="s">
        <v>2981</v>
      </c>
      <c r="B42" s="643" t="s">
        <v>2883</v>
      </c>
      <c r="D42" s="644" t="s">
        <v>3480</v>
      </c>
      <c r="E42" s="643" t="s">
        <v>3084</v>
      </c>
      <c r="G42" s="481" t="s">
        <v>189</v>
      </c>
      <c r="H42" s="643" t="s">
        <v>190</v>
      </c>
    </row>
    <row r="43" spans="1:8">
      <c r="A43" s="642" t="s">
        <v>2982</v>
      </c>
      <c r="B43" s="643" t="s">
        <v>2884</v>
      </c>
      <c r="D43" s="644" t="s">
        <v>3481</v>
      </c>
      <c r="E43" s="643" t="s">
        <v>3085</v>
      </c>
      <c r="G43" s="481" t="s">
        <v>191</v>
      </c>
      <c r="H43" s="643" t="s">
        <v>192</v>
      </c>
    </row>
    <row r="44" spans="1:8">
      <c r="A44" s="642" t="s">
        <v>2983</v>
      </c>
      <c r="B44" s="643" t="s">
        <v>2885</v>
      </c>
      <c r="D44" s="644" t="s">
        <v>3482</v>
      </c>
      <c r="E44" s="643" t="s">
        <v>3086</v>
      </c>
      <c r="G44" s="481" t="s">
        <v>193</v>
      </c>
      <c r="H44" s="643" t="s">
        <v>194</v>
      </c>
    </row>
    <row r="45" spans="1:8">
      <c r="A45" s="642" t="s">
        <v>2984</v>
      </c>
      <c r="B45" s="643" t="s">
        <v>2886</v>
      </c>
      <c r="D45" s="644" t="s">
        <v>3483</v>
      </c>
      <c r="E45" s="643" t="s">
        <v>3087</v>
      </c>
      <c r="G45" s="481" t="s">
        <v>195</v>
      </c>
      <c r="H45" s="643" t="s">
        <v>196</v>
      </c>
    </row>
    <row r="46" spans="1:8">
      <c r="A46" s="642" t="s">
        <v>2985</v>
      </c>
      <c r="B46" s="643" t="s">
        <v>2887</v>
      </c>
      <c r="D46" s="644" t="s">
        <v>3484</v>
      </c>
      <c r="E46" s="643" t="s">
        <v>3088</v>
      </c>
      <c r="G46" s="481" t="s">
        <v>197</v>
      </c>
      <c r="H46" s="643" t="s">
        <v>198</v>
      </c>
    </row>
    <row r="47" spans="1:8">
      <c r="A47" s="642" t="s">
        <v>2986</v>
      </c>
      <c r="B47" s="643" t="s">
        <v>2888</v>
      </c>
      <c r="D47" s="644" t="s">
        <v>3485</v>
      </c>
      <c r="E47" s="643" t="s">
        <v>3089</v>
      </c>
      <c r="G47" s="481" t="s">
        <v>199</v>
      </c>
      <c r="H47" s="643" t="s">
        <v>114</v>
      </c>
    </row>
    <row r="48" spans="1:8">
      <c r="A48" s="642" t="s">
        <v>2987</v>
      </c>
      <c r="B48" s="643" t="s">
        <v>2889</v>
      </c>
      <c r="D48" s="644" t="s">
        <v>3486</v>
      </c>
      <c r="E48" s="643" t="s">
        <v>3090</v>
      </c>
      <c r="G48" s="481" t="s">
        <v>200</v>
      </c>
      <c r="H48" s="643" t="s">
        <v>116</v>
      </c>
    </row>
    <row r="49" spans="1:8">
      <c r="A49" s="642" t="s">
        <v>2988</v>
      </c>
      <c r="B49" s="643" t="s">
        <v>2890</v>
      </c>
      <c r="D49" s="644" t="s">
        <v>3487</v>
      </c>
      <c r="E49" s="643" t="s">
        <v>3091</v>
      </c>
      <c r="G49" s="481" t="s">
        <v>201</v>
      </c>
      <c r="H49" s="643" t="s">
        <v>202</v>
      </c>
    </row>
    <row r="50" spans="1:8">
      <c r="A50" s="642" t="s">
        <v>2989</v>
      </c>
      <c r="B50" s="643" t="s">
        <v>1737</v>
      </c>
      <c r="D50" s="644" t="s">
        <v>3488</v>
      </c>
      <c r="E50" s="643" t="s">
        <v>3092</v>
      </c>
      <c r="G50" s="481" t="s">
        <v>203</v>
      </c>
      <c r="H50" s="643" t="s">
        <v>204</v>
      </c>
    </row>
    <row r="51" spans="1:8">
      <c r="A51" s="642" t="s">
        <v>2990</v>
      </c>
      <c r="B51" s="643" t="s">
        <v>2891</v>
      </c>
      <c r="D51" s="644" t="s">
        <v>3489</v>
      </c>
      <c r="E51" s="643" t="s">
        <v>3093</v>
      </c>
      <c r="G51" s="481" t="s">
        <v>205</v>
      </c>
      <c r="H51" s="643" t="s">
        <v>206</v>
      </c>
    </row>
    <row r="52" spans="1:8">
      <c r="A52" s="642" t="s">
        <v>2991</v>
      </c>
      <c r="B52" s="643" t="s">
        <v>2892</v>
      </c>
      <c r="D52" s="644" t="s">
        <v>3490</v>
      </c>
      <c r="E52" s="643" t="s">
        <v>3094</v>
      </c>
      <c r="G52" s="481" t="s">
        <v>207</v>
      </c>
      <c r="H52" s="643" t="s">
        <v>208</v>
      </c>
    </row>
    <row r="53" spans="1:8">
      <c r="A53" s="642" t="s">
        <v>2992</v>
      </c>
      <c r="B53" s="643" t="s">
        <v>2893</v>
      </c>
      <c r="D53" s="644" t="s">
        <v>3491</v>
      </c>
      <c r="E53" s="643" t="s">
        <v>3095</v>
      </c>
      <c r="G53" s="481" t="s">
        <v>209</v>
      </c>
      <c r="H53" s="643" t="s">
        <v>210</v>
      </c>
    </row>
    <row r="54" spans="1:8">
      <c r="A54" s="642" t="s">
        <v>2993</v>
      </c>
      <c r="B54" s="643" t="s">
        <v>2935</v>
      </c>
      <c r="D54" s="644" t="s">
        <v>3492</v>
      </c>
      <c r="E54" s="643" t="s">
        <v>3096</v>
      </c>
      <c r="G54" s="481" t="s">
        <v>211</v>
      </c>
      <c r="H54" s="643" t="s">
        <v>212</v>
      </c>
    </row>
    <row r="55" spans="1:8">
      <c r="A55" s="642" t="s">
        <v>2994</v>
      </c>
      <c r="B55" s="643" t="s">
        <v>2894</v>
      </c>
      <c r="D55" s="644" t="s">
        <v>3493</v>
      </c>
      <c r="E55" s="643" t="s">
        <v>3097</v>
      </c>
      <c r="G55" s="481" t="s">
        <v>213</v>
      </c>
      <c r="H55" s="643" t="s">
        <v>214</v>
      </c>
    </row>
    <row r="56" spans="1:8">
      <c r="A56" s="642" t="s">
        <v>2995</v>
      </c>
      <c r="B56" s="643" t="s">
        <v>2895</v>
      </c>
      <c r="D56" s="644" t="s">
        <v>3494</v>
      </c>
      <c r="E56" s="643" t="s">
        <v>3098</v>
      </c>
      <c r="G56" s="481" t="s">
        <v>215</v>
      </c>
      <c r="H56" s="643" t="s">
        <v>114</v>
      </c>
    </row>
    <row r="57" spans="1:8">
      <c r="A57" s="642" t="s">
        <v>2996</v>
      </c>
      <c r="B57" s="643" t="s">
        <v>2896</v>
      </c>
      <c r="D57" s="644" t="s">
        <v>3495</v>
      </c>
      <c r="E57" s="643" t="s">
        <v>3099</v>
      </c>
      <c r="G57" s="481" t="s">
        <v>216</v>
      </c>
      <c r="H57" s="643" t="s">
        <v>116</v>
      </c>
    </row>
    <row r="58" spans="1:8">
      <c r="A58" s="642" t="s">
        <v>2997</v>
      </c>
      <c r="B58" s="643" t="s">
        <v>2897</v>
      </c>
      <c r="D58" s="644" t="s">
        <v>3496</v>
      </c>
      <c r="E58" s="643" t="s">
        <v>3100</v>
      </c>
      <c r="G58" s="481" t="s">
        <v>217</v>
      </c>
      <c r="H58" s="643" t="s">
        <v>218</v>
      </c>
    </row>
    <row r="59" spans="1:8">
      <c r="A59" s="642" t="s">
        <v>2998</v>
      </c>
      <c r="B59" s="643" t="s">
        <v>2898</v>
      </c>
      <c r="D59" s="645" t="s">
        <v>3500</v>
      </c>
      <c r="E59" s="643" t="s">
        <v>3101</v>
      </c>
      <c r="G59" s="481" t="s">
        <v>219</v>
      </c>
      <c r="H59" s="643" t="s">
        <v>220</v>
      </c>
    </row>
    <row r="60" spans="1:8">
      <c r="A60" s="642" t="s">
        <v>2999</v>
      </c>
      <c r="B60" s="643" t="s">
        <v>2899</v>
      </c>
      <c r="D60" s="645" t="s">
        <v>3501</v>
      </c>
      <c r="E60" s="643" t="s">
        <v>468</v>
      </c>
      <c r="G60" s="481" t="s">
        <v>221</v>
      </c>
      <c r="H60" s="643" t="s">
        <v>222</v>
      </c>
    </row>
    <row r="61" spans="1:8">
      <c r="A61" s="642" t="s">
        <v>3000</v>
      </c>
      <c r="B61" s="643" t="s">
        <v>2900</v>
      </c>
      <c r="D61" s="645" t="s">
        <v>3502</v>
      </c>
      <c r="E61" s="643" t="s">
        <v>3102</v>
      </c>
      <c r="G61" s="481" t="s">
        <v>223</v>
      </c>
      <c r="H61" s="643" t="s">
        <v>224</v>
      </c>
    </row>
    <row r="62" spans="1:8">
      <c r="A62" s="642" t="s">
        <v>3001</v>
      </c>
      <c r="B62" s="643" t="s">
        <v>2901</v>
      </c>
      <c r="D62" s="645" t="s">
        <v>3503</v>
      </c>
      <c r="E62" s="643" t="s">
        <v>3103</v>
      </c>
      <c r="G62" s="481" t="s">
        <v>225</v>
      </c>
      <c r="H62" s="643" t="s">
        <v>226</v>
      </c>
    </row>
    <row r="63" spans="1:8">
      <c r="A63" s="642" t="s">
        <v>3002</v>
      </c>
      <c r="B63" s="643" t="s">
        <v>2902</v>
      </c>
      <c r="D63" s="645" t="s">
        <v>3504</v>
      </c>
      <c r="E63" s="643" t="s">
        <v>482</v>
      </c>
      <c r="G63" s="481" t="s">
        <v>227</v>
      </c>
      <c r="H63" s="643" t="s">
        <v>228</v>
      </c>
    </row>
    <row r="64" spans="1:8">
      <c r="A64" s="642" t="s">
        <v>3003</v>
      </c>
      <c r="B64" s="643" t="s">
        <v>2903</v>
      </c>
      <c r="D64" s="645" t="s">
        <v>3505</v>
      </c>
      <c r="E64" s="643" t="s">
        <v>3104</v>
      </c>
      <c r="G64" s="481" t="s">
        <v>229</v>
      </c>
      <c r="H64" s="643" t="s">
        <v>230</v>
      </c>
    </row>
    <row r="65" spans="1:8">
      <c r="A65" s="642" t="s">
        <v>3004</v>
      </c>
      <c r="B65" s="643" t="s">
        <v>2936</v>
      </c>
      <c r="D65" s="645" t="s">
        <v>3506</v>
      </c>
      <c r="E65" s="643" t="s">
        <v>3105</v>
      </c>
      <c r="G65" s="481" t="s">
        <v>231</v>
      </c>
      <c r="H65" s="643" t="s">
        <v>232</v>
      </c>
    </row>
    <row r="66" spans="1:8">
      <c r="A66" s="642" t="s">
        <v>3005</v>
      </c>
      <c r="B66" s="643" t="s">
        <v>2937</v>
      </c>
      <c r="D66" s="645" t="s">
        <v>3507</v>
      </c>
      <c r="E66" s="643" t="s">
        <v>3106</v>
      </c>
      <c r="G66" s="481" t="s">
        <v>233</v>
      </c>
      <c r="H66" s="643" t="s">
        <v>234</v>
      </c>
    </row>
    <row r="67" spans="1:8">
      <c r="A67" s="642" t="s">
        <v>3006</v>
      </c>
      <c r="B67" s="643" t="s">
        <v>2904</v>
      </c>
      <c r="D67" s="645" t="s">
        <v>3508</v>
      </c>
      <c r="E67" s="643" t="s">
        <v>3107</v>
      </c>
      <c r="G67" s="481" t="s">
        <v>235</v>
      </c>
      <c r="H67" s="643" t="s">
        <v>236</v>
      </c>
    </row>
    <row r="68" spans="1:8">
      <c r="A68" s="642" t="s">
        <v>3007</v>
      </c>
      <c r="B68" s="643" t="s">
        <v>2938</v>
      </c>
      <c r="D68" s="645" t="s">
        <v>3509</v>
      </c>
      <c r="E68" s="643" t="s">
        <v>3108</v>
      </c>
      <c r="G68" s="481" t="s">
        <v>237</v>
      </c>
      <c r="H68" s="643" t="s">
        <v>238</v>
      </c>
    </row>
    <row r="69" spans="1:8">
      <c r="A69" s="642" t="s">
        <v>3008</v>
      </c>
      <c r="B69" s="643" t="s">
        <v>2905</v>
      </c>
      <c r="D69" s="645" t="s">
        <v>3510</v>
      </c>
      <c r="E69" s="643" t="s">
        <v>3109</v>
      </c>
      <c r="G69" s="481" t="s">
        <v>239</v>
      </c>
      <c r="H69" s="643" t="s">
        <v>240</v>
      </c>
    </row>
    <row r="70" spans="1:8">
      <c r="A70" s="642" t="s">
        <v>3009</v>
      </c>
      <c r="B70" s="643" t="s">
        <v>2906</v>
      </c>
      <c r="D70" s="645" t="s">
        <v>3511</v>
      </c>
      <c r="E70" s="643" t="s">
        <v>3110</v>
      </c>
      <c r="G70" s="481" t="s">
        <v>241</v>
      </c>
      <c r="H70" s="643" t="s">
        <v>242</v>
      </c>
    </row>
    <row r="71" spans="1:8">
      <c r="A71" s="642" t="s">
        <v>3010</v>
      </c>
      <c r="B71" s="643" t="s">
        <v>2907</v>
      </c>
      <c r="D71" s="645" t="s">
        <v>3512</v>
      </c>
      <c r="E71" s="643" t="s">
        <v>3111</v>
      </c>
      <c r="G71" s="481" t="s">
        <v>243</v>
      </c>
      <c r="H71" s="643" t="s">
        <v>244</v>
      </c>
    </row>
    <row r="72" spans="1:8">
      <c r="A72" s="642" t="s">
        <v>3011</v>
      </c>
      <c r="B72" s="643" t="s">
        <v>2908</v>
      </c>
      <c r="D72" s="645" t="s">
        <v>3513</v>
      </c>
      <c r="E72" s="643" t="s">
        <v>3112</v>
      </c>
      <c r="G72" s="481" t="s">
        <v>245</v>
      </c>
      <c r="H72" s="643" t="s">
        <v>246</v>
      </c>
    </row>
    <row r="73" spans="1:8">
      <c r="A73" s="642" t="s">
        <v>3012</v>
      </c>
      <c r="B73" s="643" t="s">
        <v>2909</v>
      </c>
      <c r="D73" s="645" t="s">
        <v>3514</v>
      </c>
      <c r="E73" s="643" t="s">
        <v>3113</v>
      </c>
      <c r="G73" s="481" t="s">
        <v>247</v>
      </c>
      <c r="H73" s="643" t="s">
        <v>248</v>
      </c>
    </row>
    <row r="74" spans="1:8">
      <c r="A74" s="642" t="s">
        <v>3013</v>
      </c>
      <c r="B74" s="643" t="s">
        <v>2340</v>
      </c>
      <c r="D74" s="645" t="s">
        <v>3515</v>
      </c>
      <c r="E74" s="643" t="s">
        <v>3114</v>
      </c>
      <c r="G74" s="481" t="s">
        <v>249</v>
      </c>
      <c r="H74" s="643" t="s">
        <v>250</v>
      </c>
    </row>
    <row r="75" spans="1:8">
      <c r="A75" s="642" t="s">
        <v>3014</v>
      </c>
      <c r="B75" s="643" t="s">
        <v>2910</v>
      </c>
      <c r="D75" s="645" t="s">
        <v>3516</v>
      </c>
      <c r="E75" s="643" t="s">
        <v>3115</v>
      </c>
      <c r="G75" s="481" t="s">
        <v>251</v>
      </c>
      <c r="H75" s="643" t="s">
        <v>252</v>
      </c>
    </row>
    <row r="76" spans="1:8">
      <c r="A76" s="642" t="s">
        <v>3015</v>
      </c>
      <c r="B76" s="643" t="s">
        <v>3047</v>
      </c>
      <c r="D76" s="645" t="s">
        <v>3517</v>
      </c>
      <c r="E76" s="643" t="s">
        <v>3116</v>
      </c>
      <c r="G76" s="481" t="s">
        <v>253</v>
      </c>
      <c r="H76" s="643" t="s">
        <v>254</v>
      </c>
    </row>
    <row r="77" spans="1:8">
      <c r="A77" s="642" t="s">
        <v>3016</v>
      </c>
      <c r="B77" s="643" t="s">
        <v>2911</v>
      </c>
      <c r="D77" s="645" t="s">
        <v>3518</v>
      </c>
      <c r="E77" s="643" t="s">
        <v>3117</v>
      </c>
      <c r="G77" s="481" t="s">
        <v>255</v>
      </c>
      <c r="H77" s="643" t="s">
        <v>256</v>
      </c>
    </row>
    <row r="78" spans="1:8">
      <c r="A78" s="642" t="s">
        <v>3017</v>
      </c>
      <c r="B78" s="643" t="s">
        <v>2912</v>
      </c>
      <c r="D78" s="645" t="s">
        <v>3519</v>
      </c>
      <c r="E78" s="643" t="s">
        <v>3118</v>
      </c>
      <c r="G78" s="481" t="s">
        <v>257</v>
      </c>
      <c r="H78" s="643" t="s">
        <v>258</v>
      </c>
    </row>
    <row r="79" spans="1:8">
      <c r="A79" s="642" t="s">
        <v>3018</v>
      </c>
      <c r="B79" s="643" t="s">
        <v>2913</v>
      </c>
      <c r="D79" s="645" t="s">
        <v>3520</v>
      </c>
      <c r="E79" s="643" t="s">
        <v>3119</v>
      </c>
      <c r="G79" s="481" t="s">
        <v>259</v>
      </c>
      <c r="H79" s="643" t="s">
        <v>260</v>
      </c>
    </row>
    <row r="80" spans="1:8">
      <c r="A80" s="642" t="s">
        <v>3019</v>
      </c>
      <c r="B80" s="643" t="s">
        <v>2914</v>
      </c>
      <c r="D80" s="645" t="s">
        <v>3521</v>
      </c>
      <c r="E80" s="643" t="s">
        <v>3120</v>
      </c>
      <c r="G80" s="481" t="s">
        <v>261</v>
      </c>
      <c r="H80" s="643" t="s">
        <v>262</v>
      </c>
    </row>
    <row r="81" spans="1:8">
      <c r="A81" s="642" t="s">
        <v>3020</v>
      </c>
      <c r="B81" s="643" t="s">
        <v>2915</v>
      </c>
      <c r="D81" s="645" t="s">
        <v>3522</v>
      </c>
      <c r="E81" s="643" t="s">
        <v>3121</v>
      </c>
      <c r="G81" s="481" t="s">
        <v>263</v>
      </c>
      <c r="H81" s="643" t="s">
        <v>264</v>
      </c>
    </row>
    <row r="82" spans="1:8">
      <c r="A82" s="642" t="s">
        <v>3021</v>
      </c>
      <c r="B82" s="643" t="s">
        <v>2916</v>
      </c>
      <c r="D82" s="645" t="s">
        <v>3523</v>
      </c>
      <c r="E82" s="643" t="s">
        <v>3122</v>
      </c>
      <c r="G82" s="481" t="s">
        <v>265</v>
      </c>
      <c r="H82" s="643" t="s">
        <v>266</v>
      </c>
    </row>
    <row r="83" spans="1:8">
      <c r="A83" s="642" t="s">
        <v>3022</v>
      </c>
      <c r="B83" s="643" t="s">
        <v>2939</v>
      </c>
      <c r="D83" s="645" t="s">
        <v>3524</v>
      </c>
      <c r="E83" s="643" t="s">
        <v>669</v>
      </c>
      <c r="G83" s="481" t="s">
        <v>267</v>
      </c>
      <c r="H83" s="643" t="s">
        <v>268</v>
      </c>
    </row>
    <row r="84" spans="1:8">
      <c r="A84" s="642" t="s">
        <v>3023</v>
      </c>
      <c r="B84" s="643" t="s">
        <v>2917</v>
      </c>
      <c r="D84" s="645" t="s">
        <v>3525</v>
      </c>
      <c r="E84" s="643" t="s">
        <v>671</v>
      </c>
      <c r="G84" s="481" t="s">
        <v>269</v>
      </c>
      <c r="H84" s="643" t="s">
        <v>270</v>
      </c>
    </row>
    <row r="85" spans="1:8">
      <c r="A85" s="642" t="s">
        <v>3024</v>
      </c>
      <c r="B85" s="643" t="s">
        <v>2918</v>
      </c>
      <c r="D85" s="645" t="s">
        <v>3526</v>
      </c>
      <c r="E85" s="643" t="s">
        <v>3123</v>
      </c>
      <c r="G85" s="481" t="s">
        <v>271</v>
      </c>
      <c r="H85" s="643" t="s">
        <v>272</v>
      </c>
    </row>
    <row r="86" spans="1:8">
      <c r="A86" s="642" t="s">
        <v>3025</v>
      </c>
      <c r="B86" s="643" t="s">
        <v>2919</v>
      </c>
      <c r="D86" s="645" t="s">
        <v>3527</v>
      </c>
      <c r="E86" s="643" t="s">
        <v>3124</v>
      </c>
      <c r="G86" s="481" t="s">
        <v>273</v>
      </c>
      <c r="H86" s="643" t="s">
        <v>274</v>
      </c>
    </row>
    <row r="87" spans="1:8">
      <c r="A87" s="642" t="s">
        <v>3026</v>
      </c>
      <c r="B87" s="643" t="s">
        <v>2693</v>
      </c>
      <c r="D87" s="645" t="s">
        <v>3528</v>
      </c>
      <c r="E87" s="643" t="s">
        <v>683</v>
      </c>
      <c r="G87" s="481" t="s">
        <v>275</v>
      </c>
      <c r="H87" s="643" t="s">
        <v>276</v>
      </c>
    </row>
    <row r="88" spans="1:8">
      <c r="A88" s="642" t="s">
        <v>3027</v>
      </c>
      <c r="B88" s="643" t="s">
        <v>2920</v>
      </c>
      <c r="D88" s="645" t="s">
        <v>3529</v>
      </c>
      <c r="E88" s="643" t="s">
        <v>3125</v>
      </c>
      <c r="G88" s="481" t="s">
        <v>277</v>
      </c>
      <c r="H88" s="643" t="s">
        <v>114</v>
      </c>
    </row>
    <row r="89" spans="1:8">
      <c r="A89" s="642" t="s">
        <v>3028</v>
      </c>
      <c r="B89" s="643" t="s">
        <v>2921</v>
      </c>
      <c r="D89" s="645" t="s">
        <v>3530</v>
      </c>
      <c r="E89" s="643" t="s">
        <v>3126</v>
      </c>
      <c r="G89" s="481" t="s">
        <v>278</v>
      </c>
      <c r="H89" s="643" t="s">
        <v>116</v>
      </c>
    </row>
    <row r="90" spans="1:8">
      <c r="A90" s="642" t="s">
        <v>3029</v>
      </c>
      <c r="B90" s="643" t="s">
        <v>2922</v>
      </c>
      <c r="D90" s="645" t="s">
        <v>3531</v>
      </c>
      <c r="E90" s="643" t="s">
        <v>3127</v>
      </c>
      <c r="G90" s="481" t="s">
        <v>279</v>
      </c>
      <c r="H90" s="643" t="s">
        <v>280</v>
      </c>
    </row>
    <row r="91" spans="1:8">
      <c r="A91" s="642" t="s">
        <v>3030</v>
      </c>
      <c r="B91" s="643" t="s">
        <v>2923</v>
      </c>
      <c r="D91" s="645" t="s">
        <v>3532</v>
      </c>
      <c r="E91" s="643" t="s">
        <v>3128</v>
      </c>
      <c r="G91" s="481" t="s">
        <v>281</v>
      </c>
      <c r="H91" s="643" t="s">
        <v>282</v>
      </c>
    </row>
    <row r="92" spans="1:8">
      <c r="A92" s="642" t="s">
        <v>3031</v>
      </c>
      <c r="B92" s="643" t="s">
        <v>2924</v>
      </c>
      <c r="D92" s="645" t="s">
        <v>3533</v>
      </c>
      <c r="E92" s="643" t="s">
        <v>713</v>
      </c>
      <c r="G92" s="481" t="s">
        <v>283</v>
      </c>
      <c r="H92" s="643" t="s">
        <v>284</v>
      </c>
    </row>
    <row r="93" spans="1:8">
      <c r="A93" s="642" t="s">
        <v>3032</v>
      </c>
      <c r="B93" s="643" t="s">
        <v>2925</v>
      </c>
      <c r="D93" s="645" t="s">
        <v>3534</v>
      </c>
      <c r="E93" s="643" t="s">
        <v>3129</v>
      </c>
      <c r="G93" s="481" t="s">
        <v>285</v>
      </c>
      <c r="H93" s="643" t="s">
        <v>286</v>
      </c>
    </row>
    <row r="94" spans="1:8">
      <c r="A94" s="642" t="s">
        <v>3033</v>
      </c>
      <c r="B94" s="643" t="s">
        <v>2926</v>
      </c>
      <c r="D94" s="645" t="s">
        <v>3535</v>
      </c>
      <c r="E94" s="643" t="s">
        <v>3130</v>
      </c>
      <c r="G94" s="481" t="s">
        <v>287</v>
      </c>
      <c r="H94" s="643" t="s">
        <v>288</v>
      </c>
    </row>
    <row r="95" spans="1:8">
      <c r="A95" s="642" t="s">
        <v>3034</v>
      </c>
      <c r="B95" s="643" t="s">
        <v>2927</v>
      </c>
      <c r="D95" s="645" t="s">
        <v>3536</v>
      </c>
      <c r="E95" s="643" t="s">
        <v>723</v>
      </c>
      <c r="G95" s="481" t="s">
        <v>289</v>
      </c>
      <c r="H95" s="643" t="s">
        <v>290</v>
      </c>
    </row>
    <row r="96" spans="1:8">
      <c r="A96" s="642" t="s">
        <v>3035</v>
      </c>
      <c r="B96" s="643" t="s">
        <v>2928</v>
      </c>
      <c r="D96" s="645" t="s">
        <v>3537</v>
      </c>
      <c r="E96" s="643" t="s">
        <v>3131</v>
      </c>
      <c r="G96" s="481" t="s">
        <v>291</v>
      </c>
      <c r="H96" s="643" t="s">
        <v>292</v>
      </c>
    </row>
    <row r="97" spans="1:8">
      <c r="A97" s="642" t="s">
        <v>3036</v>
      </c>
      <c r="B97" s="643" t="s">
        <v>2929</v>
      </c>
      <c r="D97" s="645" t="s">
        <v>3538</v>
      </c>
      <c r="E97" s="643" t="s">
        <v>729</v>
      </c>
      <c r="G97" s="481" t="s">
        <v>293</v>
      </c>
      <c r="H97" s="643" t="s">
        <v>294</v>
      </c>
    </row>
    <row r="98" spans="1:8">
      <c r="A98" s="642" t="s">
        <v>3037</v>
      </c>
      <c r="B98" s="643" t="s">
        <v>2930</v>
      </c>
      <c r="D98" s="645" t="s">
        <v>3539</v>
      </c>
      <c r="E98" s="643" t="s">
        <v>3132</v>
      </c>
      <c r="G98" s="481" t="s">
        <v>295</v>
      </c>
      <c r="H98" s="643" t="s">
        <v>114</v>
      </c>
    </row>
    <row r="99" spans="1:8">
      <c r="A99" s="642" t="s">
        <v>3038</v>
      </c>
      <c r="B99" s="643" t="s">
        <v>2931</v>
      </c>
      <c r="D99" s="645" t="s">
        <v>3540</v>
      </c>
      <c r="E99" s="643" t="s">
        <v>3133</v>
      </c>
      <c r="G99" s="481" t="s">
        <v>296</v>
      </c>
      <c r="H99" s="643" t="s">
        <v>116</v>
      </c>
    </row>
    <row r="100" spans="1:8">
      <c r="A100" s="642" t="s">
        <v>3039</v>
      </c>
      <c r="B100" s="643" t="s">
        <v>2932</v>
      </c>
      <c r="D100" s="645" t="s">
        <v>3541</v>
      </c>
      <c r="E100" s="643" t="s">
        <v>3134</v>
      </c>
      <c r="G100" s="481" t="s">
        <v>297</v>
      </c>
      <c r="H100" s="643" t="s">
        <v>298</v>
      </c>
    </row>
    <row r="101" spans="1:8">
      <c r="D101" s="645" t="s">
        <v>3542</v>
      </c>
      <c r="E101" s="643" t="s">
        <v>3135</v>
      </c>
      <c r="G101" s="481" t="s">
        <v>299</v>
      </c>
      <c r="H101" s="643" t="s">
        <v>300</v>
      </c>
    </row>
    <row r="102" spans="1:8">
      <c r="D102" s="645" t="s">
        <v>3543</v>
      </c>
      <c r="E102" s="643" t="s">
        <v>3136</v>
      </c>
      <c r="G102" s="481" t="s">
        <v>301</v>
      </c>
      <c r="H102" s="643" t="s">
        <v>302</v>
      </c>
    </row>
    <row r="103" spans="1:8">
      <c r="D103" s="645" t="s">
        <v>3544</v>
      </c>
      <c r="E103" s="643" t="s">
        <v>3137</v>
      </c>
      <c r="G103" s="481" t="s">
        <v>303</v>
      </c>
      <c r="H103" s="643" t="s">
        <v>304</v>
      </c>
    </row>
    <row r="104" spans="1:8">
      <c r="D104" s="645" t="s">
        <v>3545</v>
      </c>
      <c r="E104" s="643" t="s">
        <v>3138</v>
      </c>
      <c r="G104" s="481" t="s">
        <v>305</v>
      </c>
      <c r="H104" s="643" t="s">
        <v>306</v>
      </c>
    </row>
    <row r="105" spans="1:8">
      <c r="D105" s="645" t="s">
        <v>3546</v>
      </c>
      <c r="E105" s="643" t="s">
        <v>3139</v>
      </c>
      <c r="G105" s="481" t="s">
        <v>307</v>
      </c>
      <c r="H105" s="643" t="s">
        <v>308</v>
      </c>
    </row>
    <row r="106" spans="1:8">
      <c r="D106" s="645" t="s">
        <v>3547</v>
      </c>
      <c r="E106" s="643" t="s">
        <v>3140</v>
      </c>
      <c r="G106" s="481" t="s">
        <v>309</v>
      </c>
      <c r="H106" s="643" t="s">
        <v>310</v>
      </c>
    </row>
    <row r="107" spans="1:8">
      <c r="D107" s="645" t="s">
        <v>3548</v>
      </c>
      <c r="E107" s="643" t="s">
        <v>811</v>
      </c>
      <c r="G107" s="481" t="s">
        <v>311</v>
      </c>
      <c r="H107" s="643" t="s">
        <v>312</v>
      </c>
    </row>
    <row r="108" spans="1:8">
      <c r="D108" s="645" t="s">
        <v>3549</v>
      </c>
      <c r="E108" s="643" t="s">
        <v>813</v>
      </c>
      <c r="G108" s="481" t="s">
        <v>313</v>
      </c>
      <c r="H108" s="643" t="s">
        <v>314</v>
      </c>
    </row>
    <row r="109" spans="1:8">
      <c r="D109" s="645" t="s">
        <v>3550</v>
      </c>
      <c r="E109" s="643" t="s">
        <v>815</v>
      </c>
      <c r="G109" s="481" t="s">
        <v>315</v>
      </c>
      <c r="H109" s="643" t="s">
        <v>316</v>
      </c>
    </row>
    <row r="110" spans="1:8">
      <c r="D110" s="645" t="s">
        <v>3551</v>
      </c>
      <c r="E110" s="643" t="s">
        <v>817</v>
      </c>
      <c r="G110" s="481" t="s">
        <v>317</v>
      </c>
      <c r="H110" s="643" t="s">
        <v>318</v>
      </c>
    </row>
    <row r="111" spans="1:8">
      <c r="D111" s="645" t="s">
        <v>3552</v>
      </c>
      <c r="E111" s="643" t="s">
        <v>819</v>
      </c>
      <c r="G111" s="481" t="s">
        <v>319</v>
      </c>
      <c r="H111" s="643" t="s">
        <v>320</v>
      </c>
    </row>
    <row r="112" spans="1:8">
      <c r="D112" s="645" t="s">
        <v>3553</v>
      </c>
      <c r="E112" s="643" t="s">
        <v>3141</v>
      </c>
      <c r="G112" s="481" t="s">
        <v>321</v>
      </c>
      <c r="H112" s="643" t="s">
        <v>322</v>
      </c>
    </row>
    <row r="113" spans="4:8">
      <c r="D113" s="645" t="s">
        <v>3554</v>
      </c>
      <c r="E113" s="643" t="s">
        <v>3142</v>
      </c>
      <c r="G113" s="481" t="s">
        <v>323</v>
      </c>
      <c r="H113" s="643" t="s">
        <v>324</v>
      </c>
    </row>
    <row r="114" spans="4:8">
      <c r="D114" s="645" t="s">
        <v>3555</v>
      </c>
      <c r="E114" s="643" t="s">
        <v>3143</v>
      </c>
      <c r="G114" s="481" t="s">
        <v>325</v>
      </c>
      <c r="H114" s="643" t="s">
        <v>326</v>
      </c>
    </row>
    <row r="115" spans="4:8">
      <c r="D115" s="645" t="s">
        <v>3556</v>
      </c>
      <c r="E115" s="643" t="s">
        <v>3144</v>
      </c>
      <c r="G115" s="481" t="s">
        <v>327</v>
      </c>
      <c r="H115" s="643" t="s">
        <v>328</v>
      </c>
    </row>
    <row r="116" spans="4:8">
      <c r="D116" s="645" t="s">
        <v>3557</v>
      </c>
      <c r="E116" s="643" t="s">
        <v>3145</v>
      </c>
      <c r="G116" s="481" t="s">
        <v>329</v>
      </c>
      <c r="H116" s="643" t="s">
        <v>330</v>
      </c>
    </row>
    <row r="117" spans="4:8">
      <c r="D117" s="645" t="s">
        <v>3558</v>
      </c>
      <c r="E117" s="643" t="s">
        <v>3146</v>
      </c>
      <c r="G117" s="481" t="s">
        <v>331</v>
      </c>
      <c r="H117" s="643" t="s">
        <v>332</v>
      </c>
    </row>
    <row r="118" spans="4:8">
      <c r="D118" s="645" t="s">
        <v>3559</v>
      </c>
      <c r="E118" s="643" t="s">
        <v>3147</v>
      </c>
      <c r="G118" s="481" t="s">
        <v>333</v>
      </c>
      <c r="H118" s="643" t="s">
        <v>334</v>
      </c>
    </row>
    <row r="119" spans="4:8">
      <c r="D119" s="645" t="s">
        <v>3560</v>
      </c>
      <c r="E119" s="643" t="s">
        <v>3148</v>
      </c>
      <c r="G119" s="481" t="s">
        <v>335</v>
      </c>
      <c r="H119" s="643" t="s">
        <v>336</v>
      </c>
    </row>
    <row r="120" spans="4:8">
      <c r="D120" s="645" t="s">
        <v>3561</v>
      </c>
      <c r="E120" s="643" t="s">
        <v>3149</v>
      </c>
      <c r="G120" s="481" t="s">
        <v>337</v>
      </c>
      <c r="H120" s="643" t="s">
        <v>338</v>
      </c>
    </row>
    <row r="121" spans="4:8">
      <c r="D121" s="645" t="s">
        <v>3562</v>
      </c>
      <c r="E121" s="643" t="s">
        <v>3150</v>
      </c>
      <c r="G121" s="481" t="s">
        <v>339</v>
      </c>
      <c r="H121" s="643" t="s">
        <v>340</v>
      </c>
    </row>
    <row r="122" spans="4:8">
      <c r="D122" s="645" t="s">
        <v>3563</v>
      </c>
      <c r="E122" s="643" t="s">
        <v>3151</v>
      </c>
      <c r="G122" s="481" t="s">
        <v>341</v>
      </c>
      <c r="H122" s="643" t="s">
        <v>342</v>
      </c>
    </row>
    <row r="123" spans="4:8">
      <c r="D123" s="645" t="s">
        <v>3564</v>
      </c>
      <c r="E123" s="643" t="s">
        <v>3152</v>
      </c>
      <c r="G123" s="481" t="s">
        <v>343</v>
      </c>
      <c r="H123" s="643" t="s">
        <v>344</v>
      </c>
    </row>
    <row r="124" spans="4:8">
      <c r="D124" s="645" t="s">
        <v>3565</v>
      </c>
      <c r="E124" s="643" t="s">
        <v>3153</v>
      </c>
      <c r="G124" s="481" t="s">
        <v>345</v>
      </c>
      <c r="H124" s="643" t="s">
        <v>346</v>
      </c>
    </row>
    <row r="125" spans="4:8">
      <c r="D125" s="645" t="s">
        <v>3566</v>
      </c>
      <c r="E125" s="643" t="s">
        <v>903</v>
      </c>
      <c r="G125" s="481" t="s">
        <v>347</v>
      </c>
      <c r="H125" s="643" t="s">
        <v>348</v>
      </c>
    </row>
    <row r="126" spans="4:8">
      <c r="D126" s="645" t="s">
        <v>3567</v>
      </c>
      <c r="E126" s="643" t="s">
        <v>905</v>
      </c>
      <c r="G126" s="481" t="s">
        <v>349</v>
      </c>
      <c r="H126" s="643" t="s">
        <v>114</v>
      </c>
    </row>
    <row r="127" spans="4:8">
      <c r="D127" s="645" t="s">
        <v>3568</v>
      </c>
      <c r="E127" s="643" t="s">
        <v>907</v>
      </c>
      <c r="G127" s="481" t="s">
        <v>350</v>
      </c>
      <c r="H127" s="643" t="s">
        <v>116</v>
      </c>
    </row>
    <row r="128" spans="4:8">
      <c r="D128" s="645" t="s">
        <v>3569</v>
      </c>
      <c r="E128" s="643" t="s">
        <v>909</v>
      </c>
      <c r="G128" s="481" t="s">
        <v>351</v>
      </c>
      <c r="H128" s="643" t="s">
        <v>352</v>
      </c>
    </row>
    <row r="129" spans="4:8">
      <c r="D129" s="645" t="s">
        <v>3570</v>
      </c>
      <c r="E129" s="643" t="s">
        <v>911</v>
      </c>
      <c r="G129" s="481" t="s">
        <v>353</v>
      </c>
      <c r="H129" s="643" t="s">
        <v>354</v>
      </c>
    </row>
    <row r="130" spans="4:8">
      <c r="D130" s="645" t="s">
        <v>3571</v>
      </c>
      <c r="E130" s="643" t="s">
        <v>913</v>
      </c>
      <c r="G130" s="481" t="s">
        <v>355</v>
      </c>
      <c r="H130" s="643" t="s">
        <v>356</v>
      </c>
    </row>
    <row r="131" spans="4:8">
      <c r="D131" s="645" t="s">
        <v>3572</v>
      </c>
      <c r="E131" s="643" t="s">
        <v>3154</v>
      </c>
      <c r="G131" s="481" t="s">
        <v>357</v>
      </c>
      <c r="H131" s="643" t="s">
        <v>358</v>
      </c>
    </row>
    <row r="132" spans="4:8">
      <c r="D132" s="645" t="s">
        <v>3573</v>
      </c>
      <c r="E132" s="643" t="s">
        <v>919</v>
      </c>
      <c r="G132" s="481" t="s">
        <v>359</v>
      </c>
      <c r="H132" s="643" t="s">
        <v>360</v>
      </c>
    </row>
    <row r="133" spans="4:8">
      <c r="D133" s="645" t="s">
        <v>3574</v>
      </c>
      <c r="E133" s="643" t="s">
        <v>921</v>
      </c>
      <c r="G133" s="481" t="s">
        <v>361</v>
      </c>
      <c r="H133" s="643" t="s">
        <v>362</v>
      </c>
    </row>
    <row r="134" spans="4:8">
      <c r="D134" s="645" t="s">
        <v>3575</v>
      </c>
      <c r="E134" s="643" t="s">
        <v>3155</v>
      </c>
      <c r="G134" s="481" t="s">
        <v>363</v>
      </c>
      <c r="H134" s="643" t="s">
        <v>364</v>
      </c>
    </row>
    <row r="135" spans="4:8">
      <c r="D135" s="645" t="s">
        <v>3576</v>
      </c>
      <c r="E135" s="643" t="s">
        <v>3156</v>
      </c>
      <c r="G135" s="481" t="s">
        <v>365</v>
      </c>
      <c r="H135" s="643" t="s">
        <v>366</v>
      </c>
    </row>
    <row r="136" spans="4:8">
      <c r="D136" s="645" t="s">
        <v>3577</v>
      </c>
      <c r="E136" s="643" t="s">
        <v>3157</v>
      </c>
      <c r="G136" s="481" t="s">
        <v>367</v>
      </c>
      <c r="H136" s="643" t="s">
        <v>368</v>
      </c>
    </row>
    <row r="137" spans="4:8">
      <c r="D137" s="645" t="s">
        <v>3578</v>
      </c>
      <c r="E137" s="643" t="s">
        <v>3158</v>
      </c>
      <c r="G137" s="481" t="s">
        <v>369</v>
      </c>
      <c r="H137" s="643" t="s">
        <v>370</v>
      </c>
    </row>
    <row r="138" spans="4:8">
      <c r="D138" s="645" t="s">
        <v>3579</v>
      </c>
      <c r="E138" s="643" t="s">
        <v>3159</v>
      </c>
      <c r="G138" s="481" t="s">
        <v>371</v>
      </c>
      <c r="H138" s="643" t="s">
        <v>372</v>
      </c>
    </row>
    <row r="139" spans="4:8">
      <c r="D139" s="645" t="s">
        <v>3580</v>
      </c>
      <c r="E139" s="643" t="s">
        <v>3160</v>
      </c>
      <c r="G139" s="481" t="s">
        <v>373</v>
      </c>
      <c r="H139" s="643" t="s">
        <v>374</v>
      </c>
    </row>
    <row r="140" spans="4:8">
      <c r="D140" s="645" t="s">
        <v>3581</v>
      </c>
      <c r="E140" s="643" t="s">
        <v>3161</v>
      </c>
      <c r="G140" s="481" t="s">
        <v>375</v>
      </c>
      <c r="H140" s="643" t="s">
        <v>376</v>
      </c>
    </row>
    <row r="141" spans="4:8">
      <c r="D141" s="645" t="s">
        <v>3582</v>
      </c>
      <c r="E141" s="643" t="s">
        <v>3162</v>
      </c>
      <c r="G141" s="481" t="s">
        <v>377</v>
      </c>
      <c r="H141" s="643" t="s">
        <v>378</v>
      </c>
    </row>
    <row r="142" spans="4:8">
      <c r="D142" s="645" t="s">
        <v>3583</v>
      </c>
      <c r="E142" s="643" t="s">
        <v>3163</v>
      </c>
      <c r="G142" s="481" t="s">
        <v>379</v>
      </c>
      <c r="H142" s="643" t="s">
        <v>380</v>
      </c>
    </row>
    <row r="143" spans="4:8">
      <c r="D143" s="645" t="s">
        <v>3584</v>
      </c>
      <c r="E143" s="643" t="s">
        <v>3164</v>
      </c>
      <c r="G143" s="481" t="s">
        <v>381</v>
      </c>
      <c r="H143" s="643" t="s">
        <v>114</v>
      </c>
    </row>
    <row r="144" spans="4:8">
      <c r="D144" s="645" t="s">
        <v>3585</v>
      </c>
      <c r="E144" s="643" t="s">
        <v>3165</v>
      </c>
      <c r="G144" s="481" t="s">
        <v>382</v>
      </c>
      <c r="H144" s="643" t="s">
        <v>116</v>
      </c>
    </row>
    <row r="145" spans="4:8">
      <c r="D145" s="645" t="s">
        <v>3586</v>
      </c>
      <c r="E145" s="643" t="s">
        <v>3166</v>
      </c>
      <c r="G145" s="481" t="s">
        <v>383</v>
      </c>
      <c r="H145" s="643" t="s">
        <v>384</v>
      </c>
    </row>
    <row r="146" spans="4:8">
      <c r="D146" s="645" t="s">
        <v>3587</v>
      </c>
      <c r="E146" s="643" t="s">
        <v>1021</v>
      </c>
      <c r="G146" s="481" t="s">
        <v>385</v>
      </c>
      <c r="H146" s="643" t="s">
        <v>386</v>
      </c>
    </row>
    <row r="147" spans="4:8">
      <c r="D147" s="645" t="s">
        <v>3588</v>
      </c>
      <c r="E147" s="643" t="s">
        <v>3167</v>
      </c>
      <c r="G147" s="481" t="s">
        <v>387</v>
      </c>
      <c r="H147" s="643" t="s">
        <v>388</v>
      </c>
    </row>
    <row r="148" spans="4:8">
      <c r="D148" s="645" t="s">
        <v>3589</v>
      </c>
      <c r="E148" s="643" t="s">
        <v>3168</v>
      </c>
      <c r="G148" s="481" t="s">
        <v>389</v>
      </c>
      <c r="H148" s="643" t="s">
        <v>390</v>
      </c>
    </row>
    <row r="149" spans="4:8">
      <c r="D149" s="645" t="s">
        <v>3590</v>
      </c>
      <c r="E149" s="643" t="s">
        <v>3169</v>
      </c>
      <c r="G149" s="481" t="s">
        <v>391</v>
      </c>
      <c r="H149" s="643" t="s">
        <v>392</v>
      </c>
    </row>
    <row r="150" spans="4:8">
      <c r="D150" s="645" t="s">
        <v>3591</v>
      </c>
      <c r="E150" s="643" t="s">
        <v>3170</v>
      </c>
      <c r="G150" s="481" t="s">
        <v>393</v>
      </c>
      <c r="H150" s="643" t="s">
        <v>394</v>
      </c>
    </row>
    <row r="151" spans="4:8">
      <c r="D151" s="645" t="s">
        <v>3592</v>
      </c>
      <c r="E151" s="643" t="s">
        <v>3171</v>
      </c>
      <c r="G151" s="481" t="s">
        <v>395</v>
      </c>
      <c r="H151" s="643" t="s">
        <v>396</v>
      </c>
    </row>
    <row r="152" spans="4:8">
      <c r="D152" s="645" t="s">
        <v>3593</v>
      </c>
      <c r="E152" s="643" t="s">
        <v>3172</v>
      </c>
      <c r="G152" s="481" t="s">
        <v>397</v>
      </c>
      <c r="H152" s="643" t="s">
        <v>398</v>
      </c>
    </row>
    <row r="153" spans="4:8">
      <c r="D153" s="645" t="s">
        <v>3594</v>
      </c>
      <c r="E153" s="643" t="s">
        <v>3173</v>
      </c>
      <c r="G153" s="481" t="s">
        <v>399</v>
      </c>
      <c r="H153" s="643" t="s">
        <v>400</v>
      </c>
    </row>
    <row r="154" spans="4:8">
      <c r="D154" s="645" t="s">
        <v>3595</v>
      </c>
      <c r="E154" s="643" t="s">
        <v>3174</v>
      </c>
      <c r="G154" s="481" t="s">
        <v>401</v>
      </c>
      <c r="H154" s="643" t="s">
        <v>402</v>
      </c>
    </row>
    <row r="155" spans="4:8">
      <c r="D155" s="645" t="s">
        <v>3596</v>
      </c>
      <c r="E155" s="643" t="s">
        <v>3175</v>
      </c>
      <c r="G155" s="481" t="s">
        <v>403</v>
      </c>
      <c r="H155" s="643" t="s">
        <v>404</v>
      </c>
    </row>
    <row r="156" spans="4:8">
      <c r="D156" s="645" t="s">
        <v>3597</v>
      </c>
      <c r="E156" s="643" t="s">
        <v>3176</v>
      </c>
      <c r="G156" s="481" t="s">
        <v>405</v>
      </c>
      <c r="H156" s="643" t="s">
        <v>406</v>
      </c>
    </row>
    <row r="157" spans="4:8">
      <c r="D157" s="645" t="s">
        <v>3598</v>
      </c>
      <c r="E157" s="643" t="s">
        <v>3177</v>
      </c>
      <c r="G157" s="481" t="s">
        <v>407</v>
      </c>
      <c r="H157" s="643" t="s">
        <v>408</v>
      </c>
    </row>
    <row r="158" spans="4:8">
      <c r="D158" s="645" t="s">
        <v>3599</v>
      </c>
      <c r="E158" s="643" t="s">
        <v>3178</v>
      </c>
      <c r="G158" s="481" t="s">
        <v>409</v>
      </c>
      <c r="H158" s="643" t="s">
        <v>410</v>
      </c>
    </row>
    <row r="159" spans="4:8">
      <c r="D159" s="645" t="s">
        <v>3600</v>
      </c>
      <c r="E159" s="643" t="s">
        <v>1103</v>
      </c>
      <c r="G159" s="481" t="s">
        <v>411</v>
      </c>
      <c r="H159" s="643" t="s">
        <v>412</v>
      </c>
    </row>
    <row r="160" spans="4:8">
      <c r="D160" s="645" t="s">
        <v>3601</v>
      </c>
      <c r="E160" s="643" t="s">
        <v>3179</v>
      </c>
      <c r="G160" s="481" t="s">
        <v>413</v>
      </c>
      <c r="H160" s="643" t="s">
        <v>414</v>
      </c>
    </row>
    <row r="161" spans="4:8">
      <c r="D161" s="645" t="s">
        <v>3602</v>
      </c>
      <c r="E161" s="643" t="s">
        <v>3180</v>
      </c>
      <c r="G161" s="481" t="s">
        <v>415</v>
      </c>
      <c r="H161" s="643" t="s">
        <v>416</v>
      </c>
    </row>
    <row r="162" spans="4:8">
      <c r="D162" s="645" t="s">
        <v>3603</v>
      </c>
      <c r="E162" s="643" t="s">
        <v>3181</v>
      </c>
      <c r="G162" s="481" t="s">
        <v>417</v>
      </c>
      <c r="H162" s="643" t="s">
        <v>418</v>
      </c>
    </row>
    <row r="163" spans="4:8">
      <c r="D163" s="645" t="s">
        <v>3604</v>
      </c>
      <c r="E163" s="643" t="s">
        <v>3182</v>
      </c>
      <c r="G163" s="481" t="s">
        <v>419</v>
      </c>
      <c r="H163" s="643" t="s">
        <v>420</v>
      </c>
    </row>
    <row r="164" spans="4:8">
      <c r="D164" s="645" t="s">
        <v>3605</v>
      </c>
      <c r="E164" s="643" t="s">
        <v>3183</v>
      </c>
      <c r="G164" s="481" t="s">
        <v>421</v>
      </c>
      <c r="H164" s="643" t="s">
        <v>422</v>
      </c>
    </row>
    <row r="165" spans="4:8">
      <c r="D165" s="645" t="s">
        <v>3606</v>
      </c>
      <c r="E165" s="643" t="s">
        <v>3184</v>
      </c>
      <c r="G165" s="481" t="s">
        <v>423</v>
      </c>
      <c r="H165" s="643" t="s">
        <v>424</v>
      </c>
    </row>
    <row r="166" spans="4:8">
      <c r="D166" s="645" t="s">
        <v>3607</v>
      </c>
      <c r="E166" s="643" t="s">
        <v>1161</v>
      </c>
      <c r="G166" s="481" t="s">
        <v>425</v>
      </c>
      <c r="H166" s="643" t="s">
        <v>426</v>
      </c>
    </row>
    <row r="167" spans="4:8">
      <c r="D167" s="645" t="s">
        <v>3608</v>
      </c>
      <c r="E167" s="643" t="s">
        <v>3185</v>
      </c>
      <c r="G167" s="481" t="s">
        <v>427</v>
      </c>
      <c r="H167" s="643" t="s">
        <v>428</v>
      </c>
    </row>
    <row r="168" spans="4:8">
      <c r="D168" s="645" t="s">
        <v>3609</v>
      </c>
      <c r="E168" s="643" t="s">
        <v>3186</v>
      </c>
      <c r="G168" s="481" t="s">
        <v>429</v>
      </c>
      <c r="H168" s="643" t="s">
        <v>430</v>
      </c>
    </row>
    <row r="169" spans="4:8">
      <c r="D169" s="645" t="s">
        <v>3610</v>
      </c>
      <c r="E169" s="643" t="s">
        <v>3187</v>
      </c>
      <c r="G169" s="481" t="s">
        <v>431</v>
      </c>
      <c r="H169" s="643" t="s">
        <v>432</v>
      </c>
    </row>
    <row r="170" spans="4:8">
      <c r="D170" s="645" t="s">
        <v>3611</v>
      </c>
      <c r="E170" s="643" t="s">
        <v>3188</v>
      </c>
      <c r="G170" s="481" t="s">
        <v>433</v>
      </c>
      <c r="H170" s="643" t="s">
        <v>434</v>
      </c>
    </row>
    <row r="171" spans="4:8">
      <c r="D171" s="645" t="s">
        <v>3612</v>
      </c>
      <c r="E171" s="643" t="s">
        <v>3189</v>
      </c>
      <c r="G171" s="481" t="s">
        <v>435</v>
      </c>
      <c r="H171" s="643" t="s">
        <v>436</v>
      </c>
    </row>
    <row r="172" spans="4:8">
      <c r="D172" s="645" t="s">
        <v>3613</v>
      </c>
      <c r="E172" s="643" t="s">
        <v>3190</v>
      </c>
      <c r="G172" s="481" t="s">
        <v>437</v>
      </c>
      <c r="H172" s="643" t="s">
        <v>438</v>
      </c>
    </row>
    <row r="173" spans="4:8">
      <c r="D173" s="645" t="s">
        <v>3614</v>
      </c>
      <c r="E173" s="643" t="s">
        <v>3191</v>
      </c>
      <c r="G173" s="481" t="s">
        <v>439</v>
      </c>
      <c r="H173" s="643" t="s">
        <v>440</v>
      </c>
    </row>
    <row r="174" spans="4:8">
      <c r="D174" s="645" t="s">
        <v>3615</v>
      </c>
      <c r="E174" s="643" t="s">
        <v>1211</v>
      </c>
      <c r="G174" s="481" t="s">
        <v>441</v>
      </c>
      <c r="H174" s="643" t="s">
        <v>442</v>
      </c>
    </row>
    <row r="175" spans="4:8">
      <c r="D175" s="645" t="s">
        <v>3616</v>
      </c>
      <c r="E175" s="643" t="s">
        <v>1213</v>
      </c>
      <c r="G175" s="481" t="s">
        <v>443</v>
      </c>
      <c r="H175" s="643" t="s">
        <v>444</v>
      </c>
    </row>
    <row r="176" spans="4:8">
      <c r="D176" s="645" t="s">
        <v>3617</v>
      </c>
      <c r="E176" s="643" t="s">
        <v>3192</v>
      </c>
      <c r="G176" s="481" t="s">
        <v>445</v>
      </c>
      <c r="H176" s="643" t="s">
        <v>446</v>
      </c>
    </row>
    <row r="177" spans="4:8">
      <c r="D177" s="645" t="s">
        <v>3618</v>
      </c>
      <c r="E177" s="643" t="s">
        <v>3193</v>
      </c>
      <c r="G177" s="481" t="s">
        <v>447</v>
      </c>
      <c r="H177" s="643" t="s">
        <v>448</v>
      </c>
    </row>
    <row r="178" spans="4:8">
      <c r="D178" s="645" t="s">
        <v>3619</v>
      </c>
      <c r="E178" s="643" t="s">
        <v>3194</v>
      </c>
      <c r="G178" s="481" t="s">
        <v>449</v>
      </c>
      <c r="H178" s="643" t="s">
        <v>450</v>
      </c>
    </row>
    <row r="179" spans="4:8">
      <c r="D179" s="645" t="s">
        <v>3620</v>
      </c>
      <c r="E179" s="643" t="s">
        <v>3195</v>
      </c>
      <c r="G179" s="481" t="s">
        <v>451</v>
      </c>
      <c r="H179" s="643" t="s">
        <v>452</v>
      </c>
    </row>
    <row r="180" spans="4:8">
      <c r="D180" s="645" t="s">
        <v>3621</v>
      </c>
      <c r="E180" s="643" t="s">
        <v>3196</v>
      </c>
      <c r="G180" s="481" t="s">
        <v>453</v>
      </c>
      <c r="H180" s="643" t="s">
        <v>454</v>
      </c>
    </row>
    <row r="181" spans="4:8">
      <c r="D181" s="645" t="s">
        <v>3622</v>
      </c>
      <c r="E181" s="643" t="s">
        <v>3197</v>
      </c>
      <c r="G181" s="481" t="s">
        <v>455</v>
      </c>
      <c r="H181" s="643" t="s">
        <v>456</v>
      </c>
    </row>
    <row r="182" spans="4:8">
      <c r="D182" s="645" t="s">
        <v>3623</v>
      </c>
      <c r="E182" s="643" t="s">
        <v>3198</v>
      </c>
      <c r="G182" s="481" t="s">
        <v>457</v>
      </c>
      <c r="H182" s="643" t="s">
        <v>458</v>
      </c>
    </row>
    <row r="183" spans="4:8">
      <c r="D183" s="645" t="s">
        <v>3624</v>
      </c>
      <c r="E183" s="643" t="s">
        <v>3199</v>
      </c>
      <c r="G183" s="481" t="s">
        <v>459</v>
      </c>
      <c r="H183" s="643" t="s">
        <v>460</v>
      </c>
    </row>
    <row r="184" spans="4:8">
      <c r="D184" s="645" t="s">
        <v>3625</v>
      </c>
      <c r="E184" s="643" t="s">
        <v>3200</v>
      </c>
      <c r="G184" s="481" t="s">
        <v>461</v>
      </c>
      <c r="H184" s="643" t="s">
        <v>462</v>
      </c>
    </row>
    <row r="185" spans="4:8">
      <c r="D185" s="645" t="s">
        <v>3626</v>
      </c>
      <c r="E185" s="643" t="s">
        <v>3201</v>
      </c>
      <c r="G185" s="481" t="s">
        <v>463</v>
      </c>
      <c r="H185" s="643" t="s">
        <v>464</v>
      </c>
    </row>
    <row r="186" spans="4:8">
      <c r="D186" s="645" t="s">
        <v>3627</v>
      </c>
      <c r="E186" s="643" t="s">
        <v>3202</v>
      </c>
      <c r="G186" s="481" t="s">
        <v>465</v>
      </c>
      <c r="H186" s="643" t="s">
        <v>114</v>
      </c>
    </row>
    <row r="187" spans="4:8">
      <c r="D187" s="645" t="s">
        <v>3628</v>
      </c>
      <c r="E187" s="643" t="s">
        <v>3203</v>
      </c>
      <c r="G187" s="481" t="s">
        <v>466</v>
      </c>
      <c r="H187" s="643" t="s">
        <v>116</v>
      </c>
    </row>
    <row r="188" spans="4:8">
      <c r="D188" s="645" t="s">
        <v>3629</v>
      </c>
      <c r="E188" s="643" t="s">
        <v>1309</v>
      </c>
      <c r="G188" s="481" t="s">
        <v>467</v>
      </c>
      <c r="H188" s="643" t="s">
        <v>468</v>
      </c>
    </row>
    <row r="189" spans="4:8">
      <c r="D189" s="645" t="s">
        <v>3630</v>
      </c>
      <c r="E189" s="643" t="s">
        <v>3204</v>
      </c>
      <c r="G189" s="481" t="s">
        <v>469</v>
      </c>
      <c r="H189" s="643" t="s">
        <v>470</v>
      </c>
    </row>
    <row r="190" spans="4:8">
      <c r="D190" s="645" t="s">
        <v>3631</v>
      </c>
      <c r="E190" s="643" t="s">
        <v>3205</v>
      </c>
      <c r="G190" s="481" t="s">
        <v>471</v>
      </c>
      <c r="H190" s="643" t="s">
        <v>472</v>
      </c>
    </row>
    <row r="191" spans="4:8">
      <c r="D191" s="645" t="s">
        <v>3632</v>
      </c>
      <c r="E191" s="643" t="s">
        <v>3206</v>
      </c>
      <c r="G191" s="481" t="s">
        <v>473</v>
      </c>
      <c r="H191" s="643" t="s">
        <v>474</v>
      </c>
    </row>
    <row r="192" spans="4:8">
      <c r="D192" s="645" t="s">
        <v>3633</v>
      </c>
      <c r="E192" s="643" t="s">
        <v>3207</v>
      </c>
      <c r="G192" s="481" t="s">
        <v>475</v>
      </c>
      <c r="H192" s="643" t="s">
        <v>476</v>
      </c>
    </row>
    <row r="193" spans="4:8">
      <c r="D193" s="645" t="s">
        <v>3634</v>
      </c>
      <c r="E193" s="643" t="s">
        <v>3208</v>
      </c>
      <c r="G193" s="481" t="s">
        <v>477</v>
      </c>
      <c r="H193" s="643" t="s">
        <v>478</v>
      </c>
    </row>
    <row r="194" spans="4:8">
      <c r="D194" s="645" t="s">
        <v>3635</v>
      </c>
      <c r="E194" s="643" t="s">
        <v>3209</v>
      </c>
      <c r="G194" s="481" t="s">
        <v>479</v>
      </c>
      <c r="H194" s="643" t="s">
        <v>480</v>
      </c>
    </row>
    <row r="195" spans="4:8">
      <c r="D195" s="645" t="s">
        <v>3636</v>
      </c>
      <c r="E195" s="643" t="s">
        <v>1341</v>
      </c>
      <c r="G195" s="481" t="s">
        <v>481</v>
      </c>
      <c r="H195" s="643" t="s">
        <v>482</v>
      </c>
    </row>
    <row r="196" spans="4:8">
      <c r="D196" s="645" t="s">
        <v>3637</v>
      </c>
      <c r="E196" s="643" t="s">
        <v>3210</v>
      </c>
      <c r="G196" s="481" t="s">
        <v>483</v>
      </c>
      <c r="H196" s="643" t="s">
        <v>484</v>
      </c>
    </row>
    <row r="197" spans="4:8">
      <c r="D197" s="645" t="s">
        <v>3638</v>
      </c>
      <c r="E197" s="643" t="s">
        <v>3211</v>
      </c>
      <c r="G197" s="481" t="s">
        <v>485</v>
      </c>
      <c r="H197" s="643" t="s">
        <v>486</v>
      </c>
    </row>
    <row r="198" spans="4:8">
      <c r="D198" s="645" t="s">
        <v>3639</v>
      </c>
      <c r="E198" s="643" t="s">
        <v>3212</v>
      </c>
      <c r="G198" s="481" t="s">
        <v>487</v>
      </c>
      <c r="H198" s="643" t="s">
        <v>488</v>
      </c>
    </row>
    <row r="199" spans="4:8">
      <c r="D199" s="645" t="s">
        <v>3640</v>
      </c>
      <c r="E199" s="643" t="s">
        <v>3213</v>
      </c>
      <c r="G199" s="481" t="s">
        <v>489</v>
      </c>
      <c r="H199" s="643" t="s">
        <v>490</v>
      </c>
    </row>
    <row r="200" spans="4:8">
      <c r="D200" s="645" t="s">
        <v>3641</v>
      </c>
      <c r="E200" s="643" t="s">
        <v>3214</v>
      </c>
      <c r="G200" s="481" t="s">
        <v>491</v>
      </c>
      <c r="H200" s="643" t="s">
        <v>492</v>
      </c>
    </row>
    <row r="201" spans="4:8">
      <c r="D201" s="645" t="s">
        <v>3642</v>
      </c>
      <c r="E201" s="643" t="s">
        <v>3215</v>
      </c>
      <c r="G201" s="481" t="s">
        <v>493</v>
      </c>
      <c r="H201" s="643" t="s">
        <v>114</v>
      </c>
    </row>
    <row r="202" spans="4:8">
      <c r="D202" s="645" t="s">
        <v>3643</v>
      </c>
      <c r="E202" s="643" t="s">
        <v>3216</v>
      </c>
      <c r="G202" s="481" t="s">
        <v>494</v>
      </c>
      <c r="H202" s="643" t="s">
        <v>116</v>
      </c>
    </row>
    <row r="203" spans="4:8">
      <c r="D203" s="645" t="s">
        <v>3644</v>
      </c>
      <c r="E203" s="643" t="s">
        <v>3217</v>
      </c>
      <c r="G203" s="481" t="s">
        <v>495</v>
      </c>
      <c r="H203" s="643" t="s">
        <v>496</v>
      </c>
    </row>
    <row r="204" spans="4:8">
      <c r="D204" s="645" t="s">
        <v>3645</v>
      </c>
      <c r="E204" s="643" t="s">
        <v>1389</v>
      </c>
      <c r="G204" s="481" t="s">
        <v>497</v>
      </c>
      <c r="H204" s="643" t="s">
        <v>498</v>
      </c>
    </row>
    <row r="205" spans="4:8">
      <c r="D205" s="645" t="s">
        <v>3646</v>
      </c>
      <c r="E205" s="643" t="s">
        <v>3218</v>
      </c>
      <c r="G205" s="481" t="s">
        <v>499</v>
      </c>
      <c r="H205" s="643" t="s">
        <v>500</v>
      </c>
    </row>
    <row r="206" spans="4:8">
      <c r="D206" s="645" t="s">
        <v>3647</v>
      </c>
      <c r="E206" s="643" t="s">
        <v>3219</v>
      </c>
      <c r="G206" s="481" t="s">
        <v>501</v>
      </c>
      <c r="H206" s="643" t="s">
        <v>502</v>
      </c>
    </row>
    <row r="207" spans="4:8">
      <c r="D207" s="645" t="s">
        <v>3648</v>
      </c>
      <c r="E207" s="643" t="s">
        <v>3220</v>
      </c>
      <c r="G207" s="481" t="s">
        <v>503</v>
      </c>
      <c r="H207" s="643" t="s">
        <v>504</v>
      </c>
    </row>
    <row r="208" spans="4:8">
      <c r="D208" s="645" t="s">
        <v>3649</v>
      </c>
      <c r="E208" s="643" t="s">
        <v>3221</v>
      </c>
      <c r="G208" s="481" t="s">
        <v>505</v>
      </c>
      <c r="H208" s="643" t="s">
        <v>506</v>
      </c>
    </row>
    <row r="209" spans="4:8">
      <c r="D209" s="645" t="s">
        <v>3650</v>
      </c>
      <c r="E209" s="643" t="s">
        <v>3222</v>
      </c>
      <c r="G209" s="481" t="s">
        <v>507</v>
      </c>
      <c r="H209" s="643" t="s">
        <v>508</v>
      </c>
    </row>
    <row r="210" spans="4:8">
      <c r="D210" s="645" t="s">
        <v>3651</v>
      </c>
      <c r="E210" s="643" t="s">
        <v>3223</v>
      </c>
      <c r="G210" s="481" t="s">
        <v>509</v>
      </c>
      <c r="H210" s="643" t="s">
        <v>510</v>
      </c>
    </row>
    <row r="211" spans="4:8">
      <c r="D211" s="645" t="s">
        <v>3652</v>
      </c>
      <c r="E211" s="643" t="s">
        <v>3224</v>
      </c>
      <c r="G211" s="481" t="s">
        <v>511</v>
      </c>
      <c r="H211" s="643" t="s">
        <v>512</v>
      </c>
    </row>
    <row r="212" spans="4:8">
      <c r="D212" s="645" t="s">
        <v>3653</v>
      </c>
      <c r="E212" s="643" t="s">
        <v>3225</v>
      </c>
      <c r="G212" s="481" t="s">
        <v>513</v>
      </c>
      <c r="H212" s="643" t="s">
        <v>514</v>
      </c>
    </row>
    <row r="213" spans="4:8">
      <c r="D213" s="645" t="s">
        <v>3654</v>
      </c>
      <c r="E213" s="643" t="s">
        <v>3226</v>
      </c>
      <c r="G213" s="481" t="s">
        <v>515</v>
      </c>
      <c r="H213" s="643" t="s">
        <v>516</v>
      </c>
    </row>
    <row r="214" spans="4:8">
      <c r="D214" s="645" t="s">
        <v>3655</v>
      </c>
      <c r="E214" s="643" t="s">
        <v>3227</v>
      </c>
      <c r="G214" s="481" t="s">
        <v>517</v>
      </c>
      <c r="H214" s="643" t="s">
        <v>518</v>
      </c>
    </row>
    <row r="215" spans="4:8">
      <c r="D215" s="645" t="s">
        <v>3656</v>
      </c>
      <c r="E215" s="643" t="s">
        <v>3228</v>
      </c>
      <c r="G215" s="481" t="s">
        <v>519</v>
      </c>
      <c r="H215" s="643" t="s">
        <v>520</v>
      </c>
    </row>
    <row r="216" spans="4:8">
      <c r="D216" s="645" t="s">
        <v>3657</v>
      </c>
      <c r="E216" s="643" t="s">
        <v>3229</v>
      </c>
      <c r="G216" s="481" t="s">
        <v>521</v>
      </c>
      <c r="H216" s="643" t="s">
        <v>522</v>
      </c>
    </row>
    <row r="217" spans="4:8">
      <c r="D217" s="645" t="s">
        <v>3658</v>
      </c>
      <c r="E217" s="643" t="s">
        <v>3230</v>
      </c>
      <c r="G217" s="481" t="s">
        <v>523</v>
      </c>
      <c r="H217" s="643" t="s">
        <v>524</v>
      </c>
    </row>
    <row r="218" spans="4:8">
      <c r="D218" s="645" t="s">
        <v>3659</v>
      </c>
      <c r="E218" s="643" t="s">
        <v>3231</v>
      </c>
      <c r="G218" s="481" t="s">
        <v>525</v>
      </c>
      <c r="H218" s="643" t="s">
        <v>526</v>
      </c>
    </row>
    <row r="219" spans="4:8">
      <c r="D219" s="645" t="s">
        <v>3660</v>
      </c>
      <c r="E219" s="643" t="s">
        <v>1475</v>
      </c>
      <c r="G219" s="481" t="s">
        <v>527</v>
      </c>
      <c r="H219" s="643" t="s">
        <v>528</v>
      </c>
    </row>
    <row r="220" spans="4:8">
      <c r="D220" s="645" t="s">
        <v>3661</v>
      </c>
      <c r="E220" s="643" t="s">
        <v>3232</v>
      </c>
      <c r="G220" s="481" t="s">
        <v>529</v>
      </c>
      <c r="H220" s="643" t="s">
        <v>530</v>
      </c>
    </row>
    <row r="221" spans="4:8">
      <c r="D221" s="645" t="s">
        <v>3662</v>
      </c>
      <c r="E221" s="643" t="s">
        <v>3233</v>
      </c>
      <c r="G221" s="481" t="s">
        <v>531</v>
      </c>
      <c r="H221" s="643" t="s">
        <v>532</v>
      </c>
    </row>
    <row r="222" spans="4:8">
      <c r="D222" s="645" t="s">
        <v>3663</v>
      </c>
      <c r="E222" s="643" t="s">
        <v>3234</v>
      </c>
      <c r="G222" s="481" t="s">
        <v>533</v>
      </c>
      <c r="H222" s="643" t="s">
        <v>534</v>
      </c>
    </row>
    <row r="223" spans="4:8">
      <c r="D223" s="645" t="s">
        <v>3664</v>
      </c>
      <c r="E223" s="643" t="s">
        <v>1493</v>
      </c>
      <c r="G223" s="481" t="s">
        <v>535</v>
      </c>
      <c r="H223" s="643" t="s">
        <v>536</v>
      </c>
    </row>
    <row r="224" spans="4:8">
      <c r="D224" s="645" t="s">
        <v>3665</v>
      </c>
      <c r="E224" s="643" t="s">
        <v>3235</v>
      </c>
      <c r="G224" s="481" t="s">
        <v>537</v>
      </c>
      <c r="H224" s="643" t="s">
        <v>538</v>
      </c>
    </row>
    <row r="225" spans="4:8">
      <c r="D225" s="645" t="s">
        <v>3666</v>
      </c>
      <c r="E225" s="643" t="s">
        <v>3236</v>
      </c>
      <c r="G225" s="481" t="s">
        <v>539</v>
      </c>
      <c r="H225" s="643" t="s">
        <v>540</v>
      </c>
    </row>
    <row r="226" spans="4:8">
      <c r="D226" s="645" t="s">
        <v>3667</v>
      </c>
      <c r="E226" s="643" t="s">
        <v>3237</v>
      </c>
      <c r="G226" s="481" t="s">
        <v>541</v>
      </c>
      <c r="H226" s="643" t="s">
        <v>542</v>
      </c>
    </row>
    <row r="227" spans="4:8">
      <c r="D227" s="645" t="s">
        <v>3668</v>
      </c>
      <c r="E227" s="643" t="s">
        <v>2876</v>
      </c>
      <c r="G227" s="481" t="s">
        <v>543</v>
      </c>
      <c r="H227" s="643" t="s">
        <v>544</v>
      </c>
    </row>
    <row r="228" spans="4:8">
      <c r="D228" s="645" t="s">
        <v>3669</v>
      </c>
      <c r="E228" s="643" t="s">
        <v>3238</v>
      </c>
      <c r="G228" s="481" t="s">
        <v>545</v>
      </c>
      <c r="H228" s="643" t="s">
        <v>546</v>
      </c>
    </row>
    <row r="229" spans="4:8">
      <c r="D229" s="645" t="s">
        <v>3670</v>
      </c>
      <c r="E229" s="643" t="s">
        <v>2877</v>
      </c>
      <c r="G229" s="481" t="s">
        <v>547</v>
      </c>
      <c r="H229" s="643" t="s">
        <v>548</v>
      </c>
    </row>
    <row r="230" spans="4:8">
      <c r="D230" s="645" t="s">
        <v>3671</v>
      </c>
      <c r="E230" s="643" t="s">
        <v>3239</v>
      </c>
      <c r="G230" s="481" t="s">
        <v>549</v>
      </c>
      <c r="H230" s="643" t="s">
        <v>550</v>
      </c>
    </row>
    <row r="231" spans="4:8">
      <c r="D231" s="645" t="s">
        <v>3672</v>
      </c>
      <c r="E231" s="643" t="s">
        <v>1537</v>
      </c>
      <c r="G231" s="481" t="s">
        <v>551</v>
      </c>
      <c r="H231" s="643" t="s">
        <v>552</v>
      </c>
    </row>
    <row r="232" spans="4:8">
      <c r="D232" s="645" t="s">
        <v>3673</v>
      </c>
      <c r="E232" s="643" t="s">
        <v>3240</v>
      </c>
      <c r="G232" s="481" t="s">
        <v>553</v>
      </c>
      <c r="H232" s="643" t="s">
        <v>554</v>
      </c>
    </row>
    <row r="233" spans="4:8">
      <c r="D233" s="645" t="s">
        <v>3674</v>
      </c>
      <c r="E233" s="643" t="s">
        <v>1541</v>
      </c>
      <c r="G233" s="481" t="s">
        <v>555</v>
      </c>
      <c r="H233" s="643" t="s">
        <v>556</v>
      </c>
    </row>
    <row r="234" spans="4:8">
      <c r="D234" s="645" t="s">
        <v>3675</v>
      </c>
      <c r="E234" s="643" t="s">
        <v>1543</v>
      </c>
      <c r="G234" s="481" t="s">
        <v>557</v>
      </c>
      <c r="H234" s="643" t="s">
        <v>558</v>
      </c>
    </row>
    <row r="235" spans="4:8">
      <c r="D235" s="645" t="s">
        <v>3676</v>
      </c>
      <c r="E235" s="643" t="s">
        <v>3241</v>
      </c>
      <c r="G235" s="481" t="s">
        <v>559</v>
      </c>
      <c r="H235" s="643" t="s">
        <v>560</v>
      </c>
    </row>
    <row r="236" spans="4:8">
      <c r="D236" s="645" t="s">
        <v>3677</v>
      </c>
      <c r="E236" s="643" t="s">
        <v>3242</v>
      </c>
      <c r="G236" s="481" t="s">
        <v>561</v>
      </c>
      <c r="H236" s="643" t="s">
        <v>562</v>
      </c>
    </row>
    <row r="237" spans="4:8">
      <c r="D237" s="645" t="s">
        <v>3678</v>
      </c>
      <c r="E237" s="643" t="s">
        <v>3243</v>
      </c>
      <c r="G237" s="481" t="s">
        <v>563</v>
      </c>
      <c r="H237" s="643" t="s">
        <v>564</v>
      </c>
    </row>
    <row r="238" spans="4:8">
      <c r="D238" s="645" t="s">
        <v>3679</v>
      </c>
      <c r="E238" s="643" t="s">
        <v>1559</v>
      </c>
      <c r="G238" s="481" t="s">
        <v>565</v>
      </c>
      <c r="H238" s="643" t="s">
        <v>566</v>
      </c>
    </row>
    <row r="239" spans="4:8">
      <c r="D239" s="645" t="s">
        <v>3680</v>
      </c>
      <c r="E239" s="643" t="s">
        <v>1561</v>
      </c>
      <c r="G239" s="481" t="s">
        <v>567</v>
      </c>
      <c r="H239" s="643" t="s">
        <v>568</v>
      </c>
    </row>
    <row r="240" spans="4:8">
      <c r="D240" s="645" t="s">
        <v>3681</v>
      </c>
      <c r="E240" s="643" t="s">
        <v>3244</v>
      </c>
      <c r="G240" s="481" t="s">
        <v>569</v>
      </c>
      <c r="H240" s="643" t="s">
        <v>570</v>
      </c>
    </row>
    <row r="241" spans="4:8">
      <c r="D241" s="645" t="s">
        <v>3682</v>
      </c>
      <c r="E241" s="643" t="s">
        <v>1565</v>
      </c>
      <c r="G241" s="481" t="s">
        <v>571</v>
      </c>
      <c r="H241" s="643" t="s">
        <v>572</v>
      </c>
    </row>
    <row r="242" spans="4:8">
      <c r="D242" s="645" t="s">
        <v>3683</v>
      </c>
      <c r="E242" s="643" t="s">
        <v>3245</v>
      </c>
      <c r="G242" s="481" t="s">
        <v>573</v>
      </c>
      <c r="H242" s="643" t="s">
        <v>2841</v>
      </c>
    </row>
    <row r="243" spans="4:8">
      <c r="D243" s="645" t="s">
        <v>3684</v>
      </c>
      <c r="E243" s="643" t="s">
        <v>3246</v>
      </c>
      <c r="G243" s="481" t="s">
        <v>574</v>
      </c>
      <c r="H243" s="643" t="s">
        <v>575</v>
      </c>
    </row>
    <row r="244" spans="4:8">
      <c r="D244" s="645" t="s">
        <v>3685</v>
      </c>
      <c r="E244" s="643" t="s">
        <v>3247</v>
      </c>
      <c r="G244" s="481" t="s">
        <v>576</v>
      </c>
      <c r="H244" s="643" t="s">
        <v>577</v>
      </c>
    </row>
    <row r="245" spans="4:8">
      <c r="D245" s="645" t="s">
        <v>3686</v>
      </c>
      <c r="E245" s="643" t="s">
        <v>3248</v>
      </c>
      <c r="G245" s="481" t="s">
        <v>578</v>
      </c>
      <c r="H245" s="643" t="s">
        <v>579</v>
      </c>
    </row>
    <row r="246" spans="4:8">
      <c r="D246" s="645" t="s">
        <v>3687</v>
      </c>
      <c r="E246" s="643" t="s">
        <v>3249</v>
      </c>
      <c r="G246" s="481" t="s">
        <v>580</v>
      </c>
      <c r="H246" s="643" t="s">
        <v>581</v>
      </c>
    </row>
    <row r="247" spans="4:8">
      <c r="D247" s="645" t="s">
        <v>3688</v>
      </c>
      <c r="E247" s="643" t="s">
        <v>3250</v>
      </c>
      <c r="G247" s="481" t="s">
        <v>582</v>
      </c>
      <c r="H247" s="643" t="s">
        <v>583</v>
      </c>
    </row>
    <row r="248" spans="4:8">
      <c r="D248" s="645" t="s">
        <v>3689</v>
      </c>
      <c r="E248" s="643" t="s">
        <v>2882</v>
      </c>
      <c r="G248" s="481" t="s">
        <v>584</v>
      </c>
      <c r="H248" s="643" t="s">
        <v>585</v>
      </c>
    </row>
    <row r="249" spans="4:8">
      <c r="D249" s="645" t="s">
        <v>3690</v>
      </c>
      <c r="E249" s="643" t="s">
        <v>3251</v>
      </c>
      <c r="G249" s="481" t="s">
        <v>586</v>
      </c>
      <c r="H249" s="643" t="s">
        <v>587</v>
      </c>
    </row>
    <row r="250" spans="4:8">
      <c r="D250" s="645" t="s">
        <v>3691</v>
      </c>
      <c r="E250" s="643" t="s">
        <v>3252</v>
      </c>
      <c r="G250" s="481" t="s">
        <v>588</v>
      </c>
      <c r="H250" s="643" t="s">
        <v>589</v>
      </c>
    </row>
    <row r="251" spans="4:8">
      <c r="D251" s="645" t="s">
        <v>3692</v>
      </c>
      <c r="E251" s="643" t="s">
        <v>3253</v>
      </c>
      <c r="G251" s="481" t="s">
        <v>590</v>
      </c>
      <c r="H251" s="643" t="s">
        <v>591</v>
      </c>
    </row>
    <row r="252" spans="4:8">
      <c r="D252" s="645" t="s">
        <v>3693</v>
      </c>
      <c r="E252" s="643" t="s">
        <v>1619</v>
      </c>
      <c r="G252" s="481" t="s">
        <v>592</v>
      </c>
      <c r="H252" s="643" t="s">
        <v>593</v>
      </c>
    </row>
    <row r="253" spans="4:8">
      <c r="D253" s="645" t="s">
        <v>3694</v>
      </c>
      <c r="E253" s="643" t="s">
        <v>1621</v>
      </c>
      <c r="G253" s="481" t="s">
        <v>594</v>
      </c>
      <c r="H253" s="643" t="s">
        <v>595</v>
      </c>
    </row>
    <row r="254" spans="4:8">
      <c r="D254" s="645" t="s">
        <v>3695</v>
      </c>
      <c r="E254" s="643" t="s">
        <v>1623</v>
      </c>
      <c r="G254" s="481" t="s">
        <v>596</v>
      </c>
      <c r="H254" s="643" t="s">
        <v>597</v>
      </c>
    </row>
    <row r="255" spans="4:8">
      <c r="D255" s="645" t="s">
        <v>3696</v>
      </c>
      <c r="E255" s="643" t="s">
        <v>3254</v>
      </c>
      <c r="G255" s="481" t="s">
        <v>598</v>
      </c>
      <c r="H255" s="643" t="s">
        <v>599</v>
      </c>
    </row>
    <row r="256" spans="4:8">
      <c r="D256" s="645" t="s">
        <v>3697</v>
      </c>
      <c r="E256" s="643" t="s">
        <v>3255</v>
      </c>
      <c r="G256" s="481" t="s">
        <v>600</v>
      </c>
      <c r="H256" s="643" t="s">
        <v>601</v>
      </c>
    </row>
    <row r="257" spans="4:8">
      <c r="D257" s="645" t="s">
        <v>3698</v>
      </c>
      <c r="E257" s="643" t="s">
        <v>2884</v>
      </c>
      <c r="G257" s="481" t="s">
        <v>602</v>
      </c>
      <c r="H257" s="643" t="s">
        <v>603</v>
      </c>
    </row>
    <row r="258" spans="4:8">
      <c r="D258" s="645" t="s">
        <v>3699</v>
      </c>
      <c r="E258" s="643" t="s">
        <v>3256</v>
      </c>
      <c r="G258" s="481" t="s">
        <v>604</v>
      </c>
      <c r="H258" s="643" t="s">
        <v>605</v>
      </c>
    </row>
    <row r="259" spans="4:8">
      <c r="D259" s="645" t="s">
        <v>3700</v>
      </c>
      <c r="E259" s="643" t="s">
        <v>1649</v>
      </c>
      <c r="G259" s="481" t="s">
        <v>606</v>
      </c>
      <c r="H259" s="643" t="s">
        <v>607</v>
      </c>
    </row>
    <row r="260" spans="4:8">
      <c r="D260" s="645" t="s">
        <v>3701</v>
      </c>
      <c r="E260" s="643" t="s">
        <v>1651</v>
      </c>
      <c r="G260" s="481" t="s">
        <v>608</v>
      </c>
      <c r="H260" s="643" t="s">
        <v>609</v>
      </c>
    </row>
    <row r="261" spans="4:8">
      <c r="D261" s="645" t="s">
        <v>3702</v>
      </c>
      <c r="E261" s="643" t="s">
        <v>1653</v>
      </c>
      <c r="G261" s="481" t="s">
        <v>610</v>
      </c>
      <c r="H261" s="643" t="s">
        <v>611</v>
      </c>
    </row>
    <row r="262" spans="4:8">
      <c r="D262" s="645" t="s">
        <v>3703</v>
      </c>
      <c r="E262" s="643" t="s">
        <v>3257</v>
      </c>
      <c r="G262" s="481" t="s">
        <v>612</v>
      </c>
      <c r="H262" s="643" t="s">
        <v>613</v>
      </c>
    </row>
    <row r="263" spans="4:8">
      <c r="D263" s="645" t="s">
        <v>3704</v>
      </c>
      <c r="E263" s="643" t="s">
        <v>3258</v>
      </c>
      <c r="G263" s="481" t="s">
        <v>614</v>
      </c>
      <c r="H263" s="643" t="s">
        <v>615</v>
      </c>
    </row>
    <row r="264" spans="4:8">
      <c r="D264" s="645" t="s">
        <v>3705</v>
      </c>
      <c r="E264" s="643" t="s">
        <v>3259</v>
      </c>
      <c r="G264" s="481" t="s">
        <v>616</v>
      </c>
      <c r="H264" s="643" t="s">
        <v>617</v>
      </c>
    </row>
    <row r="265" spans="4:8">
      <c r="D265" s="645" t="s">
        <v>3706</v>
      </c>
      <c r="E265" s="643" t="s">
        <v>1665</v>
      </c>
      <c r="G265" s="481" t="s">
        <v>618</v>
      </c>
      <c r="H265" s="643" t="s">
        <v>619</v>
      </c>
    </row>
    <row r="266" spans="4:8">
      <c r="D266" s="645" t="s">
        <v>3707</v>
      </c>
      <c r="E266" s="643" t="s">
        <v>1667</v>
      </c>
      <c r="G266" s="481" t="s">
        <v>620</v>
      </c>
      <c r="H266" s="643" t="s">
        <v>621</v>
      </c>
    </row>
    <row r="267" spans="4:8">
      <c r="D267" s="645" t="s">
        <v>3708</v>
      </c>
      <c r="E267" s="643" t="s">
        <v>1669</v>
      </c>
      <c r="G267" s="481" t="s">
        <v>622</v>
      </c>
      <c r="H267" s="643" t="s">
        <v>114</v>
      </c>
    </row>
    <row r="268" spans="4:8">
      <c r="D268" s="645" t="s">
        <v>3709</v>
      </c>
      <c r="E268" s="643" t="s">
        <v>1671</v>
      </c>
      <c r="G268" s="481" t="s">
        <v>623</v>
      </c>
      <c r="H268" s="643" t="s">
        <v>116</v>
      </c>
    </row>
    <row r="269" spans="4:8">
      <c r="D269" s="645" t="s">
        <v>3710</v>
      </c>
      <c r="E269" s="643" t="s">
        <v>3260</v>
      </c>
      <c r="G269" s="481" t="s">
        <v>624</v>
      </c>
      <c r="H269" s="643" t="s">
        <v>625</v>
      </c>
    </row>
    <row r="270" spans="4:8">
      <c r="D270" s="645" t="s">
        <v>3711</v>
      </c>
      <c r="E270" s="643" t="s">
        <v>3261</v>
      </c>
      <c r="G270" s="481" t="s">
        <v>626</v>
      </c>
      <c r="H270" s="643" t="s">
        <v>627</v>
      </c>
    </row>
    <row r="271" spans="4:8">
      <c r="D271" s="645" t="s">
        <v>3712</v>
      </c>
      <c r="E271" s="643" t="s">
        <v>3262</v>
      </c>
      <c r="G271" s="481" t="s">
        <v>628</v>
      </c>
      <c r="H271" s="643" t="s">
        <v>629</v>
      </c>
    </row>
    <row r="272" spans="4:8">
      <c r="D272" s="645" t="s">
        <v>3713</v>
      </c>
      <c r="E272" s="643" t="s">
        <v>3263</v>
      </c>
      <c r="G272" s="481" t="s">
        <v>630</v>
      </c>
      <c r="H272" s="643" t="s">
        <v>631</v>
      </c>
    </row>
    <row r="273" spans="4:8">
      <c r="D273" s="645" t="s">
        <v>3714</v>
      </c>
      <c r="E273" s="643" t="s">
        <v>3264</v>
      </c>
      <c r="G273" s="481" t="s">
        <v>632</v>
      </c>
      <c r="H273" s="643" t="s">
        <v>633</v>
      </c>
    </row>
    <row r="274" spans="4:8">
      <c r="D274" s="645" t="s">
        <v>3715</v>
      </c>
      <c r="E274" s="643" t="s">
        <v>3265</v>
      </c>
      <c r="G274" s="481" t="s">
        <v>634</v>
      </c>
      <c r="H274" s="643" t="s">
        <v>635</v>
      </c>
    </row>
    <row r="275" spans="4:8">
      <c r="D275" s="645" t="s">
        <v>3716</v>
      </c>
      <c r="E275" s="643" t="s">
        <v>1695</v>
      </c>
      <c r="G275" s="481" t="s">
        <v>636</v>
      </c>
      <c r="H275" s="643" t="s">
        <v>637</v>
      </c>
    </row>
    <row r="276" spans="4:8">
      <c r="D276" s="645" t="s">
        <v>3717</v>
      </c>
      <c r="E276" s="643" t="s">
        <v>1697</v>
      </c>
      <c r="G276" s="481" t="s">
        <v>638</v>
      </c>
      <c r="H276" s="643" t="s">
        <v>639</v>
      </c>
    </row>
    <row r="277" spans="4:8">
      <c r="D277" s="645" t="s">
        <v>3718</v>
      </c>
      <c r="E277" s="643" t="s">
        <v>3266</v>
      </c>
      <c r="G277" s="481" t="s">
        <v>640</v>
      </c>
      <c r="H277" s="643" t="s">
        <v>641</v>
      </c>
    </row>
    <row r="278" spans="4:8">
      <c r="D278" s="645" t="s">
        <v>3719</v>
      </c>
      <c r="E278" s="643" t="s">
        <v>1701</v>
      </c>
      <c r="G278" s="481" t="s">
        <v>642</v>
      </c>
      <c r="H278" s="643" t="s">
        <v>643</v>
      </c>
    </row>
    <row r="279" spans="4:8">
      <c r="D279" s="645" t="s">
        <v>3720</v>
      </c>
      <c r="E279" s="643" t="s">
        <v>1703</v>
      </c>
      <c r="G279" s="481" t="s">
        <v>644</v>
      </c>
      <c r="H279" s="643" t="s">
        <v>645</v>
      </c>
    </row>
    <row r="280" spans="4:8">
      <c r="D280" s="645" t="s">
        <v>3721</v>
      </c>
      <c r="E280" s="643" t="s">
        <v>3267</v>
      </c>
      <c r="G280" s="481" t="s">
        <v>646</v>
      </c>
      <c r="H280" s="643" t="s">
        <v>647</v>
      </c>
    </row>
    <row r="281" spans="4:8">
      <c r="D281" s="645" t="s">
        <v>3722</v>
      </c>
      <c r="E281" s="643" t="s">
        <v>1707</v>
      </c>
      <c r="G281" s="481" t="s">
        <v>648</v>
      </c>
      <c r="H281" s="643" t="s">
        <v>649</v>
      </c>
    </row>
    <row r="282" spans="4:8">
      <c r="D282" s="645" t="s">
        <v>3723</v>
      </c>
      <c r="E282" s="643" t="s">
        <v>3268</v>
      </c>
      <c r="G282" s="481" t="s">
        <v>650</v>
      </c>
      <c r="H282" s="643" t="s">
        <v>651</v>
      </c>
    </row>
    <row r="283" spans="4:8">
      <c r="D283" s="645" t="s">
        <v>3724</v>
      </c>
      <c r="E283" s="643" t="s">
        <v>1713</v>
      </c>
      <c r="G283" s="481" t="s">
        <v>652</v>
      </c>
      <c r="H283" s="643" t="s">
        <v>653</v>
      </c>
    </row>
    <row r="284" spans="4:8">
      <c r="D284" s="645" t="s">
        <v>3725</v>
      </c>
      <c r="E284" s="643" t="s">
        <v>3269</v>
      </c>
      <c r="G284" s="481" t="s">
        <v>654</v>
      </c>
      <c r="H284" s="643" t="s">
        <v>655</v>
      </c>
    </row>
    <row r="285" spans="4:8">
      <c r="D285" s="645" t="s">
        <v>3726</v>
      </c>
      <c r="E285" s="643" t="s">
        <v>3270</v>
      </c>
      <c r="G285" s="481" t="s">
        <v>656</v>
      </c>
      <c r="H285" s="643" t="s">
        <v>657</v>
      </c>
    </row>
    <row r="286" spans="4:8">
      <c r="D286" s="645" t="s">
        <v>3727</v>
      </c>
      <c r="E286" s="643" t="s">
        <v>3271</v>
      </c>
      <c r="G286" s="481" t="s">
        <v>658</v>
      </c>
      <c r="H286" s="643" t="s">
        <v>659</v>
      </c>
    </row>
    <row r="287" spans="4:8">
      <c r="D287" s="645" t="s">
        <v>3728</v>
      </c>
      <c r="E287" s="643" t="s">
        <v>3272</v>
      </c>
      <c r="G287" s="481" t="s">
        <v>660</v>
      </c>
      <c r="H287" s="643" t="s">
        <v>114</v>
      </c>
    </row>
    <row r="288" spans="4:8">
      <c r="D288" s="645" t="s">
        <v>3729</v>
      </c>
      <c r="E288" s="643" t="s">
        <v>1737</v>
      </c>
      <c r="G288" s="481" t="s">
        <v>661</v>
      </c>
      <c r="H288" s="643" t="s">
        <v>116</v>
      </c>
    </row>
    <row r="289" spans="4:8">
      <c r="D289" s="645" t="s">
        <v>3730</v>
      </c>
      <c r="E289" s="643" t="s">
        <v>3273</v>
      </c>
      <c r="G289" s="481" t="s">
        <v>662</v>
      </c>
      <c r="H289" s="643" t="s">
        <v>663</v>
      </c>
    </row>
    <row r="290" spans="4:8">
      <c r="D290" s="645" t="s">
        <v>3731</v>
      </c>
      <c r="E290" s="643" t="s">
        <v>2891</v>
      </c>
      <c r="G290" s="481" t="s">
        <v>664</v>
      </c>
      <c r="H290" s="643" t="s">
        <v>665</v>
      </c>
    </row>
    <row r="291" spans="4:8">
      <c r="D291" s="645" t="s">
        <v>3732</v>
      </c>
      <c r="E291" s="643" t="s">
        <v>3274</v>
      </c>
      <c r="G291" s="481" t="s">
        <v>666</v>
      </c>
      <c r="H291" s="643" t="s">
        <v>667</v>
      </c>
    </row>
    <row r="292" spans="4:8">
      <c r="D292" s="645" t="s">
        <v>3733</v>
      </c>
      <c r="E292" s="643" t="s">
        <v>3275</v>
      </c>
      <c r="G292" s="481" t="s">
        <v>668</v>
      </c>
      <c r="H292" s="643" t="s">
        <v>669</v>
      </c>
    </row>
    <row r="293" spans="4:8">
      <c r="D293" s="645" t="s">
        <v>3734</v>
      </c>
      <c r="E293" s="643" t="s">
        <v>3276</v>
      </c>
      <c r="G293" s="481" t="s">
        <v>670</v>
      </c>
      <c r="H293" s="643" t="s">
        <v>671</v>
      </c>
    </row>
    <row r="294" spans="4:8">
      <c r="D294" s="645" t="s">
        <v>3735</v>
      </c>
      <c r="E294" s="643" t="s">
        <v>3277</v>
      </c>
      <c r="G294" s="481" t="s">
        <v>672</v>
      </c>
      <c r="H294" s="643" t="s">
        <v>673</v>
      </c>
    </row>
    <row r="295" spans="4:8">
      <c r="D295" s="645" t="s">
        <v>3736</v>
      </c>
      <c r="E295" s="643" t="s">
        <v>3278</v>
      </c>
      <c r="G295" s="481" t="s">
        <v>674</v>
      </c>
      <c r="H295" s="643" t="s">
        <v>675</v>
      </c>
    </row>
    <row r="296" spans="4:8">
      <c r="D296" s="645" t="s">
        <v>3737</v>
      </c>
      <c r="E296" s="643" t="s">
        <v>3279</v>
      </c>
      <c r="G296" s="481" t="s">
        <v>676</v>
      </c>
      <c r="H296" s="643" t="s">
        <v>677</v>
      </c>
    </row>
    <row r="297" spans="4:8">
      <c r="D297" s="645" t="s">
        <v>3738</v>
      </c>
      <c r="E297" s="643" t="s">
        <v>3280</v>
      </c>
      <c r="G297" s="481" t="s">
        <v>678</v>
      </c>
      <c r="H297" s="643" t="s">
        <v>679</v>
      </c>
    </row>
    <row r="298" spans="4:8">
      <c r="D298" s="645" t="s">
        <v>3739</v>
      </c>
      <c r="E298" s="643" t="s">
        <v>3281</v>
      </c>
      <c r="G298" s="481" t="s">
        <v>680</v>
      </c>
      <c r="H298" s="643" t="s">
        <v>114</v>
      </c>
    </row>
    <row r="299" spans="4:8">
      <c r="D299" s="645" t="s">
        <v>3740</v>
      </c>
      <c r="E299" s="643" t="s">
        <v>3282</v>
      </c>
      <c r="G299" s="481" t="s">
        <v>681</v>
      </c>
      <c r="H299" s="643" t="s">
        <v>116</v>
      </c>
    </row>
    <row r="300" spans="4:8">
      <c r="D300" s="645" t="s">
        <v>3741</v>
      </c>
      <c r="E300" s="643" t="s">
        <v>3283</v>
      </c>
      <c r="G300" s="481" t="s">
        <v>682</v>
      </c>
      <c r="H300" s="643" t="s">
        <v>683</v>
      </c>
    </row>
    <row r="301" spans="4:8">
      <c r="D301" s="645" t="s">
        <v>3742</v>
      </c>
      <c r="E301" s="643" t="s">
        <v>3284</v>
      </c>
      <c r="G301" s="481" t="s">
        <v>684</v>
      </c>
      <c r="H301" s="643" t="s">
        <v>685</v>
      </c>
    </row>
    <row r="302" spans="4:8">
      <c r="D302" s="645" t="s">
        <v>3743</v>
      </c>
      <c r="E302" s="643" t="s">
        <v>3285</v>
      </c>
      <c r="G302" s="481" t="s">
        <v>686</v>
      </c>
      <c r="H302" s="643" t="s">
        <v>687</v>
      </c>
    </row>
    <row r="303" spans="4:8">
      <c r="D303" s="645" t="s">
        <v>3744</v>
      </c>
      <c r="E303" s="643" t="s">
        <v>3286</v>
      </c>
      <c r="G303" s="481" t="s">
        <v>688</v>
      </c>
      <c r="H303" s="643" t="s">
        <v>689</v>
      </c>
    </row>
    <row r="304" spans="4:8">
      <c r="D304" s="645" t="s">
        <v>3745</v>
      </c>
      <c r="E304" s="643" t="s">
        <v>3287</v>
      </c>
      <c r="G304" s="481" t="s">
        <v>690</v>
      </c>
      <c r="H304" s="643" t="s">
        <v>691</v>
      </c>
    </row>
    <row r="305" spans="4:8">
      <c r="D305" s="645" t="s">
        <v>3746</v>
      </c>
      <c r="E305" s="643" t="s">
        <v>3288</v>
      </c>
      <c r="G305" s="481" t="s">
        <v>692</v>
      </c>
      <c r="H305" s="643" t="s">
        <v>693</v>
      </c>
    </row>
    <row r="306" spans="4:8">
      <c r="D306" s="645" t="s">
        <v>3747</v>
      </c>
      <c r="E306" s="643" t="s">
        <v>3289</v>
      </c>
      <c r="G306" s="481" t="s">
        <v>694</v>
      </c>
      <c r="H306" s="643" t="s">
        <v>695</v>
      </c>
    </row>
    <row r="307" spans="4:8">
      <c r="D307" s="645" t="s">
        <v>3748</v>
      </c>
      <c r="E307" s="643" t="s">
        <v>3290</v>
      </c>
      <c r="G307" s="481" t="s">
        <v>696</v>
      </c>
      <c r="H307" s="643" t="s">
        <v>697</v>
      </c>
    </row>
    <row r="308" spans="4:8">
      <c r="D308" s="645" t="s">
        <v>3749</v>
      </c>
      <c r="E308" s="643" t="s">
        <v>3291</v>
      </c>
      <c r="G308" s="481" t="s">
        <v>698</v>
      </c>
      <c r="H308" s="643" t="s">
        <v>699</v>
      </c>
    </row>
    <row r="309" spans="4:8">
      <c r="D309" s="645" t="s">
        <v>3750</v>
      </c>
      <c r="E309" s="643" t="s">
        <v>3292</v>
      </c>
      <c r="G309" s="481" t="s">
        <v>700</v>
      </c>
      <c r="H309" s="643" t="s">
        <v>701</v>
      </c>
    </row>
    <row r="310" spans="4:8">
      <c r="D310" s="645" t="s">
        <v>3751</v>
      </c>
      <c r="E310" s="643" t="s">
        <v>3293</v>
      </c>
      <c r="G310" s="481" t="s">
        <v>702</v>
      </c>
      <c r="H310" s="643" t="s">
        <v>703</v>
      </c>
    </row>
    <row r="311" spans="4:8">
      <c r="D311" s="645" t="s">
        <v>3752</v>
      </c>
      <c r="E311" s="643" t="s">
        <v>3294</v>
      </c>
      <c r="G311" s="481" t="s">
        <v>704</v>
      </c>
      <c r="H311" s="643" t="s">
        <v>705</v>
      </c>
    </row>
    <row r="312" spans="4:8">
      <c r="D312" s="645" t="s">
        <v>3753</v>
      </c>
      <c r="E312" s="643" t="s">
        <v>3295</v>
      </c>
      <c r="G312" s="481" t="s">
        <v>706</v>
      </c>
      <c r="H312" s="643" t="s">
        <v>707</v>
      </c>
    </row>
    <row r="313" spans="4:8">
      <c r="D313" s="645" t="s">
        <v>3754</v>
      </c>
      <c r="E313" s="643" t="s">
        <v>3296</v>
      </c>
      <c r="G313" s="481" t="s">
        <v>708</v>
      </c>
      <c r="H313" s="643" t="s">
        <v>709</v>
      </c>
    </row>
    <row r="314" spans="4:8">
      <c r="D314" s="645" t="s">
        <v>3755</v>
      </c>
      <c r="E314" s="643" t="s">
        <v>3297</v>
      </c>
      <c r="G314" s="481" t="s">
        <v>710</v>
      </c>
      <c r="H314" s="643" t="s">
        <v>711</v>
      </c>
    </row>
    <row r="315" spans="4:8">
      <c r="D315" s="645" t="s">
        <v>3756</v>
      </c>
      <c r="E315" s="643" t="s">
        <v>3298</v>
      </c>
      <c r="G315" s="481" t="s">
        <v>712</v>
      </c>
      <c r="H315" s="643" t="s">
        <v>713</v>
      </c>
    </row>
    <row r="316" spans="4:8">
      <c r="D316" s="645" t="s">
        <v>3757</v>
      </c>
      <c r="E316" s="643" t="s">
        <v>1925</v>
      </c>
      <c r="G316" s="481" t="s">
        <v>714</v>
      </c>
      <c r="H316" s="643" t="s">
        <v>114</v>
      </c>
    </row>
    <row r="317" spans="4:8">
      <c r="D317" s="645" t="s">
        <v>3758</v>
      </c>
      <c r="E317" s="643" t="s">
        <v>1927</v>
      </c>
      <c r="G317" s="481" t="s">
        <v>715</v>
      </c>
      <c r="H317" s="643" t="s">
        <v>116</v>
      </c>
    </row>
    <row r="318" spans="4:8">
      <c r="D318" s="645" t="s">
        <v>3759</v>
      </c>
      <c r="E318" s="643" t="s">
        <v>3299</v>
      </c>
      <c r="G318" s="481" t="s">
        <v>716</v>
      </c>
      <c r="H318" s="643" t="s">
        <v>717</v>
      </c>
    </row>
    <row r="319" spans="4:8">
      <c r="D319" s="645" t="s">
        <v>3760</v>
      </c>
      <c r="E319" s="643" t="s">
        <v>3300</v>
      </c>
      <c r="G319" s="481" t="s">
        <v>718</v>
      </c>
      <c r="H319" s="643" t="s">
        <v>719</v>
      </c>
    </row>
    <row r="320" spans="4:8">
      <c r="D320" s="645" t="s">
        <v>3761</v>
      </c>
      <c r="E320" s="643" t="s">
        <v>1936</v>
      </c>
      <c r="G320" s="481" t="s">
        <v>720</v>
      </c>
      <c r="H320" s="643" t="s">
        <v>721</v>
      </c>
    </row>
    <row r="321" spans="4:8">
      <c r="D321" s="645" t="s">
        <v>3762</v>
      </c>
      <c r="E321" s="643" t="s">
        <v>3301</v>
      </c>
      <c r="G321" s="481" t="s">
        <v>722</v>
      </c>
      <c r="H321" s="643" t="s">
        <v>723</v>
      </c>
    </row>
    <row r="322" spans="4:8">
      <c r="D322" s="645" t="s">
        <v>3763</v>
      </c>
      <c r="E322" s="643" t="s">
        <v>3302</v>
      </c>
      <c r="G322" s="481" t="s">
        <v>724</v>
      </c>
      <c r="H322" s="643" t="s">
        <v>725</v>
      </c>
    </row>
    <row r="323" spans="4:8">
      <c r="D323" s="645" t="s">
        <v>3764</v>
      </c>
      <c r="E323" s="643" t="s">
        <v>3303</v>
      </c>
      <c r="G323" s="481" t="s">
        <v>726</v>
      </c>
      <c r="H323" s="643" t="s">
        <v>727</v>
      </c>
    </row>
    <row r="324" spans="4:8">
      <c r="D324" s="645" t="s">
        <v>3765</v>
      </c>
      <c r="E324" s="643" t="s">
        <v>3304</v>
      </c>
      <c r="G324" s="481" t="s">
        <v>728</v>
      </c>
      <c r="H324" s="643" t="s">
        <v>729</v>
      </c>
    </row>
    <row r="325" spans="4:8">
      <c r="D325" s="645" t="s">
        <v>3766</v>
      </c>
      <c r="E325" s="643" t="s">
        <v>1957</v>
      </c>
      <c r="G325" s="481" t="s">
        <v>730</v>
      </c>
      <c r="H325" s="643" t="s">
        <v>114</v>
      </c>
    </row>
    <row r="326" spans="4:8">
      <c r="D326" s="645" t="s">
        <v>3767</v>
      </c>
      <c r="E326" s="643" t="s">
        <v>3305</v>
      </c>
      <c r="G326" s="481" t="s">
        <v>731</v>
      </c>
      <c r="H326" s="643" t="s">
        <v>116</v>
      </c>
    </row>
    <row r="327" spans="4:8">
      <c r="D327" s="645" t="s">
        <v>3768</v>
      </c>
      <c r="E327" s="643" t="s">
        <v>3306</v>
      </c>
      <c r="G327" s="481" t="s">
        <v>732</v>
      </c>
      <c r="H327" s="643" t="s">
        <v>733</v>
      </c>
    </row>
    <row r="328" spans="4:8">
      <c r="D328" s="645" t="s">
        <v>3769</v>
      </c>
      <c r="E328" s="643" t="s">
        <v>1967</v>
      </c>
      <c r="G328" s="481" t="s">
        <v>734</v>
      </c>
      <c r="H328" s="643" t="s">
        <v>735</v>
      </c>
    </row>
    <row r="329" spans="4:8">
      <c r="D329" s="645" t="s">
        <v>3770</v>
      </c>
      <c r="E329" s="643" t="s">
        <v>1969</v>
      </c>
      <c r="G329" s="481" t="s">
        <v>736</v>
      </c>
      <c r="H329" s="643" t="s">
        <v>737</v>
      </c>
    </row>
    <row r="330" spans="4:8">
      <c r="D330" s="645" t="s">
        <v>3771</v>
      </c>
      <c r="E330" s="643" t="s">
        <v>3307</v>
      </c>
      <c r="G330" s="481" t="s">
        <v>738</v>
      </c>
      <c r="H330" s="643" t="s">
        <v>739</v>
      </c>
    </row>
    <row r="331" spans="4:8">
      <c r="D331" s="645" t="s">
        <v>3772</v>
      </c>
      <c r="E331" s="643" t="s">
        <v>3308</v>
      </c>
      <c r="G331" s="481" t="s">
        <v>740</v>
      </c>
      <c r="H331" s="643" t="s">
        <v>741</v>
      </c>
    </row>
    <row r="332" spans="4:8">
      <c r="D332" s="645" t="s">
        <v>3773</v>
      </c>
      <c r="E332" s="643" t="s">
        <v>3309</v>
      </c>
      <c r="G332" s="481" t="s">
        <v>742</v>
      </c>
      <c r="H332" s="643" t="s">
        <v>743</v>
      </c>
    </row>
    <row r="333" spans="4:8">
      <c r="D333" s="645" t="s">
        <v>3774</v>
      </c>
      <c r="E333" s="643" t="s">
        <v>3310</v>
      </c>
      <c r="G333" s="481" t="s">
        <v>744</v>
      </c>
      <c r="H333" s="643" t="s">
        <v>745</v>
      </c>
    </row>
    <row r="334" spans="4:8">
      <c r="D334" s="645" t="s">
        <v>3775</v>
      </c>
      <c r="E334" s="643" t="s">
        <v>2008</v>
      </c>
      <c r="G334" s="481" t="s">
        <v>746</v>
      </c>
      <c r="H334" s="643" t="s">
        <v>747</v>
      </c>
    </row>
    <row r="335" spans="4:8">
      <c r="D335" s="645" t="s">
        <v>3776</v>
      </c>
      <c r="E335" s="643" t="s">
        <v>3311</v>
      </c>
      <c r="G335" s="481" t="s">
        <v>748</v>
      </c>
      <c r="H335" s="643" t="s">
        <v>749</v>
      </c>
    </row>
    <row r="336" spans="4:8">
      <c r="D336" s="645" t="s">
        <v>3777</v>
      </c>
      <c r="E336" s="643" t="s">
        <v>3312</v>
      </c>
      <c r="G336" s="481" t="s">
        <v>750</v>
      </c>
      <c r="H336" s="643" t="s">
        <v>751</v>
      </c>
    </row>
    <row r="337" spans="4:8">
      <c r="D337" s="645" t="s">
        <v>3778</v>
      </c>
      <c r="E337" s="643" t="s">
        <v>3313</v>
      </c>
      <c r="G337" s="481" t="s">
        <v>752</v>
      </c>
      <c r="H337" s="643" t="s">
        <v>753</v>
      </c>
    </row>
    <row r="338" spans="4:8">
      <c r="D338" s="645" t="s">
        <v>3779</v>
      </c>
      <c r="E338" s="643" t="s">
        <v>3314</v>
      </c>
      <c r="G338" s="481" t="s">
        <v>754</v>
      </c>
      <c r="H338" s="643" t="s">
        <v>755</v>
      </c>
    </row>
    <row r="339" spans="4:8">
      <c r="D339" s="645" t="s">
        <v>3780</v>
      </c>
      <c r="E339" s="643" t="s">
        <v>3315</v>
      </c>
      <c r="G339" s="481" t="s">
        <v>756</v>
      </c>
      <c r="H339" s="643" t="s">
        <v>757</v>
      </c>
    </row>
    <row r="340" spans="4:8">
      <c r="D340" s="645" t="s">
        <v>3781</v>
      </c>
      <c r="E340" s="643" t="s">
        <v>3316</v>
      </c>
      <c r="G340" s="481" t="s">
        <v>758</v>
      </c>
      <c r="H340" s="643" t="s">
        <v>759</v>
      </c>
    </row>
    <row r="341" spans="4:8">
      <c r="D341" s="645" t="s">
        <v>3782</v>
      </c>
      <c r="E341" s="643" t="s">
        <v>3317</v>
      </c>
      <c r="G341" s="481" t="s">
        <v>760</v>
      </c>
      <c r="H341" s="643" t="s">
        <v>761</v>
      </c>
    </row>
    <row r="342" spans="4:8">
      <c r="D342" s="645" t="s">
        <v>3783</v>
      </c>
      <c r="E342" s="643" t="s">
        <v>3318</v>
      </c>
      <c r="G342" s="481" t="s">
        <v>762</v>
      </c>
      <c r="H342" s="643" t="s">
        <v>763</v>
      </c>
    </row>
    <row r="343" spans="4:8">
      <c r="D343" s="645" t="s">
        <v>3784</v>
      </c>
      <c r="E343" s="643" t="s">
        <v>3319</v>
      </c>
      <c r="G343" s="481" t="s">
        <v>764</v>
      </c>
      <c r="H343" s="643" t="s">
        <v>765</v>
      </c>
    </row>
    <row r="344" spans="4:8">
      <c r="D344" s="645" t="s">
        <v>3785</v>
      </c>
      <c r="E344" s="643" t="s">
        <v>3320</v>
      </c>
      <c r="G344" s="481" t="s">
        <v>766</v>
      </c>
      <c r="H344" s="643" t="s">
        <v>767</v>
      </c>
    </row>
    <row r="345" spans="4:8">
      <c r="D345" s="645" t="s">
        <v>3786</v>
      </c>
      <c r="E345" s="643" t="s">
        <v>3321</v>
      </c>
      <c r="G345" s="481" t="s">
        <v>768</v>
      </c>
      <c r="H345" s="643" t="s">
        <v>769</v>
      </c>
    </row>
    <row r="346" spans="4:8">
      <c r="D346" s="645" t="s">
        <v>3787</v>
      </c>
      <c r="E346" s="643" t="s">
        <v>3322</v>
      </c>
      <c r="G346" s="481" t="s">
        <v>770</v>
      </c>
      <c r="H346" s="643" t="s">
        <v>771</v>
      </c>
    </row>
    <row r="347" spans="4:8">
      <c r="D347" s="645" t="s">
        <v>3788</v>
      </c>
      <c r="E347" s="643" t="s">
        <v>3323</v>
      </c>
      <c r="G347" s="481" t="s">
        <v>772</v>
      </c>
      <c r="H347" s="643" t="s">
        <v>773</v>
      </c>
    </row>
    <row r="348" spans="4:8">
      <c r="D348" s="645" t="s">
        <v>3789</v>
      </c>
      <c r="E348" s="643" t="s">
        <v>2104</v>
      </c>
      <c r="G348" s="481" t="s">
        <v>774</v>
      </c>
      <c r="H348" s="643" t="s">
        <v>775</v>
      </c>
    </row>
    <row r="349" spans="4:8">
      <c r="D349" s="645" t="s">
        <v>3790</v>
      </c>
      <c r="E349" s="643" t="s">
        <v>2106</v>
      </c>
      <c r="G349" s="481" t="s">
        <v>776</v>
      </c>
      <c r="H349" s="643" t="s">
        <v>777</v>
      </c>
    </row>
    <row r="350" spans="4:8">
      <c r="D350" s="645" t="s">
        <v>3791</v>
      </c>
      <c r="E350" s="643" t="s">
        <v>3324</v>
      </c>
      <c r="G350" s="481" t="s">
        <v>778</v>
      </c>
      <c r="H350" s="643" t="s">
        <v>779</v>
      </c>
    </row>
    <row r="351" spans="4:8">
      <c r="D351" s="645" t="s">
        <v>3792</v>
      </c>
      <c r="E351" s="643" t="s">
        <v>2110</v>
      </c>
      <c r="G351" s="481" t="s">
        <v>780</v>
      </c>
      <c r="H351" s="643" t="s">
        <v>781</v>
      </c>
    </row>
    <row r="352" spans="4:8">
      <c r="D352" s="645" t="s">
        <v>3793</v>
      </c>
      <c r="E352" s="643" t="s">
        <v>3325</v>
      </c>
      <c r="G352" s="481" t="s">
        <v>782</v>
      </c>
      <c r="H352" s="643" t="s">
        <v>783</v>
      </c>
    </row>
    <row r="353" spans="4:8">
      <c r="D353" s="645" t="s">
        <v>3794</v>
      </c>
      <c r="E353" s="643" t="s">
        <v>3326</v>
      </c>
      <c r="G353" s="481" t="s">
        <v>784</v>
      </c>
      <c r="H353" s="643" t="s">
        <v>785</v>
      </c>
    </row>
    <row r="354" spans="4:8">
      <c r="D354" s="645" t="s">
        <v>3795</v>
      </c>
      <c r="E354" s="643" t="s">
        <v>3327</v>
      </c>
      <c r="G354" s="481" t="s">
        <v>786</v>
      </c>
      <c r="H354" s="643" t="s">
        <v>787</v>
      </c>
    </row>
    <row r="355" spans="4:8">
      <c r="D355" s="645" t="s">
        <v>3796</v>
      </c>
      <c r="E355" s="643" t="s">
        <v>3328</v>
      </c>
      <c r="G355" s="481" t="s">
        <v>788</v>
      </c>
      <c r="H355" s="643" t="s">
        <v>789</v>
      </c>
    </row>
    <row r="356" spans="4:8">
      <c r="D356" s="645" t="s">
        <v>3797</v>
      </c>
      <c r="E356" s="643" t="s">
        <v>3329</v>
      </c>
      <c r="G356" s="481" t="s">
        <v>790</v>
      </c>
      <c r="H356" s="643" t="s">
        <v>791</v>
      </c>
    </row>
    <row r="357" spans="4:8">
      <c r="D357" s="645" t="s">
        <v>3798</v>
      </c>
      <c r="E357" s="643" t="s">
        <v>3330</v>
      </c>
      <c r="G357" s="481" t="s">
        <v>792</v>
      </c>
      <c r="H357" s="643" t="s">
        <v>793</v>
      </c>
    </row>
    <row r="358" spans="4:8">
      <c r="D358" s="645" t="s">
        <v>3799</v>
      </c>
      <c r="E358" s="643" t="s">
        <v>2146</v>
      </c>
      <c r="G358" s="481" t="s">
        <v>794</v>
      </c>
      <c r="H358" s="643" t="s">
        <v>795</v>
      </c>
    </row>
    <row r="359" spans="4:8">
      <c r="D359" s="645" t="s">
        <v>3800</v>
      </c>
      <c r="E359" s="643" t="s">
        <v>3331</v>
      </c>
      <c r="G359" s="481" t="s">
        <v>796</v>
      </c>
      <c r="H359" s="643" t="s">
        <v>797</v>
      </c>
    </row>
    <row r="360" spans="4:8">
      <c r="D360" s="645" t="s">
        <v>3801</v>
      </c>
      <c r="E360" s="643" t="s">
        <v>3332</v>
      </c>
      <c r="G360" s="481" t="s">
        <v>798</v>
      </c>
      <c r="H360" s="643" t="s">
        <v>799</v>
      </c>
    </row>
    <row r="361" spans="4:8">
      <c r="D361" s="645" t="s">
        <v>3802</v>
      </c>
      <c r="E361" s="643" t="s">
        <v>3333</v>
      </c>
      <c r="G361" s="481" t="s">
        <v>800</v>
      </c>
      <c r="H361" s="643" t="s">
        <v>801</v>
      </c>
    </row>
    <row r="362" spans="4:8">
      <c r="D362" s="645" t="s">
        <v>3803</v>
      </c>
      <c r="E362" s="643" t="s">
        <v>3334</v>
      </c>
      <c r="G362" s="481" t="s">
        <v>802</v>
      </c>
      <c r="H362" s="643" t="s">
        <v>803</v>
      </c>
    </row>
    <row r="363" spans="4:8">
      <c r="D363" s="645" t="s">
        <v>3804</v>
      </c>
      <c r="E363" s="643" t="s">
        <v>3335</v>
      </c>
      <c r="G363" s="481" t="s">
        <v>804</v>
      </c>
      <c r="H363" s="643" t="s">
        <v>805</v>
      </c>
    </row>
    <row r="364" spans="4:8">
      <c r="D364" s="645" t="s">
        <v>3805</v>
      </c>
      <c r="E364" s="643" t="s">
        <v>3336</v>
      </c>
      <c r="G364" s="481" t="s">
        <v>806</v>
      </c>
      <c r="H364" s="643" t="s">
        <v>807</v>
      </c>
    </row>
    <row r="365" spans="4:8">
      <c r="D365" s="645" t="s">
        <v>3806</v>
      </c>
      <c r="E365" s="643" t="s">
        <v>3337</v>
      </c>
      <c r="G365" s="481" t="s">
        <v>808</v>
      </c>
      <c r="H365" s="643" t="s">
        <v>114</v>
      </c>
    </row>
    <row r="366" spans="4:8">
      <c r="D366" s="645" t="s">
        <v>3807</v>
      </c>
      <c r="E366" s="643" t="s">
        <v>3338</v>
      </c>
      <c r="G366" s="481" t="s">
        <v>809</v>
      </c>
      <c r="H366" s="643" t="s">
        <v>116</v>
      </c>
    </row>
    <row r="367" spans="4:8">
      <c r="D367" s="645" t="s">
        <v>3808</v>
      </c>
      <c r="E367" s="643" t="s">
        <v>3339</v>
      </c>
      <c r="G367" s="481" t="s">
        <v>810</v>
      </c>
      <c r="H367" s="643" t="s">
        <v>811</v>
      </c>
    </row>
    <row r="368" spans="4:8">
      <c r="D368" s="645" t="s">
        <v>3809</v>
      </c>
      <c r="E368" s="643" t="s">
        <v>3340</v>
      </c>
      <c r="G368" s="481" t="s">
        <v>812</v>
      </c>
      <c r="H368" s="643" t="s">
        <v>813</v>
      </c>
    </row>
    <row r="369" spans="4:8">
      <c r="D369" s="645" t="s">
        <v>3810</v>
      </c>
      <c r="E369" s="643" t="s">
        <v>3341</v>
      </c>
      <c r="G369" s="481" t="s">
        <v>814</v>
      </c>
      <c r="H369" s="643" t="s">
        <v>815</v>
      </c>
    </row>
    <row r="370" spans="4:8">
      <c r="D370" s="645" t="s">
        <v>3811</v>
      </c>
      <c r="E370" s="643" t="s">
        <v>3342</v>
      </c>
      <c r="G370" s="481" t="s">
        <v>816</v>
      </c>
      <c r="H370" s="643" t="s">
        <v>817</v>
      </c>
    </row>
    <row r="371" spans="4:8">
      <c r="D371" s="645" t="s">
        <v>3812</v>
      </c>
      <c r="E371" s="643" t="s">
        <v>3343</v>
      </c>
      <c r="G371" s="481" t="s">
        <v>818</v>
      </c>
      <c r="H371" s="643" t="s">
        <v>819</v>
      </c>
    </row>
    <row r="372" spans="4:8">
      <c r="D372" s="645" t="s">
        <v>3813</v>
      </c>
      <c r="E372" s="643" t="s">
        <v>3344</v>
      </c>
      <c r="G372" s="481" t="s">
        <v>820</v>
      </c>
      <c r="H372" s="643" t="s">
        <v>114</v>
      </c>
    </row>
    <row r="373" spans="4:8">
      <c r="D373" s="645" t="s">
        <v>3814</v>
      </c>
      <c r="E373" s="643" t="s">
        <v>3345</v>
      </c>
      <c r="G373" s="481" t="s">
        <v>821</v>
      </c>
      <c r="H373" s="643" t="s">
        <v>116</v>
      </c>
    </row>
    <row r="374" spans="4:8">
      <c r="D374" s="645" t="s">
        <v>3815</v>
      </c>
      <c r="E374" s="643" t="s">
        <v>3346</v>
      </c>
      <c r="G374" s="481" t="s">
        <v>822</v>
      </c>
      <c r="H374" s="643" t="s">
        <v>823</v>
      </c>
    </row>
    <row r="375" spans="4:8">
      <c r="D375" s="645" t="s">
        <v>3816</v>
      </c>
      <c r="E375" s="643" t="s">
        <v>3347</v>
      </c>
      <c r="G375" s="481" t="s">
        <v>824</v>
      </c>
      <c r="H375" s="643" t="s">
        <v>825</v>
      </c>
    </row>
    <row r="376" spans="4:8">
      <c r="D376" s="645" t="s">
        <v>3817</v>
      </c>
      <c r="E376" s="643" t="s">
        <v>2246</v>
      </c>
      <c r="G376" s="481" t="s">
        <v>826</v>
      </c>
      <c r="H376" s="643" t="s">
        <v>827</v>
      </c>
    </row>
    <row r="377" spans="4:8">
      <c r="D377" s="645" t="s">
        <v>3818</v>
      </c>
      <c r="E377" s="643" t="s">
        <v>3348</v>
      </c>
      <c r="G377" s="481" t="s">
        <v>828</v>
      </c>
      <c r="H377" s="643" t="s">
        <v>829</v>
      </c>
    </row>
    <row r="378" spans="4:8">
      <c r="D378" s="645" t="s">
        <v>3819</v>
      </c>
      <c r="E378" s="643" t="s">
        <v>3349</v>
      </c>
      <c r="G378" s="481" t="s">
        <v>830</v>
      </c>
      <c r="H378" s="643" t="s">
        <v>831</v>
      </c>
    </row>
    <row r="379" spans="4:8">
      <c r="D379" s="645" t="s">
        <v>3820</v>
      </c>
      <c r="E379" s="643" t="s">
        <v>3350</v>
      </c>
      <c r="G379" s="481" t="s">
        <v>832</v>
      </c>
      <c r="H379" s="643" t="s">
        <v>833</v>
      </c>
    </row>
    <row r="380" spans="4:8">
      <c r="D380" s="645" t="s">
        <v>3821</v>
      </c>
      <c r="E380" s="643" t="s">
        <v>2260</v>
      </c>
      <c r="G380" s="481" t="s">
        <v>834</v>
      </c>
      <c r="H380" s="643" t="s">
        <v>835</v>
      </c>
    </row>
    <row r="381" spans="4:8">
      <c r="D381" s="645" t="s">
        <v>3822</v>
      </c>
      <c r="E381" s="643" t="s">
        <v>2262</v>
      </c>
      <c r="G381" s="481" t="s">
        <v>836</v>
      </c>
      <c r="H381" s="643" t="s">
        <v>837</v>
      </c>
    </row>
    <row r="382" spans="4:8">
      <c r="D382" s="645" t="s">
        <v>3823</v>
      </c>
      <c r="E382" s="643" t="s">
        <v>3351</v>
      </c>
      <c r="G382" s="481" t="s">
        <v>838</v>
      </c>
      <c r="H382" s="643" t="s">
        <v>839</v>
      </c>
    </row>
    <row r="383" spans="4:8">
      <c r="D383" s="645" t="s">
        <v>3824</v>
      </c>
      <c r="E383" s="643" t="s">
        <v>3352</v>
      </c>
      <c r="G383" s="481" t="s">
        <v>840</v>
      </c>
      <c r="H383" s="643" t="s">
        <v>841</v>
      </c>
    </row>
    <row r="384" spans="4:8">
      <c r="D384" s="645" t="s">
        <v>3825</v>
      </c>
      <c r="E384" s="643" t="s">
        <v>3353</v>
      </c>
      <c r="G384" s="481" t="s">
        <v>842</v>
      </c>
      <c r="H384" s="643" t="s">
        <v>843</v>
      </c>
    </row>
    <row r="385" spans="4:8">
      <c r="D385" s="645" t="s">
        <v>3826</v>
      </c>
      <c r="E385" s="643" t="s">
        <v>3354</v>
      </c>
      <c r="G385" s="481" t="s">
        <v>844</v>
      </c>
      <c r="H385" s="643" t="s">
        <v>845</v>
      </c>
    </row>
    <row r="386" spans="4:8">
      <c r="D386" s="645" t="s">
        <v>3827</v>
      </c>
      <c r="E386" s="643" t="s">
        <v>2278</v>
      </c>
      <c r="G386" s="481" t="s">
        <v>846</v>
      </c>
      <c r="H386" s="643" t="s">
        <v>847</v>
      </c>
    </row>
    <row r="387" spans="4:8">
      <c r="D387" s="645" t="s">
        <v>3828</v>
      </c>
      <c r="E387" s="643" t="s">
        <v>2280</v>
      </c>
      <c r="G387" s="481" t="s">
        <v>848</v>
      </c>
      <c r="H387" s="643" t="s">
        <v>849</v>
      </c>
    </row>
    <row r="388" spans="4:8">
      <c r="D388" s="645" t="s">
        <v>3829</v>
      </c>
      <c r="E388" s="643" t="s">
        <v>3355</v>
      </c>
      <c r="G388" s="481" t="s">
        <v>850</v>
      </c>
      <c r="H388" s="643" t="s">
        <v>851</v>
      </c>
    </row>
    <row r="389" spans="4:8">
      <c r="D389" s="645" t="s">
        <v>3830</v>
      </c>
      <c r="E389" s="643" t="s">
        <v>3356</v>
      </c>
      <c r="G389" s="481" t="s">
        <v>852</v>
      </c>
      <c r="H389" s="643" t="s">
        <v>853</v>
      </c>
    </row>
    <row r="390" spans="4:8">
      <c r="D390" s="645" t="s">
        <v>3831</v>
      </c>
      <c r="E390" s="643" t="s">
        <v>3357</v>
      </c>
      <c r="G390" s="481" t="s">
        <v>854</v>
      </c>
      <c r="H390" s="643" t="s">
        <v>855</v>
      </c>
    </row>
    <row r="391" spans="4:8">
      <c r="D391" s="645" t="s">
        <v>3832</v>
      </c>
      <c r="E391" s="643" t="s">
        <v>2299</v>
      </c>
      <c r="G391" s="481" t="s">
        <v>856</v>
      </c>
      <c r="H391" s="643" t="s">
        <v>857</v>
      </c>
    </row>
    <row r="392" spans="4:8">
      <c r="D392" s="645" t="s">
        <v>3833</v>
      </c>
      <c r="E392" s="643" t="s">
        <v>3358</v>
      </c>
      <c r="G392" s="481" t="s">
        <v>858</v>
      </c>
      <c r="H392" s="643" t="s">
        <v>859</v>
      </c>
    </row>
    <row r="393" spans="4:8">
      <c r="D393" s="645" t="s">
        <v>3834</v>
      </c>
      <c r="E393" s="643" t="s">
        <v>3359</v>
      </c>
      <c r="G393" s="481" t="s">
        <v>860</v>
      </c>
      <c r="H393" s="643" t="s">
        <v>861</v>
      </c>
    </row>
    <row r="394" spans="4:8">
      <c r="D394" s="645" t="s">
        <v>3835</v>
      </c>
      <c r="E394" s="643" t="s">
        <v>3360</v>
      </c>
      <c r="G394" s="481" t="s">
        <v>862</v>
      </c>
      <c r="H394" s="643" t="s">
        <v>863</v>
      </c>
    </row>
    <row r="395" spans="4:8">
      <c r="D395" s="645" t="s">
        <v>3836</v>
      </c>
      <c r="E395" s="643" t="s">
        <v>2310</v>
      </c>
      <c r="G395" s="481" t="s">
        <v>864</v>
      </c>
      <c r="H395" s="643" t="s">
        <v>865</v>
      </c>
    </row>
    <row r="396" spans="4:8">
      <c r="D396" s="645" t="s">
        <v>3837</v>
      </c>
      <c r="E396" s="643" t="s">
        <v>3361</v>
      </c>
      <c r="G396" s="481" t="s">
        <v>866</v>
      </c>
      <c r="H396" s="643" t="s">
        <v>867</v>
      </c>
    </row>
    <row r="397" spans="4:8">
      <c r="D397" s="645" t="s">
        <v>3838</v>
      </c>
      <c r="E397" s="643" t="s">
        <v>2316</v>
      </c>
      <c r="G397" s="481" t="s">
        <v>868</v>
      </c>
      <c r="H397" s="643" t="s">
        <v>869</v>
      </c>
    </row>
    <row r="398" spans="4:8">
      <c r="D398" s="645" t="s">
        <v>3839</v>
      </c>
      <c r="E398" s="643" t="s">
        <v>2318</v>
      </c>
      <c r="G398" s="481" t="s">
        <v>870</v>
      </c>
      <c r="H398" s="643" t="s">
        <v>871</v>
      </c>
    </row>
    <row r="399" spans="4:8">
      <c r="D399" s="645" t="s">
        <v>3840</v>
      </c>
      <c r="E399" s="643" t="s">
        <v>3362</v>
      </c>
      <c r="G399" s="481" t="s">
        <v>872</v>
      </c>
      <c r="H399" s="643" t="s">
        <v>114</v>
      </c>
    </row>
    <row r="400" spans="4:8">
      <c r="D400" s="645" t="s">
        <v>3841</v>
      </c>
      <c r="E400" s="643" t="s">
        <v>3363</v>
      </c>
      <c r="G400" s="481" t="s">
        <v>873</v>
      </c>
      <c r="H400" s="643" t="s">
        <v>116</v>
      </c>
    </row>
    <row r="401" spans="4:8">
      <c r="D401" s="645" t="s">
        <v>3842</v>
      </c>
      <c r="E401" s="643" t="s">
        <v>3364</v>
      </c>
      <c r="G401" s="481" t="s">
        <v>874</v>
      </c>
      <c r="H401" s="643" t="s">
        <v>875</v>
      </c>
    </row>
    <row r="402" spans="4:8">
      <c r="D402" s="645" t="s">
        <v>3843</v>
      </c>
      <c r="E402" s="643" t="s">
        <v>3365</v>
      </c>
      <c r="G402" s="481" t="s">
        <v>876</v>
      </c>
      <c r="H402" s="643" t="s">
        <v>877</v>
      </c>
    </row>
    <row r="403" spans="4:8">
      <c r="D403" s="645" t="s">
        <v>3844</v>
      </c>
      <c r="E403" s="643" t="s">
        <v>2340</v>
      </c>
      <c r="G403" s="481" t="s">
        <v>878</v>
      </c>
      <c r="H403" s="643" t="s">
        <v>879</v>
      </c>
    </row>
    <row r="404" spans="4:8">
      <c r="D404" s="645" t="s">
        <v>3845</v>
      </c>
      <c r="E404" s="643" t="s">
        <v>3366</v>
      </c>
      <c r="G404" s="481" t="s">
        <v>880</v>
      </c>
      <c r="H404" s="643" t="s">
        <v>881</v>
      </c>
    </row>
    <row r="405" spans="4:8">
      <c r="D405" s="645" t="s">
        <v>3846</v>
      </c>
      <c r="E405" s="643" t="s">
        <v>2343</v>
      </c>
      <c r="G405" s="481" t="s">
        <v>882</v>
      </c>
      <c r="H405" s="643" t="s">
        <v>883</v>
      </c>
    </row>
    <row r="406" spans="4:8">
      <c r="D406" s="645" t="s">
        <v>3847</v>
      </c>
      <c r="E406" s="643" t="s">
        <v>3367</v>
      </c>
      <c r="G406" s="481" t="s">
        <v>884</v>
      </c>
      <c r="H406" s="643" t="s">
        <v>885</v>
      </c>
    </row>
    <row r="407" spans="4:8">
      <c r="D407" s="645" t="s">
        <v>3848</v>
      </c>
      <c r="E407" s="643" t="s">
        <v>2351</v>
      </c>
      <c r="G407" s="481" t="s">
        <v>886</v>
      </c>
      <c r="H407" s="643" t="s">
        <v>887</v>
      </c>
    </row>
    <row r="408" spans="4:8">
      <c r="D408" s="645" t="s">
        <v>3849</v>
      </c>
      <c r="E408" s="643" t="s">
        <v>3368</v>
      </c>
      <c r="G408" s="481" t="s">
        <v>888</v>
      </c>
      <c r="H408" s="643" t="s">
        <v>889</v>
      </c>
    </row>
    <row r="409" spans="4:8">
      <c r="D409" s="645" t="s">
        <v>3850</v>
      </c>
      <c r="E409" s="643" t="s">
        <v>3369</v>
      </c>
      <c r="G409" s="481" t="s">
        <v>890</v>
      </c>
      <c r="H409" s="643" t="s">
        <v>891</v>
      </c>
    </row>
    <row r="410" spans="4:8">
      <c r="D410" s="645" t="s">
        <v>3851</v>
      </c>
      <c r="E410" s="643" t="s">
        <v>3370</v>
      </c>
      <c r="G410" s="481" t="s">
        <v>892</v>
      </c>
      <c r="H410" s="643" t="s">
        <v>893</v>
      </c>
    </row>
    <row r="411" spans="4:8">
      <c r="D411" s="645" t="s">
        <v>3852</v>
      </c>
      <c r="E411" s="643" t="s">
        <v>2367</v>
      </c>
      <c r="G411" s="481" t="s">
        <v>894</v>
      </c>
      <c r="H411" s="643" t="s">
        <v>895</v>
      </c>
    </row>
    <row r="412" spans="4:8">
      <c r="D412" s="645" t="s">
        <v>3853</v>
      </c>
      <c r="E412" s="643" t="s">
        <v>3371</v>
      </c>
      <c r="G412" s="481" t="s">
        <v>896</v>
      </c>
      <c r="H412" s="643" t="s">
        <v>897</v>
      </c>
    </row>
    <row r="413" spans="4:8">
      <c r="D413" s="645" t="s">
        <v>3854</v>
      </c>
      <c r="E413" s="643" t="s">
        <v>2371</v>
      </c>
      <c r="G413" s="481" t="s">
        <v>898</v>
      </c>
      <c r="H413" s="643" t="s">
        <v>899</v>
      </c>
    </row>
    <row r="414" spans="4:8">
      <c r="D414" s="645" t="s">
        <v>3855</v>
      </c>
      <c r="E414" s="643" t="s">
        <v>2373</v>
      </c>
      <c r="G414" s="481" t="s">
        <v>900</v>
      </c>
      <c r="H414" s="643" t="s">
        <v>114</v>
      </c>
    </row>
    <row r="415" spans="4:8">
      <c r="D415" s="645" t="s">
        <v>3856</v>
      </c>
      <c r="E415" s="643" t="s">
        <v>2375</v>
      </c>
      <c r="G415" s="481" t="s">
        <v>901</v>
      </c>
      <c r="H415" s="643" t="s">
        <v>116</v>
      </c>
    </row>
    <row r="416" spans="4:8">
      <c r="D416" s="645" t="s">
        <v>3857</v>
      </c>
      <c r="E416" s="643" t="s">
        <v>3372</v>
      </c>
      <c r="G416" s="481" t="s">
        <v>902</v>
      </c>
      <c r="H416" s="643" t="s">
        <v>903</v>
      </c>
    </row>
    <row r="417" spans="4:8">
      <c r="D417" s="645" t="s">
        <v>3858</v>
      </c>
      <c r="E417" s="643" t="s">
        <v>3373</v>
      </c>
      <c r="G417" s="481" t="s">
        <v>904</v>
      </c>
      <c r="H417" s="643" t="s">
        <v>905</v>
      </c>
    </row>
    <row r="418" spans="4:8">
      <c r="D418" s="645" t="s">
        <v>3859</v>
      </c>
      <c r="E418" s="643" t="s">
        <v>2385</v>
      </c>
      <c r="G418" s="481" t="s">
        <v>906</v>
      </c>
      <c r="H418" s="643" t="s">
        <v>907</v>
      </c>
    </row>
    <row r="419" spans="4:8">
      <c r="D419" s="645" t="s">
        <v>3860</v>
      </c>
      <c r="E419" s="643" t="s">
        <v>3374</v>
      </c>
      <c r="G419" s="481" t="s">
        <v>908</v>
      </c>
      <c r="H419" s="643" t="s">
        <v>909</v>
      </c>
    </row>
    <row r="420" spans="4:8">
      <c r="D420" s="645" t="s">
        <v>3861</v>
      </c>
      <c r="E420" s="643" t="s">
        <v>2399</v>
      </c>
      <c r="G420" s="481" t="s">
        <v>910</v>
      </c>
      <c r="H420" s="643" t="s">
        <v>911</v>
      </c>
    </row>
    <row r="421" spans="4:8">
      <c r="D421" s="645" t="s">
        <v>3862</v>
      </c>
      <c r="E421" s="643" t="s">
        <v>2401</v>
      </c>
      <c r="G421" s="481" t="s">
        <v>912</v>
      </c>
      <c r="H421" s="643" t="s">
        <v>913</v>
      </c>
    </row>
    <row r="422" spans="4:8">
      <c r="D422" s="645" t="s">
        <v>3863</v>
      </c>
      <c r="E422" s="643" t="s">
        <v>2403</v>
      </c>
      <c r="G422" s="481" t="s">
        <v>914</v>
      </c>
      <c r="H422" s="643" t="s">
        <v>915</v>
      </c>
    </row>
    <row r="423" spans="4:8">
      <c r="D423" s="645" t="s">
        <v>3864</v>
      </c>
      <c r="E423" s="643" t="s">
        <v>2405</v>
      </c>
      <c r="G423" s="481" t="s">
        <v>916</v>
      </c>
      <c r="H423" s="643" t="s">
        <v>917</v>
      </c>
    </row>
    <row r="424" spans="4:8">
      <c r="D424" s="645" t="s">
        <v>3865</v>
      </c>
      <c r="E424" s="643" t="s">
        <v>2407</v>
      </c>
      <c r="G424" s="481" t="s">
        <v>918</v>
      </c>
      <c r="H424" s="643" t="s">
        <v>919</v>
      </c>
    </row>
    <row r="425" spans="4:8">
      <c r="D425" s="645" t="s">
        <v>3866</v>
      </c>
      <c r="E425" s="643" t="s">
        <v>3375</v>
      </c>
      <c r="G425" s="481" t="s">
        <v>920</v>
      </c>
      <c r="H425" s="643" t="s">
        <v>921</v>
      </c>
    </row>
    <row r="426" spans="4:8">
      <c r="D426" s="645" t="s">
        <v>3867</v>
      </c>
      <c r="E426" s="643" t="s">
        <v>3376</v>
      </c>
      <c r="G426" s="481" t="s">
        <v>922</v>
      </c>
      <c r="H426" s="643" t="s">
        <v>114</v>
      </c>
    </row>
    <row r="427" spans="4:8">
      <c r="D427" s="645" t="s">
        <v>3868</v>
      </c>
      <c r="E427" s="643" t="s">
        <v>2416</v>
      </c>
      <c r="G427" s="481" t="s">
        <v>923</v>
      </c>
      <c r="H427" s="643" t="s">
        <v>116</v>
      </c>
    </row>
    <row r="428" spans="4:8">
      <c r="D428" s="645" t="s">
        <v>3869</v>
      </c>
      <c r="E428" s="643" t="s">
        <v>2418</v>
      </c>
      <c r="G428" s="481" t="s">
        <v>924</v>
      </c>
      <c r="H428" s="643" t="s">
        <v>925</v>
      </c>
    </row>
    <row r="429" spans="4:8">
      <c r="D429" s="645" t="s">
        <v>3870</v>
      </c>
      <c r="E429" s="643" t="s">
        <v>3377</v>
      </c>
      <c r="G429" s="481" t="s">
        <v>926</v>
      </c>
      <c r="H429" s="643" t="s">
        <v>927</v>
      </c>
    </row>
    <row r="430" spans="4:8">
      <c r="D430" s="645" t="s">
        <v>3871</v>
      </c>
      <c r="E430" s="643" t="s">
        <v>3378</v>
      </c>
      <c r="G430" s="481" t="s">
        <v>928</v>
      </c>
      <c r="H430" s="643" t="s">
        <v>929</v>
      </c>
    </row>
    <row r="431" spans="4:8">
      <c r="D431" s="645" t="s">
        <v>3872</v>
      </c>
      <c r="E431" s="643" t="s">
        <v>2428</v>
      </c>
      <c r="G431" s="481" t="s">
        <v>930</v>
      </c>
      <c r="H431" s="643" t="s">
        <v>931</v>
      </c>
    </row>
    <row r="432" spans="4:8">
      <c r="D432" s="645" t="s">
        <v>3873</v>
      </c>
      <c r="E432" s="643" t="s">
        <v>2430</v>
      </c>
      <c r="G432" s="481" t="s">
        <v>932</v>
      </c>
      <c r="H432" s="643" t="s">
        <v>933</v>
      </c>
    </row>
    <row r="433" spans="4:8">
      <c r="D433" s="645" t="s">
        <v>3874</v>
      </c>
      <c r="E433" s="643" t="s">
        <v>2432</v>
      </c>
      <c r="G433" s="481" t="s">
        <v>934</v>
      </c>
      <c r="H433" s="643" t="s">
        <v>935</v>
      </c>
    </row>
    <row r="434" spans="4:8">
      <c r="D434" s="645" t="s">
        <v>3875</v>
      </c>
      <c r="E434" s="643" t="s">
        <v>2434</v>
      </c>
      <c r="G434" s="481" t="s">
        <v>936</v>
      </c>
      <c r="H434" s="643" t="s">
        <v>937</v>
      </c>
    </row>
    <row r="435" spans="4:8">
      <c r="D435" s="645" t="s">
        <v>3876</v>
      </c>
      <c r="E435" s="643" t="s">
        <v>3379</v>
      </c>
      <c r="G435" s="481" t="s">
        <v>938</v>
      </c>
      <c r="H435" s="643" t="s">
        <v>939</v>
      </c>
    </row>
    <row r="436" spans="4:8">
      <c r="D436" s="645" t="s">
        <v>3877</v>
      </c>
      <c r="E436" s="643" t="s">
        <v>3380</v>
      </c>
      <c r="G436" s="481" t="s">
        <v>940</v>
      </c>
      <c r="H436" s="643" t="s">
        <v>941</v>
      </c>
    </row>
    <row r="437" spans="4:8">
      <c r="D437" s="645" t="s">
        <v>3878</v>
      </c>
      <c r="E437" s="643" t="s">
        <v>3381</v>
      </c>
      <c r="G437" s="481" t="s">
        <v>942</v>
      </c>
      <c r="H437" s="643" t="s">
        <v>943</v>
      </c>
    </row>
    <row r="438" spans="4:8">
      <c r="D438" s="645" t="s">
        <v>3879</v>
      </c>
      <c r="E438" s="643" t="s">
        <v>3382</v>
      </c>
      <c r="G438" s="481" t="s">
        <v>944</v>
      </c>
      <c r="H438" s="643" t="s">
        <v>945</v>
      </c>
    </row>
    <row r="439" spans="4:8">
      <c r="D439" s="645" t="s">
        <v>3880</v>
      </c>
      <c r="E439" s="643" t="s">
        <v>2455</v>
      </c>
      <c r="G439" s="481" t="s">
        <v>946</v>
      </c>
      <c r="H439" s="643" t="s">
        <v>947</v>
      </c>
    </row>
    <row r="440" spans="4:8">
      <c r="D440" s="645" t="s">
        <v>3881</v>
      </c>
      <c r="E440" s="643" t="s">
        <v>2457</v>
      </c>
      <c r="G440" s="481" t="s">
        <v>948</v>
      </c>
      <c r="H440" s="643" t="s">
        <v>949</v>
      </c>
    </row>
    <row r="441" spans="4:8">
      <c r="D441" s="645" t="s">
        <v>3882</v>
      </c>
      <c r="E441" s="643" t="s">
        <v>3383</v>
      </c>
      <c r="G441" s="481" t="s">
        <v>950</v>
      </c>
      <c r="H441" s="643" t="s">
        <v>951</v>
      </c>
    </row>
    <row r="442" spans="4:8">
      <c r="D442" s="645" t="s">
        <v>3883</v>
      </c>
      <c r="E442" s="643" t="s">
        <v>3384</v>
      </c>
      <c r="G442" s="481" t="s">
        <v>952</v>
      </c>
      <c r="H442" s="643" t="s">
        <v>953</v>
      </c>
    </row>
    <row r="443" spans="4:8">
      <c r="D443" s="645" t="s">
        <v>3884</v>
      </c>
      <c r="E443" s="643" t="s">
        <v>3385</v>
      </c>
      <c r="G443" s="481" t="s">
        <v>954</v>
      </c>
      <c r="H443" s="643" t="s">
        <v>955</v>
      </c>
    </row>
    <row r="444" spans="4:8">
      <c r="D444" s="645" t="s">
        <v>3885</v>
      </c>
      <c r="E444" s="643" t="s">
        <v>3386</v>
      </c>
      <c r="G444" s="481" t="s">
        <v>956</v>
      </c>
      <c r="H444" s="643" t="s">
        <v>957</v>
      </c>
    </row>
    <row r="445" spans="4:8">
      <c r="D445" s="645" t="s">
        <v>3886</v>
      </c>
      <c r="E445" s="643" t="s">
        <v>2478</v>
      </c>
      <c r="G445" s="481" t="s">
        <v>958</v>
      </c>
      <c r="H445" s="643" t="s">
        <v>959</v>
      </c>
    </row>
    <row r="446" spans="4:8">
      <c r="D446" s="645" t="s">
        <v>3887</v>
      </c>
      <c r="E446" s="643" t="s">
        <v>3387</v>
      </c>
      <c r="G446" s="481" t="s">
        <v>960</v>
      </c>
      <c r="H446" s="643" t="s">
        <v>961</v>
      </c>
    </row>
    <row r="447" spans="4:8">
      <c r="D447" s="645" t="s">
        <v>3888</v>
      </c>
      <c r="E447" s="643" t="s">
        <v>3388</v>
      </c>
      <c r="G447" s="481" t="s">
        <v>962</v>
      </c>
      <c r="H447" s="643" t="s">
        <v>963</v>
      </c>
    </row>
    <row r="448" spans="4:8">
      <c r="D448" s="645" t="s">
        <v>3889</v>
      </c>
      <c r="E448" s="643" t="s">
        <v>3389</v>
      </c>
      <c r="G448" s="481" t="s">
        <v>964</v>
      </c>
      <c r="H448" s="643" t="s">
        <v>965</v>
      </c>
    </row>
    <row r="449" spans="4:8">
      <c r="D449" s="645" t="s">
        <v>3890</v>
      </c>
      <c r="E449" s="643" t="s">
        <v>3390</v>
      </c>
      <c r="G449" s="481" t="s">
        <v>966</v>
      </c>
      <c r="H449" s="643" t="s">
        <v>967</v>
      </c>
    </row>
    <row r="450" spans="4:8">
      <c r="D450" s="645" t="s">
        <v>3891</v>
      </c>
      <c r="E450" s="643" t="s">
        <v>3391</v>
      </c>
      <c r="G450" s="481" t="s">
        <v>968</v>
      </c>
      <c r="H450" s="643" t="s">
        <v>969</v>
      </c>
    </row>
    <row r="451" spans="4:8">
      <c r="D451" s="645" t="s">
        <v>3892</v>
      </c>
      <c r="E451" s="643" t="s">
        <v>3392</v>
      </c>
      <c r="G451" s="481" t="s">
        <v>970</v>
      </c>
      <c r="H451" s="643" t="s">
        <v>971</v>
      </c>
    </row>
    <row r="452" spans="4:8">
      <c r="D452" s="645" t="s">
        <v>3893</v>
      </c>
      <c r="E452" s="643" t="s">
        <v>3393</v>
      </c>
      <c r="G452" s="481" t="s">
        <v>972</v>
      </c>
      <c r="H452" s="643" t="s">
        <v>973</v>
      </c>
    </row>
    <row r="453" spans="4:8">
      <c r="D453" s="645" t="s">
        <v>3894</v>
      </c>
      <c r="E453" s="643" t="s">
        <v>2551</v>
      </c>
      <c r="G453" s="481" t="s">
        <v>974</v>
      </c>
      <c r="H453" s="643" t="s">
        <v>975</v>
      </c>
    </row>
    <row r="454" spans="4:8">
      <c r="D454" s="645" t="s">
        <v>3895</v>
      </c>
      <c r="E454" s="643" t="s">
        <v>2553</v>
      </c>
      <c r="G454" s="481" t="s">
        <v>976</v>
      </c>
      <c r="H454" s="643" t="s">
        <v>977</v>
      </c>
    </row>
    <row r="455" spans="4:8">
      <c r="D455" s="645" t="s">
        <v>3896</v>
      </c>
      <c r="E455" s="643" t="s">
        <v>2555</v>
      </c>
      <c r="G455" s="481" t="s">
        <v>978</v>
      </c>
      <c r="H455" s="643" t="s">
        <v>979</v>
      </c>
    </row>
    <row r="456" spans="4:8">
      <c r="D456" s="645" t="s">
        <v>3897</v>
      </c>
      <c r="E456" s="643" t="s">
        <v>3394</v>
      </c>
      <c r="G456" s="481" t="s">
        <v>980</v>
      </c>
      <c r="H456" s="643" t="s">
        <v>981</v>
      </c>
    </row>
    <row r="457" spans="4:8">
      <c r="D457" s="645" t="s">
        <v>3898</v>
      </c>
      <c r="E457" s="643" t="s">
        <v>2561</v>
      </c>
      <c r="G457" s="481" t="s">
        <v>982</v>
      </c>
      <c r="H457" s="643" t="s">
        <v>983</v>
      </c>
    </row>
    <row r="458" spans="4:8">
      <c r="D458" s="645" t="s">
        <v>3899</v>
      </c>
      <c r="E458" s="643" t="s">
        <v>3395</v>
      </c>
      <c r="G458" s="481" t="s">
        <v>984</v>
      </c>
      <c r="H458" s="643" t="s">
        <v>985</v>
      </c>
    </row>
    <row r="459" spans="4:8">
      <c r="D459" s="645" t="s">
        <v>3900</v>
      </c>
      <c r="E459" s="643" t="s">
        <v>3396</v>
      </c>
      <c r="G459" s="481" t="s">
        <v>986</v>
      </c>
      <c r="H459" s="643" t="s">
        <v>987</v>
      </c>
    </row>
    <row r="460" spans="4:8">
      <c r="D460" s="645" t="s">
        <v>3901</v>
      </c>
      <c r="E460" s="643" t="s">
        <v>2573</v>
      </c>
      <c r="G460" s="481" t="s">
        <v>988</v>
      </c>
      <c r="H460" s="643" t="s">
        <v>989</v>
      </c>
    </row>
    <row r="461" spans="4:8">
      <c r="D461" s="645" t="s">
        <v>3902</v>
      </c>
      <c r="E461" s="643" t="s">
        <v>3397</v>
      </c>
      <c r="G461" s="481" t="s">
        <v>990</v>
      </c>
      <c r="H461" s="643" t="s">
        <v>991</v>
      </c>
    </row>
    <row r="462" spans="4:8">
      <c r="D462" s="645" t="s">
        <v>3903</v>
      </c>
      <c r="E462" s="643" t="s">
        <v>3398</v>
      </c>
      <c r="G462" s="481" t="s">
        <v>992</v>
      </c>
      <c r="H462" s="643" t="s">
        <v>993</v>
      </c>
    </row>
    <row r="463" spans="4:8">
      <c r="D463" s="645" t="s">
        <v>3904</v>
      </c>
      <c r="E463" s="643" t="s">
        <v>3399</v>
      </c>
      <c r="G463" s="481" t="s">
        <v>994</v>
      </c>
      <c r="H463" s="643" t="s">
        <v>995</v>
      </c>
    </row>
    <row r="464" spans="4:8">
      <c r="D464" s="645" t="s">
        <v>3905</v>
      </c>
      <c r="E464" s="643" t="s">
        <v>3400</v>
      </c>
      <c r="G464" s="481" t="s">
        <v>996</v>
      </c>
      <c r="H464" s="643" t="s">
        <v>997</v>
      </c>
    </row>
    <row r="465" spans="4:8">
      <c r="D465" s="645" t="s">
        <v>3906</v>
      </c>
      <c r="E465" s="643" t="s">
        <v>2598</v>
      </c>
      <c r="G465" s="481" t="s">
        <v>998</v>
      </c>
      <c r="H465" s="643" t="s">
        <v>999</v>
      </c>
    </row>
    <row r="466" spans="4:8">
      <c r="D466" s="645" t="s">
        <v>3907</v>
      </c>
      <c r="E466" s="643" t="s">
        <v>3401</v>
      </c>
      <c r="G466" s="481" t="s">
        <v>1000</v>
      </c>
      <c r="H466" s="643" t="s">
        <v>1001</v>
      </c>
    </row>
    <row r="467" spans="4:8">
      <c r="D467" s="645" t="s">
        <v>3908</v>
      </c>
      <c r="E467" s="643" t="s">
        <v>2614</v>
      </c>
      <c r="G467" s="481" t="s">
        <v>1002</v>
      </c>
      <c r="H467" s="643" t="s">
        <v>1003</v>
      </c>
    </row>
    <row r="468" spans="4:8">
      <c r="D468" s="645" t="s">
        <v>3909</v>
      </c>
      <c r="E468" s="643" t="s">
        <v>3402</v>
      </c>
      <c r="G468" s="481" t="s">
        <v>1004</v>
      </c>
      <c r="H468" s="643" t="s">
        <v>1005</v>
      </c>
    </row>
    <row r="469" spans="4:8">
      <c r="D469" s="645" t="s">
        <v>3910</v>
      </c>
      <c r="E469" s="643" t="s">
        <v>3403</v>
      </c>
      <c r="G469" s="481" t="s">
        <v>1006</v>
      </c>
      <c r="H469" s="643" t="s">
        <v>1007</v>
      </c>
    </row>
    <row r="470" spans="4:8">
      <c r="D470" s="645" t="s">
        <v>3911</v>
      </c>
      <c r="E470" s="643" t="s">
        <v>3404</v>
      </c>
      <c r="G470" s="481" t="s">
        <v>1008</v>
      </c>
      <c r="H470" s="643" t="s">
        <v>1009</v>
      </c>
    </row>
    <row r="471" spans="4:8">
      <c r="D471" s="645" t="s">
        <v>3912</v>
      </c>
      <c r="E471" s="643" t="s">
        <v>2626</v>
      </c>
      <c r="G471" s="481" t="s">
        <v>1010</v>
      </c>
      <c r="H471" s="643" t="s">
        <v>1011</v>
      </c>
    </row>
    <row r="472" spans="4:8">
      <c r="D472" s="645" t="s">
        <v>3913</v>
      </c>
      <c r="E472" s="643" t="s">
        <v>3405</v>
      </c>
      <c r="G472" s="481" t="s">
        <v>1012</v>
      </c>
      <c r="H472" s="643" t="s">
        <v>114</v>
      </c>
    </row>
    <row r="473" spans="4:8">
      <c r="D473" s="645" t="s">
        <v>3914</v>
      </c>
      <c r="E473" s="643" t="s">
        <v>3406</v>
      </c>
      <c r="G473" s="481" t="s">
        <v>1013</v>
      </c>
      <c r="H473" s="643" t="s">
        <v>116</v>
      </c>
    </row>
    <row r="474" spans="4:8">
      <c r="D474" s="645" t="s">
        <v>3915</v>
      </c>
      <c r="E474" s="643" t="s">
        <v>3407</v>
      </c>
      <c r="G474" s="481" t="s">
        <v>1014</v>
      </c>
      <c r="H474" s="643" t="s">
        <v>1015</v>
      </c>
    </row>
    <row r="475" spans="4:8">
      <c r="D475" s="645" t="s">
        <v>3916</v>
      </c>
      <c r="E475" s="643" t="s">
        <v>3408</v>
      </c>
      <c r="G475" s="481" t="s">
        <v>1016</v>
      </c>
      <c r="H475" s="643" t="s">
        <v>1017</v>
      </c>
    </row>
    <row r="476" spans="4:8">
      <c r="D476" s="645" t="s">
        <v>3917</v>
      </c>
      <c r="E476" s="643" t="s">
        <v>2642</v>
      </c>
      <c r="G476" s="481" t="s">
        <v>1018</v>
      </c>
      <c r="H476" s="643" t="s">
        <v>1019</v>
      </c>
    </row>
    <row r="477" spans="4:8">
      <c r="D477" s="645" t="s">
        <v>3918</v>
      </c>
      <c r="E477" s="643" t="s">
        <v>3409</v>
      </c>
      <c r="G477" s="481" t="s">
        <v>1020</v>
      </c>
      <c r="H477" s="643" t="s">
        <v>1021</v>
      </c>
    </row>
    <row r="478" spans="4:8">
      <c r="D478" s="645" t="s">
        <v>3919</v>
      </c>
      <c r="E478" s="643" t="s">
        <v>3410</v>
      </c>
      <c r="G478" s="481" t="s">
        <v>1022</v>
      </c>
      <c r="H478" s="643" t="s">
        <v>1023</v>
      </c>
    </row>
    <row r="479" spans="4:8">
      <c r="D479" s="645" t="s">
        <v>3920</v>
      </c>
      <c r="E479" s="643" t="s">
        <v>3411</v>
      </c>
      <c r="G479" s="481" t="s">
        <v>1024</v>
      </c>
      <c r="H479" s="643" t="s">
        <v>1025</v>
      </c>
    </row>
    <row r="480" spans="4:8">
      <c r="D480" s="645" t="s">
        <v>3921</v>
      </c>
      <c r="E480" s="643" t="s">
        <v>2662</v>
      </c>
      <c r="G480" s="481" t="s">
        <v>1026</v>
      </c>
      <c r="H480" s="643" t="s">
        <v>1027</v>
      </c>
    </row>
    <row r="481" spans="4:8">
      <c r="D481" s="645" t="s">
        <v>3922</v>
      </c>
      <c r="E481" s="643" t="s">
        <v>2664</v>
      </c>
      <c r="G481" s="481" t="s">
        <v>1028</v>
      </c>
      <c r="H481" s="643" t="s">
        <v>1029</v>
      </c>
    </row>
    <row r="482" spans="4:8">
      <c r="D482" s="645" t="s">
        <v>3923</v>
      </c>
      <c r="E482" s="643" t="s">
        <v>3412</v>
      </c>
      <c r="G482" s="481" t="s">
        <v>1030</v>
      </c>
      <c r="H482" s="643" t="s">
        <v>1031</v>
      </c>
    </row>
    <row r="483" spans="4:8">
      <c r="D483" s="645" t="s">
        <v>3924</v>
      </c>
      <c r="E483" s="643" t="s">
        <v>3413</v>
      </c>
      <c r="G483" s="481" t="s">
        <v>1032</v>
      </c>
      <c r="H483" s="643" t="s">
        <v>1033</v>
      </c>
    </row>
    <row r="484" spans="4:8">
      <c r="D484" s="645" t="s">
        <v>3925</v>
      </c>
      <c r="E484" s="643" t="s">
        <v>3414</v>
      </c>
      <c r="G484" s="481" t="s">
        <v>1034</v>
      </c>
      <c r="H484" s="643" t="s">
        <v>1035</v>
      </c>
    </row>
    <row r="485" spans="4:8">
      <c r="D485" s="645" t="s">
        <v>3926</v>
      </c>
      <c r="E485" s="643" t="s">
        <v>3415</v>
      </c>
      <c r="G485" s="481" t="s">
        <v>1036</v>
      </c>
      <c r="H485" s="643" t="s">
        <v>1037</v>
      </c>
    </row>
    <row r="486" spans="4:8">
      <c r="D486" s="645" t="s">
        <v>3927</v>
      </c>
      <c r="E486" s="643" t="s">
        <v>3416</v>
      </c>
      <c r="G486" s="481" t="s">
        <v>1038</v>
      </c>
      <c r="H486" s="643" t="s">
        <v>1039</v>
      </c>
    </row>
    <row r="487" spans="4:8">
      <c r="D487" s="645" t="s">
        <v>3928</v>
      </c>
      <c r="E487" s="643" t="s">
        <v>2693</v>
      </c>
      <c r="G487" s="481" t="s">
        <v>1040</v>
      </c>
      <c r="H487" s="643" t="s">
        <v>1041</v>
      </c>
    </row>
    <row r="488" spans="4:8">
      <c r="D488" s="645" t="s">
        <v>3929</v>
      </c>
      <c r="E488" s="643" t="s">
        <v>3417</v>
      </c>
      <c r="G488" s="481" t="s">
        <v>1042</v>
      </c>
      <c r="H488" s="643" t="s">
        <v>1043</v>
      </c>
    </row>
    <row r="489" spans="4:8">
      <c r="D489" s="645" t="s">
        <v>3930</v>
      </c>
      <c r="E489" s="643" t="s">
        <v>3418</v>
      </c>
      <c r="G489" s="481" t="s">
        <v>1044</v>
      </c>
      <c r="H489" s="643" t="s">
        <v>1045</v>
      </c>
    </row>
    <row r="490" spans="4:8">
      <c r="D490" s="645" t="s">
        <v>3931</v>
      </c>
      <c r="E490" s="643" t="s">
        <v>3419</v>
      </c>
      <c r="G490" s="481" t="s">
        <v>1046</v>
      </c>
      <c r="H490" s="643" t="s">
        <v>1047</v>
      </c>
    </row>
    <row r="491" spans="4:8">
      <c r="D491" s="645" t="s">
        <v>3932</v>
      </c>
      <c r="E491" s="643" t="s">
        <v>2708</v>
      </c>
      <c r="G491" s="481" t="s">
        <v>1048</v>
      </c>
      <c r="H491" s="643" t="s">
        <v>1049</v>
      </c>
    </row>
    <row r="492" spans="4:8">
      <c r="D492" s="645" t="s">
        <v>3933</v>
      </c>
      <c r="E492" s="643" t="s">
        <v>3420</v>
      </c>
      <c r="G492" s="481" t="s">
        <v>1050</v>
      </c>
      <c r="H492" s="643" t="s">
        <v>1051</v>
      </c>
    </row>
    <row r="493" spans="4:8">
      <c r="D493" s="645" t="s">
        <v>3934</v>
      </c>
      <c r="E493" s="643" t="s">
        <v>3421</v>
      </c>
      <c r="G493" s="481" t="s">
        <v>1052</v>
      </c>
      <c r="H493" s="643" t="s">
        <v>1053</v>
      </c>
    </row>
    <row r="494" spans="4:8">
      <c r="D494" s="645" t="s">
        <v>3935</v>
      </c>
      <c r="E494" s="643" t="s">
        <v>3422</v>
      </c>
      <c r="G494" s="481" t="s">
        <v>1054</v>
      </c>
      <c r="H494" s="643" t="s">
        <v>1055</v>
      </c>
    </row>
    <row r="495" spans="4:8">
      <c r="D495" s="645" t="s">
        <v>3936</v>
      </c>
      <c r="E495" s="643" t="s">
        <v>3423</v>
      </c>
      <c r="G495" s="481" t="s">
        <v>1056</v>
      </c>
      <c r="H495" s="643" t="s">
        <v>1057</v>
      </c>
    </row>
    <row r="496" spans="4:8">
      <c r="D496" s="645" t="s">
        <v>3937</v>
      </c>
      <c r="E496" s="643" t="s">
        <v>3424</v>
      </c>
      <c r="G496" s="481" t="s">
        <v>1058</v>
      </c>
      <c r="H496" s="643" t="s">
        <v>1059</v>
      </c>
    </row>
    <row r="497" spans="4:8">
      <c r="D497" s="645" t="s">
        <v>3938</v>
      </c>
      <c r="E497" s="643" t="s">
        <v>2922</v>
      </c>
      <c r="G497" s="481" t="s">
        <v>1060</v>
      </c>
      <c r="H497" s="643" t="s">
        <v>1061</v>
      </c>
    </row>
    <row r="498" spans="4:8">
      <c r="D498" s="645" t="s">
        <v>3939</v>
      </c>
      <c r="E498" s="643" t="s">
        <v>3425</v>
      </c>
      <c r="G498" s="481" t="s">
        <v>1062</v>
      </c>
      <c r="H498" s="643" t="s">
        <v>114</v>
      </c>
    </row>
    <row r="499" spans="4:8">
      <c r="D499" s="645" t="s">
        <v>3940</v>
      </c>
      <c r="E499" s="643" t="s">
        <v>3426</v>
      </c>
      <c r="G499" s="481" t="s">
        <v>1063</v>
      </c>
      <c r="H499" s="643" t="s">
        <v>116</v>
      </c>
    </row>
    <row r="500" spans="4:8">
      <c r="D500" s="645" t="s">
        <v>3941</v>
      </c>
      <c r="E500" s="643" t="s">
        <v>2749</v>
      </c>
      <c r="G500" s="481" t="s">
        <v>1064</v>
      </c>
      <c r="H500" s="643" t="s">
        <v>1065</v>
      </c>
    </row>
    <row r="501" spans="4:8">
      <c r="D501" s="645" t="s">
        <v>3942</v>
      </c>
      <c r="E501" s="643" t="s">
        <v>2751</v>
      </c>
      <c r="G501" s="481" t="s">
        <v>1066</v>
      </c>
      <c r="H501" s="643" t="s">
        <v>1067</v>
      </c>
    </row>
    <row r="502" spans="4:8">
      <c r="D502" s="645" t="s">
        <v>3943</v>
      </c>
      <c r="E502" s="643" t="s">
        <v>3427</v>
      </c>
      <c r="G502" s="481" t="s">
        <v>1068</v>
      </c>
      <c r="H502" s="643" t="s">
        <v>1069</v>
      </c>
    </row>
    <row r="503" spans="4:8">
      <c r="D503" s="645" t="s">
        <v>3944</v>
      </c>
      <c r="E503" s="643" t="s">
        <v>3428</v>
      </c>
      <c r="G503" s="481" t="s">
        <v>1070</v>
      </c>
      <c r="H503" s="643" t="s">
        <v>1071</v>
      </c>
    </row>
    <row r="504" spans="4:8">
      <c r="D504" s="645" t="s">
        <v>3945</v>
      </c>
      <c r="E504" s="643" t="s">
        <v>2765</v>
      </c>
      <c r="G504" s="481" t="s">
        <v>1072</v>
      </c>
      <c r="H504" s="643" t="s">
        <v>1073</v>
      </c>
    </row>
    <row r="505" spans="4:8">
      <c r="D505" s="645" t="s">
        <v>3946</v>
      </c>
      <c r="E505" s="643" t="s">
        <v>2767</v>
      </c>
      <c r="G505" s="481" t="s">
        <v>1074</v>
      </c>
      <c r="H505" s="643" t="s">
        <v>1075</v>
      </c>
    </row>
    <row r="506" spans="4:8">
      <c r="D506" s="645" t="s">
        <v>3947</v>
      </c>
      <c r="E506" s="643" t="s">
        <v>3429</v>
      </c>
      <c r="G506" s="481" t="s">
        <v>1076</v>
      </c>
      <c r="H506" s="643" t="s">
        <v>1077</v>
      </c>
    </row>
    <row r="507" spans="4:8">
      <c r="D507" s="645" t="s">
        <v>3948</v>
      </c>
      <c r="E507" s="643" t="s">
        <v>3430</v>
      </c>
      <c r="G507" s="481" t="s">
        <v>1078</v>
      </c>
      <c r="H507" s="643" t="s">
        <v>1079</v>
      </c>
    </row>
    <row r="508" spans="4:8">
      <c r="D508" s="645" t="s">
        <v>3949</v>
      </c>
      <c r="E508" s="643" t="s">
        <v>3431</v>
      </c>
      <c r="G508" s="481" t="s">
        <v>1080</v>
      </c>
      <c r="H508" s="643" t="s">
        <v>1081</v>
      </c>
    </row>
    <row r="509" spans="4:8">
      <c r="D509" s="645" t="s">
        <v>3950</v>
      </c>
      <c r="E509" s="643" t="s">
        <v>2779</v>
      </c>
      <c r="G509" s="481" t="s">
        <v>1082</v>
      </c>
      <c r="H509" s="643" t="s">
        <v>1083</v>
      </c>
    </row>
    <row r="510" spans="4:8">
      <c r="D510" s="645" t="s">
        <v>3951</v>
      </c>
      <c r="E510" s="643" t="s">
        <v>3432</v>
      </c>
      <c r="G510" s="481" t="s">
        <v>1084</v>
      </c>
      <c r="H510" s="643" t="s">
        <v>1085</v>
      </c>
    </row>
    <row r="511" spans="4:8">
      <c r="D511" s="645" t="s">
        <v>3952</v>
      </c>
      <c r="E511" s="643" t="s">
        <v>3433</v>
      </c>
      <c r="G511" s="481" t="s">
        <v>1086</v>
      </c>
      <c r="H511" s="643" t="s">
        <v>1087</v>
      </c>
    </row>
    <row r="512" spans="4:8">
      <c r="D512" s="645" t="s">
        <v>3953</v>
      </c>
      <c r="E512" s="643" t="s">
        <v>2795</v>
      </c>
      <c r="G512" s="481" t="s">
        <v>1088</v>
      </c>
      <c r="H512" s="643" t="s">
        <v>1089</v>
      </c>
    </row>
    <row r="513" spans="4:8">
      <c r="D513" s="645" t="s">
        <v>3954</v>
      </c>
      <c r="E513" s="643" t="s">
        <v>3434</v>
      </c>
      <c r="G513" s="481" t="s">
        <v>1090</v>
      </c>
      <c r="H513" s="643" t="s">
        <v>1091</v>
      </c>
    </row>
    <row r="514" spans="4:8">
      <c r="D514" s="645" t="s">
        <v>3955</v>
      </c>
      <c r="E514" s="643" t="s">
        <v>2801</v>
      </c>
      <c r="G514" s="481" t="s">
        <v>1092</v>
      </c>
      <c r="H514" s="643" t="s">
        <v>1093</v>
      </c>
    </row>
    <row r="515" spans="4:8">
      <c r="D515" s="645" t="s">
        <v>3956</v>
      </c>
      <c r="E515" s="643" t="s">
        <v>2803</v>
      </c>
      <c r="G515" s="481" t="s">
        <v>1094</v>
      </c>
      <c r="H515" s="643" t="s">
        <v>1095</v>
      </c>
    </row>
    <row r="516" spans="4:8">
      <c r="D516" s="645" t="s">
        <v>3957</v>
      </c>
      <c r="E516" s="643" t="s">
        <v>3435</v>
      </c>
      <c r="G516" s="481" t="s">
        <v>1096</v>
      </c>
      <c r="H516" s="643" t="s">
        <v>1097</v>
      </c>
    </row>
    <row r="517" spans="4:8">
      <c r="D517" s="645" t="s">
        <v>3958</v>
      </c>
      <c r="E517" s="643" t="s">
        <v>3436</v>
      </c>
      <c r="G517" s="481" t="s">
        <v>1098</v>
      </c>
      <c r="H517" s="643" t="s">
        <v>1099</v>
      </c>
    </row>
    <row r="518" spans="4:8">
      <c r="D518" s="645" t="s">
        <v>3959</v>
      </c>
      <c r="E518" s="643" t="s">
        <v>3437</v>
      </c>
      <c r="G518" s="481" t="s">
        <v>1100</v>
      </c>
      <c r="H518" s="643" t="s">
        <v>114</v>
      </c>
    </row>
    <row r="519" spans="4:8">
      <c r="D519" s="645" t="s">
        <v>3960</v>
      </c>
      <c r="E519" s="643" t="s">
        <v>3438</v>
      </c>
      <c r="G519" s="481" t="s">
        <v>1101</v>
      </c>
      <c r="H519" s="643" t="s">
        <v>116</v>
      </c>
    </row>
    <row r="520" spans="4:8">
      <c r="D520" s="645" t="s">
        <v>3961</v>
      </c>
      <c r="E520" s="643" t="s">
        <v>3439</v>
      </c>
      <c r="G520" s="481" t="s">
        <v>1102</v>
      </c>
      <c r="H520" s="643" t="s">
        <v>1103</v>
      </c>
    </row>
    <row r="521" spans="4:8">
      <c r="D521" s="645" t="s">
        <v>3962</v>
      </c>
      <c r="E521" s="643" t="s">
        <v>2822</v>
      </c>
      <c r="G521" s="481" t="s">
        <v>1104</v>
      </c>
      <c r="H521" s="643" t="s">
        <v>1105</v>
      </c>
    </row>
    <row r="522" spans="4:8">
      <c r="D522" s="645" t="s">
        <v>3963</v>
      </c>
      <c r="E522" s="643" t="s">
        <v>2824</v>
      </c>
      <c r="G522" s="481" t="s">
        <v>1106</v>
      </c>
      <c r="H522" s="643" t="s">
        <v>1107</v>
      </c>
    </row>
    <row r="523" spans="4:8">
      <c r="D523" s="645" t="s">
        <v>3964</v>
      </c>
      <c r="E523" s="643" t="s">
        <v>2826</v>
      </c>
      <c r="G523" s="481" t="s">
        <v>1108</v>
      </c>
      <c r="H523" s="643" t="s">
        <v>1109</v>
      </c>
    </row>
    <row r="524" spans="4:8">
      <c r="D524" s="645" t="s">
        <v>3965</v>
      </c>
      <c r="E524" s="643" t="s">
        <v>2828</v>
      </c>
      <c r="G524" s="481" t="s">
        <v>1110</v>
      </c>
      <c r="H524" s="643" t="s">
        <v>1111</v>
      </c>
    </row>
    <row r="525" spans="4:8">
      <c r="D525" s="645" t="s">
        <v>3966</v>
      </c>
      <c r="E525" s="643" t="s">
        <v>2830</v>
      </c>
      <c r="G525" s="481" t="s">
        <v>1112</v>
      </c>
      <c r="H525" s="643" t="s">
        <v>1113</v>
      </c>
    </row>
    <row r="526" spans="4:8">
      <c r="D526" s="645" t="s">
        <v>3967</v>
      </c>
      <c r="E526" s="643" t="s">
        <v>2832</v>
      </c>
      <c r="G526" s="481" t="s">
        <v>1114</v>
      </c>
      <c r="H526" s="643" t="s">
        <v>1115</v>
      </c>
    </row>
    <row r="527" spans="4:8">
      <c r="D527" s="645" t="s">
        <v>3968</v>
      </c>
      <c r="E527" s="643" t="s">
        <v>2834</v>
      </c>
      <c r="G527" s="481" t="s">
        <v>1116</v>
      </c>
      <c r="H527" s="643" t="s">
        <v>1117</v>
      </c>
    </row>
    <row r="528" spans="4:8">
      <c r="D528" s="645" t="s">
        <v>3969</v>
      </c>
      <c r="E528" s="643" t="s">
        <v>2836</v>
      </c>
      <c r="G528" s="481" t="s">
        <v>1118</v>
      </c>
      <c r="H528" s="643" t="s">
        <v>1119</v>
      </c>
    </row>
    <row r="529" spans="4:8">
      <c r="D529" s="645" t="s">
        <v>3970</v>
      </c>
      <c r="E529" s="643" t="s">
        <v>2838</v>
      </c>
      <c r="G529" s="481" t="s">
        <v>1120</v>
      </c>
      <c r="H529" s="643" t="s">
        <v>1121</v>
      </c>
    </row>
    <row r="530" spans="4:8">
      <c r="D530" s="645" t="s">
        <v>3971</v>
      </c>
      <c r="E530" s="643" t="s">
        <v>2840</v>
      </c>
      <c r="G530" s="481" t="s">
        <v>1122</v>
      </c>
      <c r="H530" s="643" t="s">
        <v>1123</v>
      </c>
    </row>
    <row r="531" spans="4:8">
      <c r="D531" s="645" t="s">
        <v>3972</v>
      </c>
      <c r="E531" s="643" t="s">
        <v>2932</v>
      </c>
      <c r="G531" s="481" t="s">
        <v>1124</v>
      </c>
      <c r="H531" s="643" t="s">
        <v>1125</v>
      </c>
    </row>
    <row r="532" spans="4:8">
      <c r="G532" s="481" t="s">
        <v>1126</v>
      </c>
      <c r="H532" s="643" t="s">
        <v>1127</v>
      </c>
    </row>
    <row r="533" spans="4:8">
      <c r="G533" s="481" t="s">
        <v>1128</v>
      </c>
      <c r="H533" s="643" t="s">
        <v>1129</v>
      </c>
    </row>
    <row r="534" spans="4:8">
      <c r="G534" s="481" t="s">
        <v>1130</v>
      </c>
      <c r="H534" s="643" t="s">
        <v>1131</v>
      </c>
    </row>
    <row r="535" spans="4:8">
      <c r="G535" s="481" t="s">
        <v>1132</v>
      </c>
      <c r="H535" s="643" t="s">
        <v>1133</v>
      </c>
    </row>
    <row r="536" spans="4:8">
      <c r="G536" s="481" t="s">
        <v>1134</v>
      </c>
      <c r="H536" s="643" t="s">
        <v>1135</v>
      </c>
    </row>
    <row r="537" spans="4:8">
      <c r="G537" s="481" t="s">
        <v>1136</v>
      </c>
      <c r="H537" s="643" t="s">
        <v>1137</v>
      </c>
    </row>
    <row r="538" spans="4:8">
      <c r="G538" s="481" t="s">
        <v>1138</v>
      </c>
      <c r="H538" s="643" t="s">
        <v>1139</v>
      </c>
    </row>
    <row r="539" spans="4:8">
      <c r="G539" s="481" t="s">
        <v>1140</v>
      </c>
      <c r="H539" s="643" t="s">
        <v>1141</v>
      </c>
    </row>
    <row r="540" spans="4:8">
      <c r="G540" s="481" t="s">
        <v>1142</v>
      </c>
      <c r="H540" s="643" t="s">
        <v>1143</v>
      </c>
    </row>
    <row r="541" spans="4:8">
      <c r="G541" s="481" t="s">
        <v>1144</v>
      </c>
      <c r="H541" s="643" t="s">
        <v>1145</v>
      </c>
    </row>
    <row r="542" spans="4:8">
      <c r="G542" s="481" t="s">
        <v>1146</v>
      </c>
      <c r="H542" s="643" t="s">
        <v>1147</v>
      </c>
    </row>
    <row r="543" spans="4:8">
      <c r="G543" s="481" t="s">
        <v>1148</v>
      </c>
      <c r="H543" s="643" t="s">
        <v>1149</v>
      </c>
    </row>
    <row r="544" spans="4:8">
      <c r="G544" s="481" t="s">
        <v>1150</v>
      </c>
      <c r="H544" s="643" t="s">
        <v>1151</v>
      </c>
    </row>
    <row r="545" spans="7:8">
      <c r="G545" s="481" t="s">
        <v>1152</v>
      </c>
      <c r="H545" s="643" t="s">
        <v>1153</v>
      </c>
    </row>
    <row r="546" spans="7:8">
      <c r="G546" s="481" t="s">
        <v>1154</v>
      </c>
      <c r="H546" s="643" t="s">
        <v>1155</v>
      </c>
    </row>
    <row r="547" spans="7:8">
      <c r="G547" s="481" t="s">
        <v>1156</v>
      </c>
      <c r="H547" s="643" t="s">
        <v>1157</v>
      </c>
    </row>
    <row r="548" spans="7:8">
      <c r="G548" s="481" t="s">
        <v>1158</v>
      </c>
      <c r="H548" s="643" t="s">
        <v>1159</v>
      </c>
    </row>
    <row r="549" spans="7:8">
      <c r="G549" s="481" t="s">
        <v>1160</v>
      </c>
      <c r="H549" s="643" t="s">
        <v>1161</v>
      </c>
    </row>
    <row r="550" spans="7:8">
      <c r="G550" s="481" t="s">
        <v>1162</v>
      </c>
      <c r="H550" s="643" t="s">
        <v>1163</v>
      </c>
    </row>
    <row r="551" spans="7:8">
      <c r="G551" s="481" t="s">
        <v>1164</v>
      </c>
      <c r="H551" s="643" t="s">
        <v>1165</v>
      </c>
    </row>
    <row r="552" spans="7:8">
      <c r="G552" s="481" t="s">
        <v>1166</v>
      </c>
      <c r="H552" s="643" t="s">
        <v>1167</v>
      </c>
    </row>
    <row r="553" spans="7:8">
      <c r="G553" s="481" t="s">
        <v>1168</v>
      </c>
      <c r="H553" s="643" t="s">
        <v>114</v>
      </c>
    </row>
    <row r="554" spans="7:8">
      <c r="G554" s="481" t="s">
        <v>1169</v>
      </c>
      <c r="H554" s="643" t="s">
        <v>116</v>
      </c>
    </row>
    <row r="555" spans="7:8">
      <c r="G555" s="481" t="s">
        <v>1170</v>
      </c>
      <c r="H555" s="643" t="s">
        <v>1171</v>
      </c>
    </row>
    <row r="556" spans="7:8">
      <c r="G556" s="481" t="s">
        <v>1172</v>
      </c>
      <c r="H556" s="643" t="s">
        <v>1173</v>
      </c>
    </row>
    <row r="557" spans="7:8">
      <c r="G557" s="481" t="s">
        <v>1174</v>
      </c>
      <c r="H557" s="643" t="s">
        <v>1175</v>
      </c>
    </row>
    <row r="558" spans="7:8">
      <c r="G558" s="481" t="s">
        <v>1176</v>
      </c>
      <c r="H558" s="643" t="s">
        <v>1177</v>
      </c>
    </row>
    <row r="559" spans="7:8">
      <c r="G559" s="481" t="s">
        <v>1178</v>
      </c>
      <c r="H559" s="643" t="s">
        <v>1179</v>
      </c>
    </row>
    <row r="560" spans="7:8">
      <c r="G560" s="481" t="s">
        <v>1180</v>
      </c>
      <c r="H560" s="643" t="s">
        <v>1181</v>
      </c>
    </row>
    <row r="561" spans="7:8">
      <c r="G561" s="481" t="s">
        <v>1182</v>
      </c>
      <c r="H561" s="643" t="s">
        <v>1183</v>
      </c>
    </row>
    <row r="562" spans="7:8">
      <c r="G562" s="481" t="s">
        <v>1184</v>
      </c>
      <c r="H562" s="643" t="s">
        <v>1185</v>
      </c>
    </row>
    <row r="563" spans="7:8">
      <c r="G563" s="481" t="s">
        <v>1186</v>
      </c>
      <c r="H563" s="643" t="s">
        <v>1187</v>
      </c>
    </row>
    <row r="564" spans="7:8">
      <c r="G564" s="481" t="s">
        <v>1188</v>
      </c>
      <c r="H564" s="643" t="s">
        <v>1189</v>
      </c>
    </row>
    <row r="565" spans="7:8">
      <c r="G565" s="481" t="s">
        <v>1190</v>
      </c>
      <c r="H565" s="643" t="s">
        <v>1191</v>
      </c>
    </row>
    <row r="566" spans="7:8">
      <c r="G566" s="481" t="s">
        <v>1192</v>
      </c>
      <c r="H566" s="643" t="s">
        <v>1193</v>
      </c>
    </row>
    <row r="567" spans="7:8">
      <c r="G567" s="481" t="s">
        <v>1194</v>
      </c>
      <c r="H567" s="643" t="s">
        <v>1195</v>
      </c>
    </row>
    <row r="568" spans="7:8">
      <c r="G568" s="481" t="s">
        <v>1196</v>
      </c>
      <c r="H568" s="643" t="s">
        <v>1197</v>
      </c>
    </row>
    <row r="569" spans="7:8">
      <c r="G569" s="481" t="s">
        <v>1198</v>
      </c>
      <c r="H569" s="643" t="s">
        <v>1199</v>
      </c>
    </row>
    <row r="570" spans="7:8">
      <c r="G570" s="481" t="s">
        <v>1200</v>
      </c>
      <c r="H570" s="643" t="s">
        <v>1201</v>
      </c>
    </row>
    <row r="571" spans="7:8">
      <c r="G571" s="481" t="s">
        <v>1202</v>
      </c>
      <c r="H571" s="643" t="s">
        <v>1203</v>
      </c>
    </row>
    <row r="572" spans="7:8">
      <c r="G572" s="481" t="s">
        <v>1204</v>
      </c>
      <c r="H572" s="643" t="s">
        <v>1205</v>
      </c>
    </row>
    <row r="573" spans="7:8">
      <c r="G573" s="481" t="s">
        <v>1206</v>
      </c>
      <c r="H573" s="643" t="s">
        <v>1207</v>
      </c>
    </row>
    <row r="574" spans="7:8">
      <c r="G574" s="481" t="s">
        <v>1208</v>
      </c>
      <c r="H574" s="643" t="s">
        <v>114</v>
      </c>
    </row>
    <row r="575" spans="7:8">
      <c r="G575" s="481" t="s">
        <v>1209</v>
      </c>
      <c r="H575" s="643" t="s">
        <v>116</v>
      </c>
    </row>
    <row r="576" spans="7:8">
      <c r="G576" s="481" t="s">
        <v>1210</v>
      </c>
      <c r="H576" s="643" t="s">
        <v>1211</v>
      </c>
    </row>
    <row r="577" spans="7:8">
      <c r="G577" s="481" t="s">
        <v>1212</v>
      </c>
      <c r="H577" s="643" t="s">
        <v>1213</v>
      </c>
    </row>
    <row r="578" spans="7:8">
      <c r="G578" s="481" t="s">
        <v>1214</v>
      </c>
      <c r="H578" s="643" t="s">
        <v>1215</v>
      </c>
    </row>
    <row r="579" spans="7:8">
      <c r="G579" s="481" t="s">
        <v>1216</v>
      </c>
      <c r="H579" s="643" t="s">
        <v>1217</v>
      </c>
    </row>
    <row r="580" spans="7:8">
      <c r="G580" s="481" t="s">
        <v>1218</v>
      </c>
      <c r="H580" s="643" t="s">
        <v>1219</v>
      </c>
    </row>
    <row r="581" spans="7:8">
      <c r="G581" s="481" t="s">
        <v>1220</v>
      </c>
      <c r="H581" s="643" t="s">
        <v>1221</v>
      </c>
    </row>
    <row r="582" spans="7:8">
      <c r="G582" s="481" t="s">
        <v>1222</v>
      </c>
      <c r="H582" s="643" t="s">
        <v>1223</v>
      </c>
    </row>
    <row r="583" spans="7:8">
      <c r="G583" s="481" t="s">
        <v>1224</v>
      </c>
      <c r="H583" s="643" t="s">
        <v>1225</v>
      </c>
    </row>
    <row r="584" spans="7:8">
      <c r="G584" s="481" t="s">
        <v>1226</v>
      </c>
      <c r="H584" s="643" t="s">
        <v>1227</v>
      </c>
    </row>
    <row r="585" spans="7:8">
      <c r="G585" s="481" t="s">
        <v>1228</v>
      </c>
      <c r="H585" s="643" t="s">
        <v>1229</v>
      </c>
    </row>
    <row r="586" spans="7:8">
      <c r="G586" s="481" t="s">
        <v>1230</v>
      </c>
      <c r="H586" s="643" t="s">
        <v>1231</v>
      </c>
    </row>
    <row r="587" spans="7:8">
      <c r="G587" s="481" t="s">
        <v>1232</v>
      </c>
      <c r="H587" s="643" t="s">
        <v>1233</v>
      </c>
    </row>
    <row r="588" spans="7:8">
      <c r="G588" s="481" t="s">
        <v>1234</v>
      </c>
      <c r="H588" s="643" t="s">
        <v>1235</v>
      </c>
    </row>
    <row r="589" spans="7:8">
      <c r="G589" s="481" t="s">
        <v>1236</v>
      </c>
      <c r="H589" s="643" t="s">
        <v>1237</v>
      </c>
    </row>
    <row r="590" spans="7:8">
      <c r="G590" s="481" t="s">
        <v>1238</v>
      </c>
      <c r="H590" s="643" t="s">
        <v>1239</v>
      </c>
    </row>
    <row r="591" spans="7:8">
      <c r="G591" s="481" t="s">
        <v>1240</v>
      </c>
      <c r="H591" s="643" t="s">
        <v>1241</v>
      </c>
    </row>
    <row r="592" spans="7:8">
      <c r="G592" s="481" t="s">
        <v>1242</v>
      </c>
      <c r="H592" s="643" t="s">
        <v>1243</v>
      </c>
    </row>
    <row r="593" spans="7:8">
      <c r="G593" s="481" t="s">
        <v>1244</v>
      </c>
      <c r="H593" s="643" t="s">
        <v>1245</v>
      </c>
    </row>
    <row r="594" spans="7:8">
      <c r="G594" s="481" t="s">
        <v>1246</v>
      </c>
      <c r="H594" s="643" t="s">
        <v>1247</v>
      </c>
    </row>
    <row r="595" spans="7:8">
      <c r="G595" s="481" t="s">
        <v>1248</v>
      </c>
      <c r="H595" s="643" t="s">
        <v>1249</v>
      </c>
    </row>
    <row r="596" spans="7:8">
      <c r="G596" s="481" t="s">
        <v>1250</v>
      </c>
      <c r="H596" s="643" t="s">
        <v>1251</v>
      </c>
    </row>
    <row r="597" spans="7:8">
      <c r="G597" s="481" t="s">
        <v>1252</v>
      </c>
      <c r="H597" s="643" t="s">
        <v>1253</v>
      </c>
    </row>
    <row r="598" spans="7:8">
      <c r="G598" s="481" t="s">
        <v>1254</v>
      </c>
      <c r="H598" s="643" t="s">
        <v>1255</v>
      </c>
    </row>
    <row r="599" spans="7:8">
      <c r="G599" s="481" t="s">
        <v>1256</v>
      </c>
      <c r="H599" s="643" t="s">
        <v>1257</v>
      </c>
    </row>
    <row r="600" spans="7:8">
      <c r="G600" s="481" t="s">
        <v>1258</v>
      </c>
      <c r="H600" s="643" t="s">
        <v>1259</v>
      </c>
    </row>
    <row r="601" spans="7:8">
      <c r="G601" s="481" t="s">
        <v>1260</v>
      </c>
      <c r="H601" s="643" t="s">
        <v>1261</v>
      </c>
    </row>
    <row r="602" spans="7:8">
      <c r="G602" s="481" t="s">
        <v>1262</v>
      </c>
      <c r="H602" s="643" t="s">
        <v>114</v>
      </c>
    </row>
    <row r="603" spans="7:8">
      <c r="G603" s="481" t="s">
        <v>1263</v>
      </c>
      <c r="H603" s="643" t="s">
        <v>116</v>
      </c>
    </row>
    <row r="604" spans="7:8">
      <c r="G604" s="481" t="s">
        <v>1264</v>
      </c>
      <c r="H604" s="643" t="s">
        <v>1265</v>
      </c>
    </row>
    <row r="605" spans="7:8">
      <c r="G605" s="481" t="s">
        <v>1266</v>
      </c>
      <c r="H605" s="643" t="s">
        <v>1267</v>
      </c>
    </row>
    <row r="606" spans="7:8">
      <c r="G606" s="481" t="s">
        <v>1268</v>
      </c>
      <c r="H606" s="643" t="s">
        <v>1269</v>
      </c>
    </row>
    <row r="607" spans="7:8">
      <c r="G607" s="481" t="s">
        <v>1270</v>
      </c>
      <c r="H607" s="643" t="s">
        <v>1271</v>
      </c>
    </row>
    <row r="608" spans="7:8">
      <c r="G608" s="481" t="s">
        <v>1272</v>
      </c>
      <c r="H608" s="643" t="s">
        <v>1273</v>
      </c>
    </row>
    <row r="609" spans="7:8">
      <c r="G609" s="481" t="s">
        <v>1274</v>
      </c>
      <c r="H609" s="643" t="s">
        <v>1275</v>
      </c>
    </row>
    <row r="610" spans="7:8">
      <c r="G610" s="481" t="s">
        <v>1276</v>
      </c>
      <c r="H610" s="643" t="s">
        <v>1277</v>
      </c>
    </row>
    <row r="611" spans="7:8">
      <c r="G611" s="481" t="s">
        <v>1278</v>
      </c>
      <c r="H611" s="643" t="s">
        <v>1279</v>
      </c>
    </row>
    <row r="612" spans="7:8">
      <c r="G612" s="481" t="s">
        <v>1280</v>
      </c>
      <c r="H612" s="643" t="s">
        <v>1281</v>
      </c>
    </row>
    <row r="613" spans="7:8">
      <c r="G613" s="481" t="s">
        <v>1282</v>
      </c>
      <c r="H613" s="643" t="s">
        <v>1283</v>
      </c>
    </row>
    <row r="614" spans="7:8">
      <c r="G614" s="481" t="s">
        <v>1284</v>
      </c>
      <c r="H614" s="643" t="s">
        <v>1285</v>
      </c>
    </row>
    <row r="615" spans="7:8">
      <c r="G615" s="481" t="s">
        <v>1286</v>
      </c>
      <c r="H615" s="643" t="s">
        <v>1287</v>
      </c>
    </row>
    <row r="616" spans="7:8">
      <c r="G616" s="481" t="s">
        <v>1288</v>
      </c>
      <c r="H616" s="643" t="s">
        <v>1289</v>
      </c>
    </row>
    <row r="617" spans="7:8">
      <c r="G617" s="481" t="s">
        <v>1290</v>
      </c>
      <c r="H617" s="643" t="s">
        <v>1291</v>
      </c>
    </row>
    <row r="618" spans="7:8">
      <c r="G618" s="481" t="s">
        <v>1292</v>
      </c>
      <c r="H618" s="643" t="s">
        <v>1293</v>
      </c>
    </row>
    <row r="619" spans="7:8">
      <c r="G619" s="481" t="s">
        <v>1294</v>
      </c>
      <c r="H619" s="643" t="s">
        <v>1295</v>
      </c>
    </row>
    <row r="620" spans="7:8">
      <c r="G620" s="481" t="s">
        <v>1296</v>
      </c>
      <c r="H620" s="643" t="s">
        <v>1297</v>
      </c>
    </row>
    <row r="621" spans="7:8">
      <c r="G621" s="481" t="s">
        <v>1298</v>
      </c>
      <c r="H621" s="643" t="s">
        <v>1299</v>
      </c>
    </row>
    <row r="622" spans="7:8">
      <c r="G622" s="481" t="s">
        <v>1300</v>
      </c>
      <c r="H622" s="643" t="s">
        <v>1301</v>
      </c>
    </row>
    <row r="623" spans="7:8">
      <c r="G623" s="481" t="s">
        <v>1302</v>
      </c>
      <c r="H623" s="643" t="s">
        <v>1303</v>
      </c>
    </row>
    <row r="624" spans="7:8">
      <c r="G624" s="481" t="s">
        <v>1304</v>
      </c>
      <c r="H624" s="643" t="s">
        <v>1305</v>
      </c>
    </row>
    <row r="625" spans="7:8">
      <c r="G625" s="481" t="s">
        <v>1306</v>
      </c>
      <c r="H625" s="643" t="s">
        <v>1307</v>
      </c>
    </row>
    <row r="626" spans="7:8">
      <c r="G626" s="481" t="s">
        <v>1308</v>
      </c>
      <c r="H626" s="643" t="s">
        <v>1309</v>
      </c>
    </row>
    <row r="627" spans="7:8">
      <c r="G627" s="481" t="s">
        <v>1310</v>
      </c>
      <c r="H627" s="643" t="s">
        <v>114</v>
      </c>
    </row>
    <row r="628" spans="7:8">
      <c r="G628" s="481" t="s">
        <v>1311</v>
      </c>
      <c r="H628" s="643" t="s">
        <v>116</v>
      </c>
    </row>
    <row r="629" spans="7:8">
      <c r="G629" s="481" t="s">
        <v>1312</v>
      </c>
      <c r="H629" s="643" t="s">
        <v>1313</v>
      </c>
    </row>
    <row r="630" spans="7:8">
      <c r="G630" s="481" t="s">
        <v>1314</v>
      </c>
      <c r="H630" s="643" t="s">
        <v>1315</v>
      </c>
    </row>
    <row r="631" spans="7:8">
      <c r="G631" s="481" t="s">
        <v>1316</v>
      </c>
      <c r="H631" s="643" t="s">
        <v>1317</v>
      </c>
    </row>
    <row r="632" spans="7:8">
      <c r="G632" s="481" t="s">
        <v>1318</v>
      </c>
      <c r="H632" s="643" t="s">
        <v>1319</v>
      </c>
    </row>
    <row r="633" spans="7:8">
      <c r="G633" s="481" t="s">
        <v>1320</v>
      </c>
      <c r="H633" s="643" t="s">
        <v>1321</v>
      </c>
    </row>
    <row r="634" spans="7:8">
      <c r="G634" s="481" t="s">
        <v>1322</v>
      </c>
      <c r="H634" s="643" t="s">
        <v>1323</v>
      </c>
    </row>
    <row r="635" spans="7:8">
      <c r="G635" s="481" t="s">
        <v>1324</v>
      </c>
      <c r="H635" s="643" t="s">
        <v>1325</v>
      </c>
    </row>
    <row r="636" spans="7:8">
      <c r="G636" s="481" t="s">
        <v>1326</v>
      </c>
      <c r="H636" s="643" t="s">
        <v>1327</v>
      </c>
    </row>
    <row r="637" spans="7:8">
      <c r="G637" s="481" t="s">
        <v>1328</v>
      </c>
      <c r="H637" s="643" t="s">
        <v>1329</v>
      </c>
    </row>
    <row r="638" spans="7:8">
      <c r="G638" s="481" t="s">
        <v>1330</v>
      </c>
      <c r="H638" s="643" t="s">
        <v>1331</v>
      </c>
    </row>
    <row r="639" spans="7:8">
      <c r="G639" s="481" t="s">
        <v>1332</v>
      </c>
      <c r="H639" s="643" t="s">
        <v>1333</v>
      </c>
    </row>
    <row r="640" spans="7:8">
      <c r="G640" s="481" t="s">
        <v>1334</v>
      </c>
      <c r="H640" s="643" t="s">
        <v>1335</v>
      </c>
    </row>
    <row r="641" spans="7:8">
      <c r="G641" s="481" t="s">
        <v>1336</v>
      </c>
      <c r="H641" s="643" t="s">
        <v>1337</v>
      </c>
    </row>
    <row r="642" spans="7:8">
      <c r="G642" s="481" t="s">
        <v>1338</v>
      </c>
      <c r="H642" s="643" t="s">
        <v>1339</v>
      </c>
    </row>
    <row r="643" spans="7:8">
      <c r="G643" s="481" t="s">
        <v>1340</v>
      </c>
      <c r="H643" s="643" t="s">
        <v>1341</v>
      </c>
    </row>
    <row r="644" spans="7:8">
      <c r="G644" s="481" t="s">
        <v>1342</v>
      </c>
      <c r="H644" s="643" t="s">
        <v>114</v>
      </c>
    </row>
    <row r="645" spans="7:8">
      <c r="G645" s="481" t="s">
        <v>1343</v>
      </c>
      <c r="H645" s="643" t="s">
        <v>116</v>
      </c>
    </row>
    <row r="646" spans="7:8">
      <c r="G646" s="481" t="s">
        <v>1344</v>
      </c>
      <c r="H646" s="643" t="s">
        <v>1345</v>
      </c>
    </row>
    <row r="647" spans="7:8">
      <c r="G647" s="481" t="s">
        <v>1346</v>
      </c>
      <c r="H647" s="643" t="s">
        <v>1347</v>
      </c>
    </row>
    <row r="648" spans="7:8">
      <c r="G648" s="481" t="s">
        <v>1348</v>
      </c>
      <c r="H648" s="643" t="s">
        <v>1349</v>
      </c>
    </row>
    <row r="649" spans="7:8">
      <c r="G649" s="481" t="s">
        <v>1350</v>
      </c>
      <c r="H649" s="643" t="s">
        <v>1351</v>
      </c>
    </row>
    <row r="650" spans="7:8">
      <c r="G650" s="481" t="s">
        <v>1352</v>
      </c>
      <c r="H650" s="643" t="s">
        <v>1353</v>
      </c>
    </row>
    <row r="651" spans="7:8">
      <c r="G651" s="481" t="s">
        <v>1354</v>
      </c>
      <c r="H651" s="643" t="s">
        <v>1355</v>
      </c>
    </row>
    <row r="652" spans="7:8">
      <c r="G652" s="481" t="s">
        <v>1356</v>
      </c>
      <c r="H652" s="643" t="s">
        <v>1357</v>
      </c>
    </row>
    <row r="653" spans="7:8">
      <c r="G653" s="481" t="s">
        <v>1358</v>
      </c>
      <c r="H653" s="643" t="s">
        <v>1359</v>
      </c>
    </row>
    <row r="654" spans="7:8">
      <c r="G654" s="481" t="s">
        <v>1360</v>
      </c>
      <c r="H654" s="643" t="s">
        <v>1361</v>
      </c>
    </row>
    <row r="655" spans="7:8">
      <c r="G655" s="481" t="s">
        <v>1362</v>
      </c>
      <c r="H655" s="643" t="s">
        <v>1363</v>
      </c>
    </row>
    <row r="656" spans="7:8">
      <c r="G656" s="481" t="s">
        <v>1364</v>
      </c>
      <c r="H656" s="643" t="s">
        <v>1365</v>
      </c>
    </row>
    <row r="657" spans="7:8">
      <c r="G657" s="481" t="s">
        <v>1366</v>
      </c>
      <c r="H657" s="643" t="s">
        <v>1367</v>
      </c>
    </row>
    <row r="658" spans="7:8">
      <c r="G658" s="481" t="s">
        <v>1368</v>
      </c>
      <c r="H658" s="643" t="s">
        <v>1369</v>
      </c>
    </row>
    <row r="659" spans="7:8">
      <c r="G659" s="481" t="s">
        <v>1370</v>
      </c>
      <c r="H659" s="643" t="s">
        <v>1371</v>
      </c>
    </row>
    <row r="660" spans="7:8">
      <c r="G660" s="481" t="s">
        <v>1372</v>
      </c>
      <c r="H660" s="643" t="s">
        <v>1373</v>
      </c>
    </row>
    <row r="661" spans="7:8">
      <c r="G661" s="481" t="s">
        <v>1374</v>
      </c>
      <c r="H661" s="643" t="s">
        <v>1375</v>
      </c>
    </row>
    <row r="662" spans="7:8">
      <c r="G662" s="481" t="s">
        <v>1376</v>
      </c>
      <c r="H662" s="643" t="s">
        <v>1377</v>
      </c>
    </row>
    <row r="663" spans="7:8">
      <c r="G663" s="481" t="s">
        <v>1378</v>
      </c>
      <c r="H663" s="643" t="s">
        <v>1379</v>
      </c>
    </row>
    <row r="664" spans="7:8">
      <c r="G664" s="481" t="s">
        <v>1380</v>
      </c>
      <c r="H664" s="643" t="s">
        <v>1381</v>
      </c>
    </row>
    <row r="665" spans="7:8">
      <c r="G665" s="481" t="s">
        <v>1382</v>
      </c>
      <c r="H665" s="643" t="s">
        <v>1383</v>
      </c>
    </row>
    <row r="666" spans="7:8">
      <c r="G666" s="481" t="s">
        <v>1384</v>
      </c>
      <c r="H666" s="643" t="s">
        <v>1385</v>
      </c>
    </row>
    <row r="667" spans="7:8">
      <c r="G667" s="481" t="s">
        <v>1386</v>
      </c>
      <c r="H667" s="643" t="s">
        <v>1387</v>
      </c>
    </row>
    <row r="668" spans="7:8">
      <c r="G668" s="481" t="s">
        <v>1388</v>
      </c>
      <c r="H668" s="643" t="s">
        <v>1389</v>
      </c>
    </row>
    <row r="669" spans="7:8">
      <c r="G669" s="481" t="s">
        <v>1390</v>
      </c>
      <c r="H669" s="643" t="s">
        <v>114</v>
      </c>
    </row>
    <row r="670" spans="7:8">
      <c r="G670" s="481" t="s">
        <v>1391</v>
      </c>
      <c r="H670" s="643" t="s">
        <v>116</v>
      </c>
    </row>
    <row r="671" spans="7:8">
      <c r="G671" s="481" t="s">
        <v>1392</v>
      </c>
      <c r="H671" s="643" t="s">
        <v>1393</v>
      </c>
    </row>
    <row r="672" spans="7:8">
      <c r="G672" s="481" t="s">
        <v>1394</v>
      </c>
      <c r="H672" s="643" t="s">
        <v>1395</v>
      </c>
    </row>
    <row r="673" spans="7:8">
      <c r="G673" s="481" t="s">
        <v>1396</v>
      </c>
      <c r="H673" s="643" t="s">
        <v>1397</v>
      </c>
    </row>
    <row r="674" spans="7:8">
      <c r="G674" s="481" t="s">
        <v>1398</v>
      </c>
      <c r="H674" s="643" t="s">
        <v>1399</v>
      </c>
    </row>
    <row r="675" spans="7:8">
      <c r="G675" s="481" t="s">
        <v>1400</v>
      </c>
      <c r="H675" s="643" t="s">
        <v>1401</v>
      </c>
    </row>
    <row r="676" spans="7:8">
      <c r="G676" s="481" t="s">
        <v>1402</v>
      </c>
      <c r="H676" s="643" t="s">
        <v>1403</v>
      </c>
    </row>
    <row r="677" spans="7:8">
      <c r="G677" s="481" t="s">
        <v>1404</v>
      </c>
      <c r="H677" s="643" t="s">
        <v>1405</v>
      </c>
    </row>
    <row r="678" spans="7:8">
      <c r="G678" s="481" t="s">
        <v>1406</v>
      </c>
      <c r="H678" s="643" t="s">
        <v>1407</v>
      </c>
    </row>
    <row r="679" spans="7:8">
      <c r="G679" s="481" t="s">
        <v>1408</v>
      </c>
      <c r="H679" s="643" t="s">
        <v>1409</v>
      </c>
    </row>
    <row r="680" spans="7:8">
      <c r="G680" s="481" t="s">
        <v>1410</v>
      </c>
      <c r="H680" s="643" t="s">
        <v>1411</v>
      </c>
    </row>
    <row r="681" spans="7:8">
      <c r="G681" s="481" t="s">
        <v>1412</v>
      </c>
      <c r="H681" s="643" t="s">
        <v>1413</v>
      </c>
    </row>
    <row r="682" spans="7:8">
      <c r="G682" s="481" t="s">
        <v>1414</v>
      </c>
      <c r="H682" s="643" t="s">
        <v>1415</v>
      </c>
    </row>
    <row r="683" spans="7:8">
      <c r="G683" s="481" t="s">
        <v>1416</v>
      </c>
      <c r="H683" s="643" t="s">
        <v>1417</v>
      </c>
    </row>
    <row r="684" spans="7:8">
      <c r="G684" s="481" t="s">
        <v>1418</v>
      </c>
      <c r="H684" s="643" t="s">
        <v>1419</v>
      </c>
    </row>
    <row r="685" spans="7:8">
      <c r="G685" s="481" t="s">
        <v>1420</v>
      </c>
      <c r="H685" s="643" t="s">
        <v>1421</v>
      </c>
    </row>
    <row r="686" spans="7:8">
      <c r="G686" s="481" t="s">
        <v>1422</v>
      </c>
      <c r="H686" s="643" t="s">
        <v>114</v>
      </c>
    </row>
    <row r="687" spans="7:8">
      <c r="G687" s="481" t="s">
        <v>1423</v>
      </c>
      <c r="H687" s="643" t="s">
        <v>116</v>
      </c>
    </row>
    <row r="688" spans="7:8">
      <c r="G688" s="481" t="s">
        <v>1424</v>
      </c>
      <c r="H688" s="643" t="s">
        <v>1425</v>
      </c>
    </row>
    <row r="689" spans="7:8">
      <c r="G689" s="481" t="s">
        <v>1426</v>
      </c>
      <c r="H689" s="643" t="s">
        <v>1427</v>
      </c>
    </row>
    <row r="690" spans="7:8">
      <c r="G690" s="481" t="s">
        <v>1428</v>
      </c>
      <c r="H690" s="643" t="s">
        <v>1429</v>
      </c>
    </row>
    <row r="691" spans="7:8">
      <c r="G691" s="481" t="s">
        <v>1430</v>
      </c>
      <c r="H691" s="643" t="s">
        <v>1431</v>
      </c>
    </row>
    <row r="692" spans="7:8">
      <c r="G692" s="481" t="s">
        <v>1432</v>
      </c>
      <c r="H692" s="643" t="s">
        <v>1433</v>
      </c>
    </row>
    <row r="693" spans="7:8">
      <c r="G693" s="481" t="s">
        <v>1434</v>
      </c>
      <c r="H693" s="643" t="s">
        <v>1435</v>
      </c>
    </row>
    <row r="694" spans="7:8">
      <c r="G694" s="481" t="s">
        <v>1436</v>
      </c>
      <c r="H694" s="643" t="s">
        <v>1437</v>
      </c>
    </row>
    <row r="695" spans="7:8">
      <c r="G695" s="481" t="s">
        <v>1438</v>
      </c>
      <c r="H695" s="643" t="s">
        <v>1439</v>
      </c>
    </row>
    <row r="696" spans="7:8">
      <c r="G696" s="481" t="s">
        <v>1440</v>
      </c>
      <c r="H696" s="643" t="s">
        <v>1441</v>
      </c>
    </row>
    <row r="697" spans="7:8">
      <c r="G697" s="481" t="s">
        <v>1442</v>
      </c>
      <c r="H697" s="643" t="s">
        <v>1443</v>
      </c>
    </row>
    <row r="698" spans="7:8">
      <c r="G698" s="481" t="s">
        <v>1444</v>
      </c>
      <c r="H698" s="643" t="s">
        <v>1445</v>
      </c>
    </row>
    <row r="699" spans="7:8">
      <c r="G699" s="481" t="s">
        <v>1446</v>
      </c>
      <c r="H699" s="643" t="s">
        <v>1447</v>
      </c>
    </row>
    <row r="700" spans="7:8">
      <c r="G700" s="481" t="s">
        <v>1448</v>
      </c>
      <c r="H700" s="643" t="s">
        <v>1449</v>
      </c>
    </row>
    <row r="701" spans="7:8">
      <c r="G701" s="481" t="s">
        <v>1450</v>
      </c>
      <c r="H701" s="643" t="s">
        <v>1451</v>
      </c>
    </row>
    <row r="702" spans="7:8">
      <c r="G702" s="481" t="s">
        <v>1452</v>
      </c>
      <c r="H702" s="643" t="s">
        <v>1453</v>
      </c>
    </row>
    <row r="703" spans="7:8">
      <c r="G703" s="481" t="s">
        <v>1454</v>
      </c>
      <c r="H703" s="643" t="s">
        <v>1455</v>
      </c>
    </row>
    <row r="704" spans="7:8">
      <c r="G704" s="481" t="s">
        <v>1456</v>
      </c>
      <c r="H704" s="643" t="s">
        <v>114</v>
      </c>
    </row>
    <row r="705" spans="7:8">
      <c r="G705" s="481" t="s">
        <v>1457</v>
      </c>
      <c r="H705" s="643" t="s">
        <v>116</v>
      </c>
    </row>
    <row r="706" spans="7:8">
      <c r="G706" s="481" t="s">
        <v>1458</v>
      </c>
      <c r="H706" s="643" t="s">
        <v>1459</v>
      </c>
    </row>
    <row r="707" spans="7:8">
      <c r="G707" s="481" t="s">
        <v>1460</v>
      </c>
      <c r="H707" s="643" t="s">
        <v>1461</v>
      </c>
    </row>
    <row r="708" spans="7:8">
      <c r="G708" s="481" t="s">
        <v>1462</v>
      </c>
      <c r="H708" s="643" t="s">
        <v>1463</v>
      </c>
    </row>
    <row r="709" spans="7:8">
      <c r="G709" s="481" t="s">
        <v>1464</v>
      </c>
      <c r="H709" s="643" t="s">
        <v>1465</v>
      </c>
    </row>
    <row r="710" spans="7:8">
      <c r="G710" s="481" t="s">
        <v>1466</v>
      </c>
      <c r="H710" s="643" t="s">
        <v>1467</v>
      </c>
    </row>
    <row r="711" spans="7:8">
      <c r="G711" s="481" t="s">
        <v>1468</v>
      </c>
      <c r="H711" s="643" t="s">
        <v>1469</v>
      </c>
    </row>
    <row r="712" spans="7:8">
      <c r="G712" s="481" t="s">
        <v>1470</v>
      </c>
      <c r="H712" s="643" t="s">
        <v>1471</v>
      </c>
    </row>
    <row r="713" spans="7:8">
      <c r="G713" s="481" t="s">
        <v>1472</v>
      </c>
      <c r="H713" s="643" t="s">
        <v>1473</v>
      </c>
    </row>
    <row r="714" spans="7:8">
      <c r="G714" s="481" t="s">
        <v>1474</v>
      </c>
      <c r="H714" s="643" t="s">
        <v>1475</v>
      </c>
    </row>
    <row r="715" spans="7:8">
      <c r="G715" s="481" t="s">
        <v>1476</v>
      </c>
      <c r="H715" s="643" t="s">
        <v>1477</v>
      </c>
    </row>
    <row r="716" spans="7:8">
      <c r="G716" s="481" t="s">
        <v>1478</v>
      </c>
      <c r="H716" s="643" t="s">
        <v>1479</v>
      </c>
    </row>
    <row r="717" spans="7:8">
      <c r="G717" s="481" t="s">
        <v>1480</v>
      </c>
      <c r="H717" s="643" t="s">
        <v>1481</v>
      </c>
    </row>
    <row r="718" spans="7:8">
      <c r="G718" s="481" t="s">
        <v>1482</v>
      </c>
      <c r="H718" s="643" t="s">
        <v>1483</v>
      </c>
    </row>
    <row r="719" spans="7:8">
      <c r="G719" s="481" t="s">
        <v>1484</v>
      </c>
      <c r="H719" s="643" t="s">
        <v>1485</v>
      </c>
    </row>
    <row r="720" spans="7:8">
      <c r="G720" s="481" t="s">
        <v>1486</v>
      </c>
      <c r="H720" s="643" t="s">
        <v>1487</v>
      </c>
    </row>
    <row r="721" spans="7:8">
      <c r="G721" s="481" t="s">
        <v>1488</v>
      </c>
      <c r="H721" s="643" t="s">
        <v>1489</v>
      </c>
    </row>
    <row r="722" spans="7:8">
      <c r="G722" s="481" t="s">
        <v>1490</v>
      </c>
      <c r="H722" s="643" t="s">
        <v>1491</v>
      </c>
    </row>
    <row r="723" spans="7:8">
      <c r="G723" s="481" t="s">
        <v>1492</v>
      </c>
      <c r="H723" s="643" t="s">
        <v>1493</v>
      </c>
    </row>
    <row r="724" spans="7:8">
      <c r="G724" s="481" t="s">
        <v>1494</v>
      </c>
      <c r="H724" s="643" t="s">
        <v>1495</v>
      </c>
    </row>
    <row r="725" spans="7:8">
      <c r="G725" s="481" t="s">
        <v>1496</v>
      </c>
      <c r="H725" s="643" t="s">
        <v>1497</v>
      </c>
    </row>
    <row r="726" spans="7:8">
      <c r="G726" s="481" t="s">
        <v>1498</v>
      </c>
      <c r="H726" s="643" t="s">
        <v>1499</v>
      </c>
    </row>
    <row r="727" spans="7:8">
      <c r="G727" s="481" t="s">
        <v>1500</v>
      </c>
      <c r="H727" s="643" t="s">
        <v>1501</v>
      </c>
    </row>
    <row r="728" spans="7:8">
      <c r="G728" s="481" t="s">
        <v>1502</v>
      </c>
      <c r="H728" s="643" t="s">
        <v>1503</v>
      </c>
    </row>
    <row r="729" spans="7:8">
      <c r="G729" s="481" t="s">
        <v>1504</v>
      </c>
      <c r="H729" s="643" t="s">
        <v>1505</v>
      </c>
    </row>
    <row r="730" spans="7:8">
      <c r="G730" s="481" t="s">
        <v>1506</v>
      </c>
      <c r="H730" s="643" t="s">
        <v>1507</v>
      </c>
    </row>
    <row r="731" spans="7:8">
      <c r="G731" s="481" t="s">
        <v>1508</v>
      </c>
      <c r="H731" s="643" t="s">
        <v>1509</v>
      </c>
    </row>
    <row r="732" spans="7:8">
      <c r="G732" s="481" t="s">
        <v>1510</v>
      </c>
      <c r="H732" s="643" t="s">
        <v>1511</v>
      </c>
    </row>
    <row r="733" spans="7:8">
      <c r="G733" s="481" t="s">
        <v>1512</v>
      </c>
      <c r="H733" s="643" t="s">
        <v>1513</v>
      </c>
    </row>
    <row r="734" spans="7:8">
      <c r="G734" s="481" t="s">
        <v>1514</v>
      </c>
      <c r="H734" s="643" t="s">
        <v>1515</v>
      </c>
    </row>
    <row r="735" spans="7:8">
      <c r="G735" s="481" t="s">
        <v>1516</v>
      </c>
      <c r="H735" s="643" t="s">
        <v>1517</v>
      </c>
    </row>
    <row r="736" spans="7:8">
      <c r="G736" s="481" t="s">
        <v>1518</v>
      </c>
      <c r="H736" s="643" t="s">
        <v>1519</v>
      </c>
    </row>
    <row r="737" spans="7:8">
      <c r="G737" s="481" t="s">
        <v>1520</v>
      </c>
      <c r="H737" s="643" t="s">
        <v>1521</v>
      </c>
    </row>
    <row r="738" spans="7:8">
      <c r="G738" s="481" t="s">
        <v>1522</v>
      </c>
      <c r="H738" s="643" t="s">
        <v>114</v>
      </c>
    </row>
    <row r="739" spans="7:8">
      <c r="G739" s="481" t="s">
        <v>1523</v>
      </c>
      <c r="H739" s="643" t="s">
        <v>116</v>
      </c>
    </row>
    <row r="740" spans="7:8">
      <c r="G740" s="481" t="s">
        <v>1524</v>
      </c>
      <c r="H740" s="643" t="s">
        <v>1525</v>
      </c>
    </row>
    <row r="741" spans="7:8">
      <c r="G741" s="481" t="s">
        <v>1526</v>
      </c>
      <c r="H741" s="643" t="s">
        <v>1527</v>
      </c>
    </row>
    <row r="742" spans="7:8">
      <c r="G742" s="481" t="s">
        <v>1528</v>
      </c>
      <c r="H742" s="643" t="s">
        <v>114</v>
      </c>
    </row>
    <row r="743" spans="7:8">
      <c r="G743" s="481" t="s">
        <v>1529</v>
      </c>
      <c r="H743" s="643" t="s">
        <v>116</v>
      </c>
    </row>
    <row r="744" spans="7:8">
      <c r="G744" s="481" t="s">
        <v>1530</v>
      </c>
      <c r="H744" s="643" t="s">
        <v>1531</v>
      </c>
    </row>
    <row r="745" spans="7:8">
      <c r="G745" s="481" t="s">
        <v>1532</v>
      </c>
      <c r="H745" s="643" t="s">
        <v>1533</v>
      </c>
    </row>
    <row r="746" spans="7:8">
      <c r="G746" s="481" t="s">
        <v>1534</v>
      </c>
      <c r="H746" s="643" t="s">
        <v>114</v>
      </c>
    </row>
    <row r="747" spans="7:8">
      <c r="G747" s="481" t="s">
        <v>1535</v>
      </c>
      <c r="H747" s="643" t="s">
        <v>116</v>
      </c>
    </row>
    <row r="748" spans="7:8">
      <c r="G748" s="481" t="s">
        <v>1536</v>
      </c>
      <c r="H748" s="643" t="s">
        <v>1537</v>
      </c>
    </row>
    <row r="749" spans="7:8">
      <c r="G749" s="481" t="s">
        <v>1538</v>
      </c>
      <c r="H749" s="643" t="s">
        <v>114</v>
      </c>
    </row>
    <row r="750" spans="7:8">
      <c r="G750" s="481" t="s">
        <v>1539</v>
      </c>
      <c r="H750" s="643" t="s">
        <v>116</v>
      </c>
    </row>
    <row r="751" spans="7:8">
      <c r="G751" s="481" t="s">
        <v>1540</v>
      </c>
      <c r="H751" s="643" t="s">
        <v>1541</v>
      </c>
    </row>
    <row r="752" spans="7:8">
      <c r="G752" s="481" t="s">
        <v>1542</v>
      </c>
      <c r="H752" s="643" t="s">
        <v>1543</v>
      </c>
    </row>
    <row r="753" spans="7:8">
      <c r="G753" s="481" t="s">
        <v>1544</v>
      </c>
      <c r="H753" s="643" t="s">
        <v>1545</v>
      </c>
    </row>
    <row r="754" spans="7:8">
      <c r="G754" s="481" t="s">
        <v>1546</v>
      </c>
      <c r="H754" s="643" t="s">
        <v>1547</v>
      </c>
    </row>
    <row r="755" spans="7:8">
      <c r="G755" s="481" t="s">
        <v>1548</v>
      </c>
      <c r="H755" s="643" t="s">
        <v>114</v>
      </c>
    </row>
    <row r="756" spans="7:8">
      <c r="G756" s="481" t="s">
        <v>1549</v>
      </c>
      <c r="H756" s="643" t="s">
        <v>116</v>
      </c>
    </row>
    <row r="757" spans="7:8">
      <c r="G757" s="481" t="s">
        <v>1550</v>
      </c>
      <c r="H757" s="643" t="s">
        <v>1551</v>
      </c>
    </row>
    <row r="758" spans="7:8">
      <c r="G758" s="481" t="s">
        <v>1552</v>
      </c>
      <c r="H758" s="643" t="s">
        <v>1553</v>
      </c>
    </row>
    <row r="759" spans="7:8">
      <c r="G759" s="481" t="s">
        <v>1554</v>
      </c>
      <c r="H759" s="643" t="s">
        <v>1555</v>
      </c>
    </row>
    <row r="760" spans="7:8">
      <c r="G760" s="481" t="s">
        <v>1556</v>
      </c>
      <c r="H760" s="643" t="s">
        <v>1557</v>
      </c>
    </row>
    <row r="761" spans="7:8">
      <c r="G761" s="481" t="s">
        <v>1558</v>
      </c>
      <c r="H761" s="643" t="s">
        <v>1559</v>
      </c>
    </row>
    <row r="762" spans="7:8">
      <c r="G762" s="481" t="s">
        <v>1560</v>
      </c>
      <c r="H762" s="643" t="s">
        <v>1561</v>
      </c>
    </row>
    <row r="763" spans="7:8">
      <c r="G763" s="481" t="s">
        <v>1562</v>
      </c>
      <c r="H763" s="643" t="s">
        <v>114</v>
      </c>
    </row>
    <row r="764" spans="7:8">
      <c r="G764" s="481" t="s">
        <v>1563</v>
      </c>
      <c r="H764" s="643" t="s">
        <v>116</v>
      </c>
    </row>
    <row r="765" spans="7:8">
      <c r="G765" s="481" t="s">
        <v>1564</v>
      </c>
      <c r="H765" s="643" t="s">
        <v>1565</v>
      </c>
    </row>
    <row r="766" spans="7:8">
      <c r="G766" s="481" t="s">
        <v>1566</v>
      </c>
      <c r="H766" s="643" t="s">
        <v>1567</v>
      </c>
    </row>
    <row r="767" spans="7:8">
      <c r="G767" s="481" t="s">
        <v>1568</v>
      </c>
      <c r="H767" s="643" t="s">
        <v>1569</v>
      </c>
    </row>
    <row r="768" spans="7:8">
      <c r="G768" s="481" t="s">
        <v>1570</v>
      </c>
      <c r="H768" s="643" t="s">
        <v>1571</v>
      </c>
    </row>
    <row r="769" spans="7:8">
      <c r="G769" s="481" t="s">
        <v>1572</v>
      </c>
      <c r="H769" s="643" t="s">
        <v>1573</v>
      </c>
    </row>
    <row r="770" spans="7:8">
      <c r="G770" s="481" t="s">
        <v>1574</v>
      </c>
      <c r="H770" s="643" t="s">
        <v>1575</v>
      </c>
    </row>
    <row r="771" spans="7:8">
      <c r="G771" s="481" t="s">
        <v>1576</v>
      </c>
      <c r="H771" s="643" t="s">
        <v>1577</v>
      </c>
    </row>
    <row r="772" spans="7:8">
      <c r="G772" s="481" t="s">
        <v>1578</v>
      </c>
      <c r="H772" s="643" t="s">
        <v>114</v>
      </c>
    </row>
    <row r="773" spans="7:8">
      <c r="G773" s="481" t="s">
        <v>1579</v>
      </c>
      <c r="H773" s="643" t="s">
        <v>116</v>
      </c>
    </row>
    <row r="774" spans="7:8">
      <c r="G774" s="481" t="s">
        <v>1580</v>
      </c>
      <c r="H774" s="643" t="s">
        <v>1581</v>
      </c>
    </row>
    <row r="775" spans="7:8">
      <c r="G775" s="481" t="s">
        <v>1582</v>
      </c>
      <c r="H775" s="643" t="s">
        <v>1583</v>
      </c>
    </row>
    <row r="776" spans="7:8">
      <c r="G776" s="481" t="s">
        <v>1584</v>
      </c>
      <c r="H776" s="643" t="s">
        <v>1585</v>
      </c>
    </row>
    <row r="777" spans="7:8">
      <c r="G777" s="481" t="s">
        <v>1586</v>
      </c>
      <c r="H777" s="643" t="s">
        <v>1587</v>
      </c>
    </row>
    <row r="778" spans="7:8">
      <c r="G778" s="481" t="s">
        <v>1588</v>
      </c>
      <c r="H778" s="643" t="s">
        <v>1589</v>
      </c>
    </row>
    <row r="779" spans="7:8">
      <c r="G779" s="481" t="s">
        <v>1590</v>
      </c>
      <c r="H779" s="643" t="s">
        <v>1591</v>
      </c>
    </row>
    <row r="780" spans="7:8">
      <c r="G780" s="481" t="s">
        <v>1592</v>
      </c>
      <c r="H780" s="643" t="s">
        <v>1593</v>
      </c>
    </row>
    <row r="781" spans="7:8">
      <c r="G781" s="481" t="s">
        <v>1594</v>
      </c>
      <c r="H781" s="643" t="s">
        <v>1595</v>
      </c>
    </row>
    <row r="782" spans="7:8">
      <c r="G782" s="481" t="s">
        <v>1596</v>
      </c>
      <c r="H782" s="643" t="s">
        <v>114</v>
      </c>
    </row>
    <row r="783" spans="7:8">
      <c r="G783" s="481" t="s">
        <v>1597</v>
      </c>
      <c r="H783" s="643" t="s">
        <v>116</v>
      </c>
    </row>
    <row r="784" spans="7:8">
      <c r="G784" s="481" t="s">
        <v>1598</v>
      </c>
      <c r="H784" s="643" t="s">
        <v>1599</v>
      </c>
    </row>
    <row r="785" spans="7:8">
      <c r="G785" s="481" t="s">
        <v>1600</v>
      </c>
      <c r="H785" s="643" t="s">
        <v>1601</v>
      </c>
    </row>
    <row r="786" spans="7:8">
      <c r="G786" s="481" t="s">
        <v>1602</v>
      </c>
      <c r="H786" s="643" t="s">
        <v>1603</v>
      </c>
    </row>
    <row r="787" spans="7:8">
      <c r="G787" s="481" t="s">
        <v>1604</v>
      </c>
      <c r="H787" s="643" t="s">
        <v>114</v>
      </c>
    </row>
    <row r="788" spans="7:8">
      <c r="G788" s="481" t="s">
        <v>1605</v>
      </c>
      <c r="H788" s="643" t="s">
        <v>116</v>
      </c>
    </row>
    <row r="789" spans="7:8">
      <c r="G789" s="481" t="s">
        <v>1606</v>
      </c>
      <c r="H789" s="643" t="s">
        <v>1607</v>
      </c>
    </row>
    <row r="790" spans="7:8">
      <c r="G790" s="481" t="s">
        <v>1608</v>
      </c>
      <c r="H790" s="643" t="s">
        <v>1609</v>
      </c>
    </row>
    <row r="791" spans="7:8">
      <c r="G791" s="481" t="s">
        <v>1610</v>
      </c>
      <c r="H791" s="643" t="s">
        <v>1611</v>
      </c>
    </row>
    <row r="792" spans="7:8">
      <c r="G792" s="481" t="s">
        <v>1612</v>
      </c>
      <c r="H792" s="643" t="s">
        <v>1613</v>
      </c>
    </row>
    <row r="793" spans="7:8">
      <c r="G793" s="481" t="s">
        <v>1614</v>
      </c>
      <c r="H793" s="643" t="s">
        <v>1615</v>
      </c>
    </row>
    <row r="794" spans="7:8">
      <c r="G794" s="481" t="s">
        <v>1616</v>
      </c>
      <c r="H794" s="643" t="s">
        <v>1617</v>
      </c>
    </row>
    <row r="795" spans="7:8">
      <c r="G795" s="481" t="s">
        <v>1618</v>
      </c>
      <c r="H795" s="643" t="s">
        <v>1619</v>
      </c>
    </row>
    <row r="796" spans="7:8">
      <c r="G796" s="481" t="s">
        <v>1620</v>
      </c>
      <c r="H796" s="643" t="s">
        <v>1621</v>
      </c>
    </row>
    <row r="797" spans="7:8">
      <c r="G797" s="481" t="s">
        <v>1622</v>
      </c>
      <c r="H797" s="643" t="s">
        <v>1623</v>
      </c>
    </row>
    <row r="798" spans="7:8">
      <c r="G798" s="481" t="s">
        <v>1624</v>
      </c>
      <c r="H798" s="643" t="s">
        <v>1625</v>
      </c>
    </row>
    <row r="799" spans="7:8">
      <c r="G799" s="481" t="s">
        <v>1626</v>
      </c>
      <c r="H799" s="643" t="s">
        <v>1627</v>
      </c>
    </row>
    <row r="800" spans="7:8">
      <c r="G800" s="481" t="s">
        <v>1628</v>
      </c>
      <c r="H800" s="643" t="s">
        <v>114</v>
      </c>
    </row>
    <row r="801" spans="7:8">
      <c r="G801" s="481" t="s">
        <v>1629</v>
      </c>
      <c r="H801" s="643" t="s">
        <v>116</v>
      </c>
    </row>
    <row r="802" spans="7:8">
      <c r="G802" s="481" t="s">
        <v>1630</v>
      </c>
      <c r="H802" s="643" t="s">
        <v>1631</v>
      </c>
    </row>
    <row r="803" spans="7:8">
      <c r="G803" s="481" t="s">
        <v>1632</v>
      </c>
      <c r="H803" s="643" t="s">
        <v>1633</v>
      </c>
    </row>
    <row r="804" spans="7:8">
      <c r="G804" s="481" t="s">
        <v>1634</v>
      </c>
      <c r="H804" s="643" t="s">
        <v>1635</v>
      </c>
    </row>
    <row r="805" spans="7:8">
      <c r="G805" s="481" t="s">
        <v>1636</v>
      </c>
      <c r="H805" s="643" t="s">
        <v>1637</v>
      </c>
    </row>
    <row r="806" spans="7:8">
      <c r="G806" s="481" t="s">
        <v>1638</v>
      </c>
      <c r="H806" s="643" t="s">
        <v>1639</v>
      </c>
    </row>
    <row r="807" spans="7:8">
      <c r="G807" s="481" t="s">
        <v>1640</v>
      </c>
      <c r="H807" s="643" t="s">
        <v>1641</v>
      </c>
    </row>
    <row r="808" spans="7:8">
      <c r="G808" s="481" t="s">
        <v>1642</v>
      </c>
      <c r="H808" s="643" t="s">
        <v>1643</v>
      </c>
    </row>
    <row r="809" spans="7:8">
      <c r="G809" s="481" t="s">
        <v>1644</v>
      </c>
      <c r="H809" s="643" t="s">
        <v>1645</v>
      </c>
    </row>
    <row r="810" spans="7:8">
      <c r="G810" s="481" t="s">
        <v>1646</v>
      </c>
      <c r="H810" s="643" t="s">
        <v>114</v>
      </c>
    </row>
    <row r="811" spans="7:8">
      <c r="G811" s="481" t="s">
        <v>1647</v>
      </c>
      <c r="H811" s="643" t="s">
        <v>116</v>
      </c>
    </row>
    <row r="812" spans="7:8">
      <c r="G812" s="481" t="s">
        <v>1648</v>
      </c>
      <c r="H812" s="643" t="s">
        <v>1649</v>
      </c>
    </row>
    <row r="813" spans="7:8">
      <c r="G813" s="481" t="s">
        <v>1650</v>
      </c>
      <c r="H813" s="643" t="s">
        <v>1651</v>
      </c>
    </row>
    <row r="814" spans="7:8">
      <c r="G814" s="481" t="s">
        <v>1652</v>
      </c>
      <c r="H814" s="643" t="s">
        <v>1653</v>
      </c>
    </row>
    <row r="815" spans="7:8">
      <c r="G815" s="481" t="s">
        <v>1654</v>
      </c>
      <c r="H815" s="643" t="s">
        <v>1655</v>
      </c>
    </row>
    <row r="816" spans="7:8">
      <c r="G816" s="481" t="s">
        <v>1656</v>
      </c>
      <c r="H816" s="643" t="s">
        <v>1657</v>
      </c>
    </row>
    <row r="817" spans="7:8">
      <c r="G817" s="481" t="s">
        <v>1658</v>
      </c>
      <c r="H817" s="643" t="s">
        <v>114</v>
      </c>
    </row>
    <row r="818" spans="7:8">
      <c r="G818" s="481" t="s">
        <v>1659</v>
      </c>
      <c r="H818" s="643" t="s">
        <v>116</v>
      </c>
    </row>
    <row r="819" spans="7:8">
      <c r="G819" s="481" t="s">
        <v>1660</v>
      </c>
      <c r="H819" s="643" t="s">
        <v>1661</v>
      </c>
    </row>
    <row r="820" spans="7:8">
      <c r="G820" s="481" t="s">
        <v>1662</v>
      </c>
      <c r="H820" s="643" t="s">
        <v>1663</v>
      </c>
    </row>
    <row r="821" spans="7:8">
      <c r="G821" s="481" t="s">
        <v>1664</v>
      </c>
      <c r="H821" s="643" t="s">
        <v>1665</v>
      </c>
    </row>
    <row r="822" spans="7:8">
      <c r="G822" s="481" t="s">
        <v>1666</v>
      </c>
      <c r="H822" s="643" t="s">
        <v>1667</v>
      </c>
    </row>
    <row r="823" spans="7:8">
      <c r="G823" s="481" t="s">
        <v>1668</v>
      </c>
      <c r="H823" s="643" t="s">
        <v>1669</v>
      </c>
    </row>
    <row r="824" spans="7:8">
      <c r="G824" s="481" t="s">
        <v>1670</v>
      </c>
      <c r="H824" s="643" t="s">
        <v>1671</v>
      </c>
    </row>
    <row r="825" spans="7:8">
      <c r="G825" s="481" t="s">
        <v>1672</v>
      </c>
      <c r="H825" s="643" t="s">
        <v>114</v>
      </c>
    </row>
    <row r="826" spans="7:8">
      <c r="G826" s="481" t="s">
        <v>1673</v>
      </c>
      <c r="H826" s="643" t="s">
        <v>116</v>
      </c>
    </row>
    <row r="827" spans="7:8">
      <c r="G827" s="481" t="s">
        <v>1674</v>
      </c>
      <c r="H827" s="643" t="s">
        <v>1675</v>
      </c>
    </row>
    <row r="828" spans="7:8">
      <c r="G828" s="481" t="s">
        <v>1676</v>
      </c>
      <c r="H828" s="643" t="s">
        <v>1677</v>
      </c>
    </row>
    <row r="829" spans="7:8">
      <c r="G829" s="481" t="s">
        <v>1678</v>
      </c>
      <c r="H829" s="643" t="s">
        <v>1679</v>
      </c>
    </row>
    <row r="830" spans="7:8">
      <c r="G830" s="481" t="s">
        <v>1680</v>
      </c>
      <c r="H830" s="643" t="s">
        <v>1681</v>
      </c>
    </row>
    <row r="831" spans="7:8">
      <c r="G831" s="481" t="s">
        <v>1682</v>
      </c>
      <c r="H831" s="643" t="s">
        <v>1683</v>
      </c>
    </row>
    <row r="832" spans="7:8">
      <c r="G832" s="481" t="s">
        <v>1684</v>
      </c>
      <c r="H832" s="643" t="s">
        <v>1685</v>
      </c>
    </row>
    <row r="833" spans="7:8">
      <c r="G833" s="481" t="s">
        <v>1686</v>
      </c>
      <c r="H833" s="643" t="s">
        <v>1687</v>
      </c>
    </row>
    <row r="834" spans="7:8">
      <c r="G834" s="481" t="s">
        <v>1688</v>
      </c>
      <c r="H834" s="643" t="s">
        <v>1689</v>
      </c>
    </row>
    <row r="835" spans="7:8">
      <c r="G835" s="481" t="s">
        <v>1690</v>
      </c>
      <c r="H835" s="643" t="s">
        <v>1691</v>
      </c>
    </row>
    <row r="836" spans="7:8">
      <c r="G836" s="481" t="s">
        <v>1692</v>
      </c>
      <c r="H836" s="643" t="s">
        <v>114</v>
      </c>
    </row>
    <row r="837" spans="7:8">
      <c r="G837" s="481" t="s">
        <v>1693</v>
      </c>
      <c r="H837" s="643" t="s">
        <v>116</v>
      </c>
    </row>
    <row r="838" spans="7:8">
      <c r="G838" s="481" t="s">
        <v>1694</v>
      </c>
      <c r="H838" s="643" t="s">
        <v>1695</v>
      </c>
    </row>
    <row r="839" spans="7:8">
      <c r="G839" s="481" t="s">
        <v>1696</v>
      </c>
      <c r="H839" s="643" t="s">
        <v>1697</v>
      </c>
    </row>
    <row r="840" spans="7:8">
      <c r="G840" s="481" t="s">
        <v>1698</v>
      </c>
      <c r="H840" s="643" t="s">
        <v>114</v>
      </c>
    </row>
    <row r="841" spans="7:8">
      <c r="G841" s="481" t="s">
        <v>1699</v>
      </c>
      <c r="H841" s="643" t="s">
        <v>116</v>
      </c>
    </row>
    <row r="842" spans="7:8">
      <c r="G842" s="481" t="s">
        <v>1700</v>
      </c>
      <c r="H842" s="643" t="s">
        <v>1701</v>
      </c>
    </row>
    <row r="843" spans="7:8">
      <c r="G843" s="481" t="s">
        <v>1702</v>
      </c>
      <c r="H843" s="643" t="s">
        <v>1703</v>
      </c>
    </row>
    <row r="844" spans="7:8">
      <c r="G844" s="481" t="s">
        <v>1704</v>
      </c>
      <c r="H844" s="643" t="s">
        <v>114</v>
      </c>
    </row>
    <row r="845" spans="7:8">
      <c r="G845" s="481" t="s">
        <v>1705</v>
      </c>
      <c r="H845" s="643" t="s">
        <v>116</v>
      </c>
    </row>
    <row r="846" spans="7:8">
      <c r="G846" s="481" t="s">
        <v>1706</v>
      </c>
      <c r="H846" s="643" t="s">
        <v>1707</v>
      </c>
    </row>
    <row r="847" spans="7:8">
      <c r="G847" s="481" t="s">
        <v>1708</v>
      </c>
      <c r="H847" s="643" t="s">
        <v>1709</v>
      </c>
    </row>
    <row r="848" spans="7:8">
      <c r="G848" s="481" t="s">
        <v>1710</v>
      </c>
      <c r="H848" s="643" t="s">
        <v>1711</v>
      </c>
    </row>
    <row r="849" spans="7:8">
      <c r="G849" s="481" t="s">
        <v>1712</v>
      </c>
      <c r="H849" s="643" t="s">
        <v>1713</v>
      </c>
    </row>
    <row r="850" spans="7:8">
      <c r="G850" s="481" t="s">
        <v>1714</v>
      </c>
      <c r="H850" s="643" t="s">
        <v>1715</v>
      </c>
    </row>
    <row r="851" spans="7:8">
      <c r="G851" s="481" t="s">
        <v>1716</v>
      </c>
      <c r="H851" s="643" t="s">
        <v>1717</v>
      </c>
    </row>
    <row r="852" spans="7:8">
      <c r="G852" s="481" t="s">
        <v>1718</v>
      </c>
      <c r="H852" s="643" t="s">
        <v>1719</v>
      </c>
    </row>
    <row r="853" spans="7:8">
      <c r="G853" s="481" t="s">
        <v>1720</v>
      </c>
      <c r="H853" s="643" t="s">
        <v>1721</v>
      </c>
    </row>
    <row r="854" spans="7:8">
      <c r="G854" s="481" t="s">
        <v>1722</v>
      </c>
      <c r="H854" s="643" t="s">
        <v>1723</v>
      </c>
    </row>
    <row r="855" spans="7:8">
      <c r="G855" s="481" t="s">
        <v>1724</v>
      </c>
      <c r="H855" s="643" t="s">
        <v>1725</v>
      </c>
    </row>
    <row r="856" spans="7:8">
      <c r="G856" s="481" t="s">
        <v>1726</v>
      </c>
      <c r="H856" s="643" t="s">
        <v>1727</v>
      </c>
    </row>
    <row r="857" spans="7:8">
      <c r="G857" s="481" t="s">
        <v>1728</v>
      </c>
      <c r="H857" s="643" t="s">
        <v>1729</v>
      </c>
    </row>
    <row r="858" spans="7:8">
      <c r="G858" s="481" t="s">
        <v>1730</v>
      </c>
      <c r="H858" s="643" t="s">
        <v>1731</v>
      </c>
    </row>
    <row r="859" spans="7:8">
      <c r="G859" s="481" t="s">
        <v>1732</v>
      </c>
      <c r="H859" s="643" t="s">
        <v>1733</v>
      </c>
    </row>
    <row r="860" spans="7:8">
      <c r="G860" s="481" t="s">
        <v>1734</v>
      </c>
      <c r="H860" s="643" t="s">
        <v>1735</v>
      </c>
    </row>
    <row r="861" spans="7:8">
      <c r="G861" s="481" t="s">
        <v>1736</v>
      </c>
      <c r="H861" s="643" t="s">
        <v>1737</v>
      </c>
    </row>
    <row r="862" spans="7:8">
      <c r="G862" s="481" t="s">
        <v>1738</v>
      </c>
      <c r="H862" s="643" t="s">
        <v>114</v>
      </c>
    </row>
    <row r="863" spans="7:8">
      <c r="G863" s="481" t="s">
        <v>1739</v>
      </c>
      <c r="H863" s="643" t="s">
        <v>1740</v>
      </c>
    </row>
    <row r="864" spans="7:8">
      <c r="G864" s="481" t="s">
        <v>1741</v>
      </c>
      <c r="H864" s="643" t="s">
        <v>116</v>
      </c>
    </row>
    <row r="865" spans="7:8">
      <c r="G865" s="481" t="s">
        <v>1742</v>
      </c>
      <c r="H865" s="643" t="s">
        <v>1743</v>
      </c>
    </row>
    <row r="866" spans="7:8">
      <c r="G866" s="481" t="s">
        <v>1744</v>
      </c>
      <c r="H866" s="643" t="s">
        <v>1745</v>
      </c>
    </row>
    <row r="867" spans="7:8">
      <c r="G867" s="481" t="s">
        <v>1746</v>
      </c>
      <c r="H867" s="643" t="s">
        <v>114</v>
      </c>
    </row>
    <row r="868" spans="7:8">
      <c r="G868" s="481" t="s">
        <v>1747</v>
      </c>
      <c r="H868" s="643" t="s">
        <v>1740</v>
      </c>
    </row>
    <row r="869" spans="7:8">
      <c r="G869" s="481" t="s">
        <v>1748</v>
      </c>
      <c r="H869" s="643" t="s">
        <v>116</v>
      </c>
    </row>
    <row r="870" spans="7:8">
      <c r="G870" s="481" t="s">
        <v>1749</v>
      </c>
      <c r="H870" s="643" t="s">
        <v>1750</v>
      </c>
    </row>
    <row r="871" spans="7:8">
      <c r="G871" s="481" t="s">
        <v>1751</v>
      </c>
      <c r="H871" s="643" t="s">
        <v>1752</v>
      </c>
    </row>
    <row r="872" spans="7:8">
      <c r="G872" s="481" t="s">
        <v>1753</v>
      </c>
      <c r="H872" s="643" t="s">
        <v>1754</v>
      </c>
    </row>
    <row r="873" spans="7:8">
      <c r="G873" s="481" t="s">
        <v>1755</v>
      </c>
      <c r="H873" s="643" t="s">
        <v>1756</v>
      </c>
    </row>
    <row r="874" spans="7:8">
      <c r="G874" s="481" t="s">
        <v>1757</v>
      </c>
      <c r="H874" s="643" t="s">
        <v>1758</v>
      </c>
    </row>
    <row r="875" spans="7:8">
      <c r="G875" s="481" t="s">
        <v>1759</v>
      </c>
      <c r="H875" s="643" t="s">
        <v>1760</v>
      </c>
    </row>
    <row r="876" spans="7:8">
      <c r="G876" s="481" t="s">
        <v>1761</v>
      </c>
      <c r="H876" s="643" t="s">
        <v>1762</v>
      </c>
    </row>
    <row r="877" spans="7:8">
      <c r="G877" s="481" t="s">
        <v>1763</v>
      </c>
      <c r="H877" s="643" t="s">
        <v>1764</v>
      </c>
    </row>
    <row r="878" spans="7:8">
      <c r="G878" s="481" t="s">
        <v>1765</v>
      </c>
      <c r="H878" s="643" t="s">
        <v>1766</v>
      </c>
    </row>
    <row r="879" spans="7:8">
      <c r="G879" s="481" t="s">
        <v>1767</v>
      </c>
      <c r="H879" s="643" t="s">
        <v>1768</v>
      </c>
    </row>
    <row r="880" spans="7:8">
      <c r="G880" s="481" t="s">
        <v>1769</v>
      </c>
      <c r="H880" s="643" t="s">
        <v>1770</v>
      </c>
    </row>
    <row r="881" spans="7:8">
      <c r="G881" s="481" t="s">
        <v>1771</v>
      </c>
      <c r="H881" s="643" t="s">
        <v>114</v>
      </c>
    </row>
    <row r="882" spans="7:8">
      <c r="G882" s="481" t="s">
        <v>1772</v>
      </c>
      <c r="H882" s="643" t="s">
        <v>1740</v>
      </c>
    </row>
    <row r="883" spans="7:8">
      <c r="G883" s="481" t="s">
        <v>1773</v>
      </c>
      <c r="H883" s="643" t="s">
        <v>116</v>
      </c>
    </row>
    <row r="884" spans="7:8">
      <c r="G884" s="481" t="s">
        <v>1774</v>
      </c>
      <c r="H884" s="643" t="s">
        <v>1775</v>
      </c>
    </row>
    <row r="885" spans="7:8">
      <c r="G885" s="481" t="s">
        <v>1776</v>
      </c>
      <c r="H885" s="643" t="s">
        <v>1777</v>
      </c>
    </row>
    <row r="886" spans="7:8">
      <c r="G886" s="481" t="s">
        <v>1778</v>
      </c>
      <c r="H886" s="643" t="s">
        <v>1779</v>
      </c>
    </row>
    <row r="887" spans="7:8">
      <c r="G887" s="481" t="s">
        <v>1780</v>
      </c>
      <c r="H887" s="643" t="s">
        <v>1781</v>
      </c>
    </row>
    <row r="888" spans="7:8">
      <c r="G888" s="481" t="s">
        <v>1782</v>
      </c>
      <c r="H888" s="643" t="s">
        <v>1783</v>
      </c>
    </row>
    <row r="889" spans="7:8">
      <c r="G889" s="481" t="s">
        <v>1784</v>
      </c>
      <c r="H889" s="643" t="s">
        <v>1785</v>
      </c>
    </row>
    <row r="890" spans="7:8">
      <c r="G890" s="481" t="s">
        <v>1786</v>
      </c>
      <c r="H890" s="643" t="s">
        <v>1787</v>
      </c>
    </row>
    <row r="891" spans="7:8">
      <c r="G891" s="481" t="s">
        <v>1788</v>
      </c>
      <c r="H891" s="643" t="s">
        <v>1789</v>
      </c>
    </row>
    <row r="892" spans="7:8">
      <c r="G892" s="481" t="s">
        <v>1790</v>
      </c>
      <c r="H892" s="643" t="s">
        <v>1791</v>
      </c>
    </row>
    <row r="893" spans="7:8">
      <c r="G893" s="481" t="s">
        <v>1792</v>
      </c>
      <c r="H893" s="643" t="s">
        <v>1793</v>
      </c>
    </row>
    <row r="894" spans="7:8">
      <c r="G894" s="481" t="s">
        <v>1794</v>
      </c>
      <c r="H894" s="643" t="s">
        <v>1795</v>
      </c>
    </row>
    <row r="895" spans="7:8">
      <c r="G895" s="481" t="s">
        <v>1796</v>
      </c>
      <c r="H895" s="643" t="s">
        <v>1797</v>
      </c>
    </row>
    <row r="896" spans="7:8">
      <c r="G896" s="481" t="s">
        <v>1798</v>
      </c>
      <c r="H896" s="643" t="s">
        <v>1799</v>
      </c>
    </row>
    <row r="897" spans="7:8">
      <c r="G897" s="481" t="s">
        <v>1800</v>
      </c>
      <c r="H897" s="643" t="s">
        <v>1801</v>
      </c>
    </row>
    <row r="898" spans="7:8">
      <c r="G898" s="481" t="s">
        <v>1802</v>
      </c>
      <c r="H898" s="643" t="s">
        <v>1803</v>
      </c>
    </row>
    <row r="899" spans="7:8">
      <c r="G899" s="481" t="s">
        <v>1804</v>
      </c>
      <c r="H899" s="643" t="s">
        <v>114</v>
      </c>
    </row>
    <row r="900" spans="7:8">
      <c r="G900" s="481" t="s">
        <v>1805</v>
      </c>
      <c r="H900" s="643" t="s">
        <v>1740</v>
      </c>
    </row>
    <row r="901" spans="7:8">
      <c r="G901" s="481" t="s">
        <v>1806</v>
      </c>
      <c r="H901" s="643" t="s">
        <v>116</v>
      </c>
    </row>
    <row r="902" spans="7:8">
      <c r="G902" s="481" t="s">
        <v>1807</v>
      </c>
      <c r="H902" s="643" t="s">
        <v>1808</v>
      </c>
    </row>
    <row r="903" spans="7:8">
      <c r="G903" s="481" t="s">
        <v>1809</v>
      </c>
      <c r="H903" s="643" t="s">
        <v>1810</v>
      </c>
    </row>
    <row r="904" spans="7:8">
      <c r="G904" s="481" t="s">
        <v>1811</v>
      </c>
      <c r="H904" s="643" t="s">
        <v>1812</v>
      </c>
    </row>
    <row r="905" spans="7:8">
      <c r="G905" s="481" t="s">
        <v>1813</v>
      </c>
      <c r="H905" s="643" t="s">
        <v>1814</v>
      </c>
    </row>
    <row r="906" spans="7:8">
      <c r="G906" s="481" t="s">
        <v>1815</v>
      </c>
      <c r="H906" s="643" t="s">
        <v>1816</v>
      </c>
    </row>
    <row r="907" spans="7:8">
      <c r="G907" s="481" t="s">
        <v>1817</v>
      </c>
      <c r="H907" s="643" t="s">
        <v>1818</v>
      </c>
    </row>
    <row r="908" spans="7:8">
      <c r="G908" s="481" t="s">
        <v>1819</v>
      </c>
      <c r="H908" s="643" t="s">
        <v>1820</v>
      </c>
    </row>
    <row r="909" spans="7:8">
      <c r="G909" s="481" t="s">
        <v>1821</v>
      </c>
      <c r="H909" s="643" t="s">
        <v>1822</v>
      </c>
    </row>
    <row r="910" spans="7:8">
      <c r="G910" s="481" t="s">
        <v>1823</v>
      </c>
      <c r="H910" s="643" t="s">
        <v>1824</v>
      </c>
    </row>
    <row r="911" spans="7:8">
      <c r="G911" s="481" t="s">
        <v>1825</v>
      </c>
      <c r="H911" s="643" t="s">
        <v>1826</v>
      </c>
    </row>
    <row r="912" spans="7:8">
      <c r="G912" s="481" t="s">
        <v>1827</v>
      </c>
      <c r="H912" s="643" t="s">
        <v>1828</v>
      </c>
    </row>
    <row r="913" spans="7:8">
      <c r="G913" s="481" t="s">
        <v>1829</v>
      </c>
      <c r="H913" s="643" t="s">
        <v>1830</v>
      </c>
    </row>
    <row r="914" spans="7:8">
      <c r="G914" s="481" t="s">
        <v>1831</v>
      </c>
      <c r="H914" s="643" t="s">
        <v>1832</v>
      </c>
    </row>
    <row r="915" spans="7:8">
      <c r="G915" s="481" t="s">
        <v>1833</v>
      </c>
      <c r="H915" s="643" t="s">
        <v>1834</v>
      </c>
    </row>
    <row r="916" spans="7:8">
      <c r="G916" s="481" t="s">
        <v>1835</v>
      </c>
      <c r="H916" s="643" t="s">
        <v>1836</v>
      </c>
    </row>
    <row r="917" spans="7:8">
      <c r="G917" s="481" t="s">
        <v>1837</v>
      </c>
      <c r="H917" s="643" t="s">
        <v>1838</v>
      </c>
    </row>
    <row r="918" spans="7:8">
      <c r="G918" s="481" t="s">
        <v>1839</v>
      </c>
      <c r="H918" s="643" t="s">
        <v>1840</v>
      </c>
    </row>
    <row r="919" spans="7:8">
      <c r="G919" s="481" t="s">
        <v>1841</v>
      </c>
      <c r="H919" s="643" t="s">
        <v>1842</v>
      </c>
    </row>
    <row r="920" spans="7:8">
      <c r="G920" s="481" t="s">
        <v>1843</v>
      </c>
      <c r="H920" s="643" t="s">
        <v>1844</v>
      </c>
    </row>
    <row r="921" spans="7:8">
      <c r="G921" s="481" t="s">
        <v>1845</v>
      </c>
      <c r="H921" s="643" t="s">
        <v>1846</v>
      </c>
    </row>
    <row r="922" spans="7:8">
      <c r="G922" s="481" t="s">
        <v>1847</v>
      </c>
      <c r="H922" s="643" t="s">
        <v>114</v>
      </c>
    </row>
    <row r="923" spans="7:8">
      <c r="G923" s="481" t="s">
        <v>1848</v>
      </c>
      <c r="H923" s="643" t="s">
        <v>1740</v>
      </c>
    </row>
    <row r="924" spans="7:8">
      <c r="G924" s="481" t="s">
        <v>1849</v>
      </c>
      <c r="H924" s="643" t="s">
        <v>116</v>
      </c>
    </row>
    <row r="925" spans="7:8">
      <c r="G925" s="481" t="s">
        <v>1850</v>
      </c>
      <c r="H925" s="643" t="s">
        <v>1851</v>
      </c>
    </row>
    <row r="926" spans="7:8">
      <c r="G926" s="481" t="s">
        <v>1852</v>
      </c>
      <c r="H926" s="643" t="s">
        <v>1853</v>
      </c>
    </row>
    <row r="927" spans="7:8">
      <c r="G927" s="481" t="s">
        <v>1854</v>
      </c>
      <c r="H927" s="643" t="s">
        <v>1855</v>
      </c>
    </row>
    <row r="928" spans="7:8">
      <c r="G928" s="481" t="s">
        <v>1856</v>
      </c>
      <c r="H928" s="643" t="s">
        <v>1857</v>
      </c>
    </row>
    <row r="929" spans="7:8">
      <c r="G929" s="481" t="s">
        <v>1858</v>
      </c>
      <c r="H929" s="643" t="s">
        <v>1859</v>
      </c>
    </row>
    <row r="930" spans="7:8">
      <c r="G930" s="481" t="s">
        <v>1860</v>
      </c>
      <c r="H930" s="643" t="s">
        <v>1861</v>
      </c>
    </row>
    <row r="931" spans="7:8">
      <c r="G931" s="481" t="s">
        <v>1862</v>
      </c>
      <c r="H931" s="643" t="s">
        <v>1863</v>
      </c>
    </row>
    <row r="932" spans="7:8">
      <c r="G932" s="481" t="s">
        <v>1864</v>
      </c>
      <c r="H932" s="643" t="s">
        <v>1865</v>
      </c>
    </row>
    <row r="933" spans="7:8">
      <c r="G933" s="481" t="s">
        <v>1866</v>
      </c>
      <c r="H933" s="643" t="s">
        <v>1867</v>
      </c>
    </row>
    <row r="934" spans="7:8">
      <c r="G934" s="481" t="s">
        <v>1868</v>
      </c>
      <c r="H934" s="643" t="s">
        <v>1869</v>
      </c>
    </row>
    <row r="935" spans="7:8">
      <c r="G935" s="481" t="s">
        <v>1870</v>
      </c>
      <c r="H935" s="643" t="s">
        <v>1871</v>
      </c>
    </row>
    <row r="936" spans="7:8">
      <c r="G936" s="481" t="s">
        <v>1872</v>
      </c>
      <c r="H936" s="643" t="s">
        <v>1873</v>
      </c>
    </row>
    <row r="937" spans="7:8">
      <c r="G937" s="481" t="s">
        <v>1874</v>
      </c>
      <c r="H937" s="643" t="s">
        <v>1875</v>
      </c>
    </row>
    <row r="938" spans="7:8">
      <c r="G938" s="481" t="s">
        <v>1876</v>
      </c>
      <c r="H938" s="643" t="s">
        <v>114</v>
      </c>
    </row>
    <row r="939" spans="7:8">
      <c r="G939" s="481" t="s">
        <v>1877</v>
      </c>
      <c r="H939" s="643" t="s">
        <v>1740</v>
      </c>
    </row>
    <row r="940" spans="7:8">
      <c r="G940" s="481" t="s">
        <v>1878</v>
      </c>
      <c r="H940" s="643" t="s">
        <v>116</v>
      </c>
    </row>
    <row r="941" spans="7:8">
      <c r="G941" s="481" t="s">
        <v>1879</v>
      </c>
      <c r="H941" s="643" t="s">
        <v>1880</v>
      </c>
    </row>
    <row r="942" spans="7:8">
      <c r="G942" s="481" t="s">
        <v>1881</v>
      </c>
      <c r="H942" s="643" t="s">
        <v>1882</v>
      </c>
    </row>
    <row r="943" spans="7:8">
      <c r="G943" s="481" t="s">
        <v>1883</v>
      </c>
      <c r="H943" s="643" t="s">
        <v>1884</v>
      </c>
    </row>
    <row r="944" spans="7:8">
      <c r="G944" s="481" t="s">
        <v>1885</v>
      </c>
      <c r="H944" s="643" t="s">
        <v>1886</v>
      </c>
    </row>
    <row r="945" spans="7:8">
      <c r="G945" s="481" t="s">
        <v>1887</v>
      </c>
      <c r="H945" s="643" t="s">
        <v>1888</v>
      </c>
    </row>
    <row r="946" spans="7:8">
      <c r="G946" s="481" t="s">
        <v>1889</v>
      </c>
      <c r="H946" s="643" t="s">
        <v>1890</v>
      </c>
    </row>
    <row r="947" spans="7:8">
      <c r="G947" s="481" t="s">
        <v>1891</v>
      </c>
      <c r="H947" s="643" t="s">
        <v>1892</v>
      </c>
    </row>
    <row r="948" spans="7:8">
      <c r="G948" s="481" t="s">
        <v>1893</v>
      </c>
      <c r="H948" s="643" t="s">
        <v>1894</v>
      </c>
    </row>
    <row r="949" spans="7:8">
      <c r="G949" s="481" t="s">
        <v>1895</v>
      </c>
      <c r="H949" s="643" t="s">
        <v>1896</v>
      </c>
    </row>
    <row r="950" spans="7:8">
      <c r="G950" s="481" t="s">
        <v>1897</v>
      </c>
      <c r="H950" s="643" t="s">
        <v>1898</v>
      </c>
    </row>
    <row r="951" spans="7:8">
      <c r="G951" s="481" t="s">
        <v>1899</v>
      </c>
      <c r="H951" s="643" t="s">
        <v>1900</v>
      </c>
    </row>
    <row r="952" spans="7:8">
      <c r="G952" s="481" t="s">
        <v>1901</v>
      </c>
      <c r="H952" s="643" t="s">
        <v>1902</v>
      </c>
    </row>
    <row r="953" spans="7:8">
      <c r="G953" s="481" t="s">
        <v>1903</v>
      </c>
      <c r="H953" s="643" t="s">
        <v>1904</v>
      </c>
    </row>
    <row r="954" spans="7:8">
      <c r="G954" s="481" t="s">
        <v>1905</v>
      </c>
      <c r="H954" s="643" t="s">
        <v>1906</v>
      </c>
    </row>
    <row r="955" spans="7:8">
      <c r="G955" s="481" t="s">
        <v>1907</v>
      </c>
      <c r="H955" s="643" t="s">
        <v>1908</v>
      </c>
    </row>
    <row r="956" spans="7:8">
      <c r="G956" s="481" t="s">
        <v>1909</v>
      </c>
      <c r="H956" s="643" t="s">
        <v>1910</v>
      </c>
    </row>
    <row r="957" spans="7:8">
      <c r="G957" s="481" t="s">
        <v>1911</v>
      </c>
      <c r="H957" s="643" t="s">
        <v>1912</v>
      </c>
    </row>
    <row r="958" spans="7:8">
      <c r="G958" s="481" t="s">
        <v>1913</v>
      </c>
      <c r="H958" s="643" t="s">
        <v>1914</v>
      </c>
    </row>
    <row r="959" spans="7:8">
      <c r="G959" s="481" t="s">
        <v>1915</v>
      </c>
      <c r="H959" s="643" t="s">
        <v>1916</v>
      </c>
    </row>
    <row r="960" spans="7:8">
      <c r="G960" s="481" t="s">
        <v>1917</v>
      </c>
      <c r="H960" s="643" t="s">
        <v>1918</v>
      </c>
    </row>
    <row r="961" spans="7:8">
      <c r="G961" s="481" t="s">
        <v>1919</v>
      </c>
      <c r="H961" s="643" t="s">
        <v>1920</v>
      </c>
    </row>
    <row r="962" spans="7:8">
      <c r="G962" s="481" t="s">
        <v>1921</v>
      </c>
      <c r="H962" s="643" t="s">
        <v>114</v>
      </c>
    </row>
    <row r="963" spans="7:8">
      <c r="G963" s="481" t="s">
        <v>1922</v>
      </c>
      <c r="H963" s="643" t="s">
        <v>1740</v>
      </c>
    </row>
    <row r="964" spans="7:8">
      <c r="G964" s="481" t="s">
        <v>1923</v>
      </c>
      <c r="H964" s="643" t="s">
        <v>116</v>
      </c>
    </row>
    <row r="965" spans="7:8">
      <c r="G965" s="481" t="s">
        <v>1924</v>
      </c>
      <c r="H965" s="643" t="s">
        <v>1925</v>
      </c>
    </row>
    <row r="966" spans="7:8">
      <c r="G966" s="481" t="s">
        <v>1926</v>
      </c>
      <c r="H966" s="643" t="s">
        <v>1927</v>
      </c>
    </row>
    <row r="967" spans="7:8">
      <c r="G967" s="481" t="s">
        <v>1928</v>
      </c>
      <c r="H967" s="643" t="s">
        <v>114</v>
      </c>
    </row>
    <row r="968" spans="7:8">
      <c r="G968" s="481" t="s">
        <v>1929</v>
      </c>
      <c r="H968" s="643" t="s">
        <v>1740</v>
      </c>
    </row>
    <row r="969" spans="7:8">
      <c r="G969" s="481" t="s">
        <v>1930</v>
      </c>
      <c r="H969" s="643" t="s">
        <v>116</v>
      </c>
    </row>
    <row r="970" spans="7:8">
      <c r="G970" s="481" t="s">
        <v>1931</v>
      </c>
      <c r="H970" s="643" t="s">
        <v>1932</v>
      </c>
    </row>
    <row r="971" spans="7:8">
      <c r="G971" s="481" t="s">
        <v>1933</v>
      </c>
      <c r="H971" s="643" t="s">
        <v>1934</v>
      </c>
    </row>
    <row r="972" spans="7:8">
      <c r="G972" s="481" t="s">
        <v>1935</v>
      </c>
      <c r="H972" s="643" t="s">
        <v>1936</v>
      </c>
    </row>
    <row r="973" spans="7:8">
      <c r="G973" s="481" t="s">
        <v>1937</v>
      </c>
      <c r="H973" s="643" t="s">
        <v>1938</v>
      </c>
    </row>
    <row r="974" spans="7:8">
      <c r="G974" s="481" t="s">
        <v>1939</v>
      </c>
      <c r="H974" s="643" t="s">
        <v>1940</v>
      </c>
    </row>
    <row r="975" spans="7:8">
      <c r="G975" s="481" t="s">
        <v>1941</v>
      </c>
      <c r="H975" s="643" t="s">
        <v>1942</v>
      </c>
    </row>
    <row r="976" spans="7:8">
      <c r="G976" s="481" t="s">
        <v>1943</v>
      </c>
      <c r="H976" s="643" t="s">
        <v>1944</v>
      </c>
    </row>
    <row r="977" spans="7:8">
      <c r="G977" s="481" t="s">
        <v>1945</v>
      </c>
      <c r="H977" s="643" t="s">
        <v>1946</v>
      </c>
    </row>
    <row r="978" spans="7:8">
      <c r="G978" s="481" t="s">
        <v>1947</v>
      </c>
      <c r="H978" s="643" t="s">
        <v>1948</v>
      </c>
    </row>
    <row r="979" spans="7:8">
      <c r="G979" s="481" t="s">
        <v>1949</v>
      </c>
      <c r="H979" s="643" t="s">
        <v>1950</v>
      </c>
    </row>
    <row r="980" spans="7:8">
      <c r="G980" s="481" t="s">
        <v>1951</v>
      </c>
      <c r="H980" s="643" t="s">
        <v>1952</v>
      </c>
    </row>
    <row r="981" spans="7:8">
      <c r="G981" s="481" t="s">
        <v>1953</v>
      </c>
      <c r="H981" s="643" t="s">
        <v>114</v>
      </c>
    </row>
    <row r="982" spans="7:8">
      <c r="G982" s="481" t="s">
        <v>1954</v>
      </c>
      <c r="H982" s="643" t="s">
        <v>1740</v>
      </c>
    </row>
    <row r="983" spans="7:8">
      <c r="G983" s="481" t="s">
        <v>1955</v>
      </c>
      <c r="H983" s="643" t="s">
        <v>116</v>
      </c>
    </row>
    <row r="984" spans="7:8">
      <c r="G984" s="481" t="s">
        <v>1956</v>
      </c>
      <c r="H984" s="643" t="s">
        <v>1957</v>
      </c>
    </row>
    <row r="985" spans="7:8">
      <c r="G985" s="481" t="s">
        <v>1958</v>
      </c>
      <c r="H985" s="643" t="s">
        <v>1959</v>
      </c>
    </row>
    <row r="986" spans="7:8">
      <c r="G986" s="481" t="s">
        <v>1960</v>
      </c>
      <c r="H986" s="643" t="s">
        <v>1961</v>
      </c>
    </row>
    <row r="987" spans="7:8">
      <c r="G987" s="481" t="s">
        <v>1962</v>
      </c>
      <c r="H987" s="643" t="s">
        <v>1963</v>
      </c>
    </row>
    <row r="988" spans="7:8">
      <c r="G988" s="481" t="s">
        <v>1964</v>
      </c>
      <c r="H988" s="643" t="s">
        <v>1965</v>
      </c>
    </row>
    <row r="989" spans="7:8">
      <c r="G989" s="481" t="s">
        <v>1966</v>
      </c>
      <c r="H989" s="643" t="s">
        <v>1967</v>
      </c>
    </row>
    <row r="990" spans="7:8">
      <c r="G990" s="481" t="s">
        <v>1968</v>
      </c>
      <c r="H990" s="643" t="s">
        <v>1969</v>
      </c>
    </row>
    <row r="991" spans="7:8">
      <c r="G991" s="481" t="s">
        <v>1970</v>
      </c>
      <c r="H991" s="643" t="s">
        <v>1971</v>
      </c>
    </row>
    <row r="992" spans="7:8">
      <c r="G992" s="481" t="s">
        <v>1972</v>
      </c>
      <c r="H992" s="643" t="s">
        <v>1973</v>
      </c>
    </row>
    <row r="993" spans="7:8">
      <c r="G993" s="481" t="s">
        <v>1974</v>
      </c>
      <c r="H993" s="643" t="s">
        <v>1975</v>
      </c>
    </row>
    <row r="994" spans="7:8">
      <c r="G994" s="481" t="s">
        <v>1976</v>
      </c>
      <c r="H994" s="643" t="s">
        <v>1977</v>
      </c>
    </row>
    <row r="995" spans="7:8">
      <c r="G995" s="481" t="s">
        <v>1978</v>
      </c>
      <c r="H995" s="643" t="s">
        <v>1979</v>
      </c>
    </row>
    <row r="996" spans="7:8">
      <c r="G996" s="481" t="s">
        <v>1980</v>
      </c>
      <c r="H996" s="643" t="s">
        <v>1981</v>
      </c>
    </row>
    <row r="997" spans="7:8">
      <c r="G997" s="481" t="s">
        <v>1982</v>
      </c>
      <c r="H997" s="643" t="s">
        <v>1983</v>
      </c>
    </row>
    <row r="998" spans="7:8">
      <c r="G998" s="481" t="s">
        <v>1984</v>
      </c>
      <c r="H998" s="643" t="s">
        <v>1985</v>
      </c>
    </row>
    <row r="999" spans="7:8">
      <c r="G999" s="481" t="s">
        <v>1986</v>
      </c>
      <c r="H999" s="643" t="s">
        <v>1987</v>
      </c>
    </row>
    <row r="1000" spans="7:8">
      <c r="G1000" s="481" t="s">
        <v>1988</v>
      </c>
      <c r="H1000" s="643" t="s">
        <v>1989</v>
      </c>
    </row>
    <row r="1001" spans="7:8">
      <c r="G1001" s="481" t="s">
        <v>1990</v>
      </c>
      <c r="H1001" s="643" t="s">
        <v>1991</v>
      </c>
    </row>
    <row r="1002" spans="7:8">
      <c r="G1002" s="481" t="s">
        <v>1992</v>
      </c>
      <c r="H1002" s="643" t="s">
        <v>1993</v>
      </c>
    </row>
    <row r="1003" spans="7:8">
      <c r="G1003" s="481" t="s">
        <v>1994</v>
      </c>
      <c r="H1003" s="643" t="s">
        <v>1995</v>
      </c>
    </row>
    <row r="1004" spans="7:8">
      <c r="G1004" s="481" t="s">
        <v>1996</v>
      </c>
      <c r="H1004" s="643" t="s">
        <v>114</v>
      </c>
    </row>
    <row r="1005" spans="7:8">
      <c r="G1005" s="481" t="s">
        <v>1997</v>
      </c>
      <c r="H1005" s="643" t="s">
        <v>1740</v>
      </c>
    </row>
    <row r="1006" spans="7:8">
      <c r="G1006" s="481" t="s">
        <v>1998</v>
      </c>
      <c r="H1006" s="643" t="s">
        <v>116</v>
      </c>
    </row>
    <row r="1007" spans="7:8">
      <c r="G1007" s="481" t="s">
        <v>1999</v>
      </c>
      <c r="H1007" s="643" t="s">
        <v>2000</v>
      </c>
    </row>
    <row r="1008" spans="7:8">
      <c r="G1008" s="481" t="s">
        <v>2001</v>
      </c>
      <c r="H1008" s="643" t="s">
        <v>2002</v>
      </c>
    </row>
    <row r="1009" spans="7:8">
      <c r="G1009" s="481" t="s">
        <v>2003</v>
      </c>
      <c r="H1009" s="643" t="s">
        <v>2004</v>
      </c>
    </row>
    <row r="1010" spans="7:8">
      <c r="G1010" s="481" t="s">
        <v>2005</v>
      </c>
      <c r="H1010" s="643" t="s">
        <v>2006</v>
      </c>
    </row>
    <row r="1011" spans="7:8">
      <c r="G1011" s="481" t="s">
        <v>2007</v>
      </c>
      <c r="H1011" s="643" t="s">
        <v>2008</v>
      </c>
    </row>
    <row r="1012" spans="7:8">
      <c r="G1012" s="481" t="s">
        <v>2009</v>
      </c>
      <c r="H1012" s="643" t="s">
        <v>2010</v>
      </c>
    </row>
    <row r="1013" spans="7:8">
      <c r="G1013" s="481" t="s">
        <v>2011</v>
      </c>
      <c r="H1013" s="643" t="s">
        <v>2012</v>
      </c>
    </row>
    <row r="1014" spans="7:8">
      <c r="G1014" s="481" t="s">
        <v>2013</v>
      </c>
      <c r="H1014" s="643" t="s">
        <v>2014</v>
      </c>
    </row>
    <row r="1015" spans="7:8">
      <c r="G1015" s="481" t="s">
        <v>2015</v>
      </c>
      <c r="H1015" s="643" t="s">
        <v>2016</v>
      </c>
    </row>
    <row r="1016" spans="7:8">
      <c r="G1016" s="481" t="s">
        <v>2017</v>
      </c>
      <c r="H1016" s="643" t="s">
        <v>114</v>
      </c>
    </row>
    <row r="1017" spans="7:8">
      <c r="G1017" s="481" t="s">
        <v>2018</v>
      </c>
      <c r="H1017" s="643" t="s">
        <v>1740</v>
      </c>
    </row>
    <row r="1018" spans="7:8">
      <c r="G1018" s="481" t="s">
        <v>2019</v>
      </c>
      <c r="H1018" s="643" t="s">
        <v>116</v>
      </c>
    </row>
    <row r="1019" spans="7:8">
      <c r="G1019" s="481" t="s">
        <v>2020</v>
      </c>
      <c r="H1019" s="643" t="s">
        <v>2021</v>
      </c>
    </row>
    <row r="1020" spans="7:8">
      <c r="G1020" s="481" t="s">
        <v>2022</v>
      </c>
      <c r="H1020" s="643" t="s">
        <v>2023</v>
      </c>
    </row>
    <row r="1021" spans="7:8">
      <c r="G1021" s="481" t="s">
        <v>2024</v>
      </c>
      <c r="H1021" s="643" t="s">
        <v>2025</v>
      </c>
    </row>
    <row r="1022" spans="7:8">
      <c r="G1022" s="481" t="s">
        <v>2026</v>
      </c>
      <c r="H1022" s="643" t="s">
        <v>2027</v>
      </c>
    </row>
    <row r="1023" spans="7:8">
      <c r="G1023" s="481" t="s">
        <v>2028</v>
      </c>
      <c r="H1023" s="643" t="s">
        <v>2029</v>
      </c>
    </row>
    <row r="1024" spans="7:8">
      <c r="G1024" s="481" t="s">
        <v>2030</v>
      </c>
      <c r="H1024" s="643" t="s">
        <v>2031</v>
      </c>
    </row>
    <row r="1025" spans="7:8">
      <c r="G1025" s="481" t="s">
        <v>2032</v>
      </c>
      <c r="H1025" s="643" t="s">
        <v>2033</v>
      </c>
    </row>
    <row r="1026" spans="7:8">
      <c r="G1026" s="481" t="s">
        <v>2034</v>
      </c>
      <c r="H1026" s="643" t="s">
        <v>2035</v>
      </c>
    </row>
    <row r="1027" spans="7:8">
      <c r="G1027" s="481" t="s">
        <v>2036</v>
      </c>
      <c r="H1027" s="643" t="s">
        <v>2037</v>
      </c>
    </row>
    <row r="1028" spans="7:8">
      <c r="G1028" s="481" t="s">
        <v>2038</v>
      </c>
      <c r="H1028" s="643" t="s">
        <v>2039</v>
      </c>
    </row>
    <row r="1029" spans="7:8">
      <c r="G1029" s="481" t="s">
        <v>2040</v>
      </c>
      <c r="H1029" s="643" t="s">
        <v>2041</v>
      </c>
    </row>
    <row r="1030" spans="7:8">
      <c r="G1030" s="481" t="s">
        <v>2042</v>
      </c>
      <c r="H1030" s="643" t="s">
        <v>2043</v>
      </c>
    </row>
    <row r="1031" spans="7:8">
      <c r="G1031" s="481" t="s">
        <v>2044</v>
      </c>
      <c r="H1031" s="643" t="s">
        <v>2045</v>
      </c>
    </row>
    <row r="1032" spans="7:8">
      <c r="G1032" s="481" t="s">
        <v>2046</v>
      </c>
      <c r="H1032" s="643" t="s">
        <v>2047</v>
      </c>
    </row>
    <row r="1033" spans="7:8">
      <c r="G1033" s="481" t="s">
        <v>2048</v>
      </c>
      <c r="H1033" s="643" t="s">
        <v>2049</v>
      </c>
    </row>
    <row r="1034" spans="7:8">
      <c r="G1034" s="481" t="s">
        <v>2050</v>
      </c>
      <c r="H1034" s="643" t="s">
        <v>2051</v>
      </c>
    </row>
    <row r="1035" spans="7:8">
      <c r="G1035" s="481" t="s">
        <v>2052</v>
      </c>
      <c r="H1035" s="643" t="s">
        <v>2053</v>
      </c>
    </row>
    <row r="1036" spans="7:8">
      <c r="G1036" s="481" t="s">
        <v>2054</v>
      </c>
      <c r="H1036" s="643" t="s">
        <v>2055</v>
      </c>
    </row>
    <row r="1037" spans="7:8">
      <c r="G1037" s="481" t="s">
        <v>2056</v>
      </c>
      <c r="H1037" s="643" t="s">
        <v>2057</v>
      </c>
    </row>
    <row r="1038" spans="7:8">
      <c r="G1038" s="481" t="s">
        <v>2058</v>
      </c>
      <c r="H1038" s="643" t="s">
        <v>2059</v>
      </c>
    </row>
    <row r="1039" spans="7:8">
      <c r="G1039" s="481" t="s">
        <v>2060</v>
      </c>
      <c r="H1039" s="643" t="s">
        <v>2061</v>
      </c>
    </row>
    <row r="1040" spans="7:8">
      <c r="G1040" s="481" t="s">
        <v>2062</v>
      </c>
      <c r="H1040" s="643" t="s">
        <v>2063</v>
      </c>
    </row>
    <row r="1041" spans="7:8">
      <c r="G1041" s="481" t="s">
        <v>2064</v>
      </c>
      <c r="H1041" s="643" t="s">
        <v>2065</v>
      </c>
    </row>
    <row r="1042" spans="7:8">
      <c r="G1042" s="481" t="s">
        <v>2066</v>
      </c>
      <c r="H1042" s="643" t="s">
        <v>2067</v>
      </c>
    </row>
    <row r="1043" spans="7:8">
      <c r="G1043" s="481" t="s">
        <v>2068</v>
      </c>
      <c r="H1043" s="643" t="s">
        <v>2069</v>
      </c>
    </row>
    <row r="1044" spans="7:8">
      <c r="G1044" s="481" t="s">
        <v>2070</v>
      </c>
      <c r="H1044" s="643" t="s">
        <v>2071</v>
      </c>
    </row>
    <row r="1045" spans="7:8">
      <c r="G1045" s="481" t="s">
        <v>2072</v>
      </c>
      <c r="H1045" s="643" t="s">
        <v>2073</v>
      </c>
    </row>
    <row r="1046" spans="7:8">
      <c r="G1046" s="481" t="s">
        <v>2074</v>
      </c>
      <c r="H1046" s="643" t="s">
        <v>2075</v>
      </c>
    </row>
    <row r="1047" spans="7:8">
      <c r="G1047" s="481" t="s">
        <v>2076</v>
      </c>
      <c r="H1047" s="643" t="s">
        <v>2077</v>
      </c>
    </row>
    <row r="1048" spans="7:8">
      <c r="G1048" s="481" t="s">
        <v>2078</v>
      </c>
      <c r="H1048" s="643" t="s">
        <v>2079</v>
      </c>
    </row>
    <row r="1049" spans="7:8">
      <c r="G1049" s="481" t="s">
        <v>2080</v>
      </c>
      <c r="H1049" s="643" t="s">
        <v>2081</v>
      </c>
    </row>
    <row r="1050" spans="7:8">
      <c r="G1050" s="481" t="s">
        <v>2082</v>
      </c>
      <c r="H1050" s="643" t="s">
        <v>2083</v>
      </c>
    </row>
    <row r="1051" spans="7:8">
      <c r="G1051" s="481" t="s">
        <v>2084</v>
      </c>
      <c r="H1051" s="643" t="s">
        <v>2085</v>
      </c>
    </row>
    <row r="1052" spans="7:8">
      <c r="G1052" s="481" t="s">
        <v>2086</v>
      </c>
      <c r="H1052" s="643" t="s">
        <v>2087</v>
      </c>
    </row>
    <row r="1053" spans="7:8">
      <c r="G1053" s="481" t="s">
        <v>2088</v>
      </c>
      <c r="H1053" s="643" t="s">
        <v>2089</v>
      </c>
    </row>
    <row r="1054" spans="7:8">
      <c r="G1054" s="481" t="s">
        <v>2090</v>
      </c>
      <c r="H1054" s="643" t="s">
        <v>114</v>
      </c>
    </row>
    <row r="1055" spans="7:8">
      <c r="G1055" s="481" t="s">
        <v>2091</v>
      </c>
      <c r="H1055" s="643" t="s">
        <v>1740</v>
      </c>
    </row>
    <row r="1056" spans="7:8">
      <c r="G1056" s="481" t="s">
        <v>2092</v>
      </c>
      <c r="H1056" s="643" t="s">
        <v>116</v>
      </c>
    </row>
    <row r="1057" spans="7:8">
      <c r="G1057" s="481" t="s">
        <v>2093</v>
      </c>
      <c r="H1057" s="643" t="s">
        <v>2094</v>
      </c>
    </row>
    <row r="1058" spans="7:8">
      <c r="G1058" s="481" t="s">
        <v>2095</v>
      </c>
      <c r="H1058" s="643" t="s">
        <v>2096</v>
      </c>
    </row>
    <row r="1059" spans="7:8">
      <c r="G1059" s="481" t="s">
        <v>2097</v>
      </c>
      <c r="H1059" s="643" t="s">
        <v>2098</v>
      </c>
    </row>
    <row r="1060" spans="7:8">
      <c r="G1060" s="481" t="s">
        <v>2099</v>
      </c>
      <c r="H1060" s="643" t="s">
        <v>2100</v>
      </c>
    </row>
    <row r="1061" spans="7:8">
      <c r="G1061" s="481" t="s">
        <v>2101</v>
      </c>
      <c r="H1061" s="643" t="s">
        <v>2102</v>
      </c>
    </row>
    <row r="1062" spans="7:8">
      <c r="G1062" s="481" t="s">
        <v>2103</v>
      </c>
      <c r="H1062" s="643" t="s">
        <v>2104</v>
      </c>
    </row>
    <row r="1063" spans="7:8">
      <c r="G1063" s="481" t="s">
        <v>2105</v>
      </c>
      <c r="H1063" s="643" t="s">
        <v>2106</v>
      </c>
    </row>
    <row r="1064" spans="7:8">
      <c r="G1064" s="481" t="s">
        <v>2107</v>
      </c>
      <c r="H1064" s="643" t="s">
        <v>114</v>
      </c>
    </row>
    <row r="1065" spans="7:8">
      <c r="G1065" s="481" t="s">
        <v>2108</v>
      </c>
      <c r="H1065" s="643" t="s">
        <v>116</v>
      </c>
    </row>
    <row r="1066" spans="7:8">
      <c r="G1066" s="481" t="s">
        <v>2109</v>
      </c>
      <c r="H1066" s="643" t="s">
        <v>2110</v>
      </c>
    </row>
    <row r="1067" spans="7:8">
      <c r="G1067" s="481" t="s">
        <v>2111</v>
      </c>
      <c r="H1067" s="643" t="s">
        <v>2112</v>
      </c>
    </row>
    <row r="1068" spans="7:8">
      <c r="G1068" s="481" t="s">
        <v>2113</v>
      </c>
      <c r="H1068" s="643" t="s">
        <v>2114</v>
      </c>
    </row>
    <row r="1069" spans="7:8">
      <c r="G1069" s="481" t="s">
        <v>2115</v>
      </c>
      <c r="H1069" s="643" t="s">
        <v>2116</v>
      </c>
    </row>
    <row r="1070" spans="7:8">
      <c r="G1070" s="481" t="s">
        <v>2117</v>
      </c>
      <c r="H1070" s="643" t="s">
        <v>2118</v>
      </c>
    </row>
    <row r="1071" spans="7:8">
      <c r="G1071" s="481" t="s">
        <v>2119</v>
      </c>
      <c r="H1071" s="643" t="s">
        <v>114</v>
      </c>
    </row>
    <row r="1072" spans="7:8">
      <c r="G1072" s="481" t="s">
        <v>2120</v>
      </c>
      <c r="H1072" s="643" t="s">
        <v>116</v>
      </c>
    </row>
    <row r="1073" spans="7:8">
      <c r="G1073" s="481" t="s">
        <v>2121</v>
      </c>
      <c r="H1073" s="643" t="s">
        <v>2122</v>
      </c>
    </row>
    <row r="1074" spans="7:8">
      <c r="G1074" s="481" t="s">
        <v>2123</v>
      </c>
      <c r="H1074" s="643" t="s">
        <v>2124</v>
      </c>
    </row>
    <row r="1075" spans="7:8">
      <c r="G1075" s="481" t="s">
        <v>2125</v>
      </c>
      <c r="H1075" s="643" t="s">
        <v>2126</v>
      </c>
    </row>
    <row r="1076" spans="7:8">
      <c r="G1076" s="481" t="s">
        <v>2127</v>
      </c>
      <c r="H1076" s="643" t="s">
        <v>2128</v>
      </c>
    </row>
    <row r="1077" spans="7:8">
      <c r="G1077" s="481" t="s">
        <v>2129</v>
      </c>
      <c r="H1077" s="643" t="s">
        <v>2130</v>
      </c>
    </row>
    <row r="1078" spans="7:8">
      <c r="G1078" s="481" t="s">
        <v>2131</v>
      </c>
      <c r="H1078" s="643" t="s">
        <v>2132</v>
      </c>
    </row>
    <row r="1079" spans="7:8">
      <c r="G1079" s="481" t="s">
        <v>2133</v>
      </c>
      <c r="H1079" s="643" t="s">
        <v>2134</v>
      </c>
    </row>
    <row r="1080" spans="7:8">
      <c r="G1080" s="481" t="s">
        <v>2135</v>
      </c>
      <c r="H1080" s="643" t="s">
        <v>2136</v>
      </c>
    </row>
    <row r="1081" spans="7:8">
      <c r="G1081" s="481" t="s">
        <v>2137</v>
      </c>
      <c r="H1081" s="643" t="s">
        <v>2138</v>
      </c>
    </row>
    <row r="1082" spans="7:8">
      <c r="G1082" s="481" t="s">
        <v>2139</v>
      </c>
      <c r="H1082" s="643" t="s">
        <v>114</v>
      </c>
    </row>
    <row r="1083" spans="7:8">
      <c r="G1083" s="481" t="s">
        <v>2140</v>
      </c>
      <c r="H1083" s="643" t="s">
        <v>116</v>
      </c>
    </row>
    <row r="1084" spans="7:8">
      <c r="G1084" s="481" t="s">
        <v>2141</v>
      </c>
      <c r="H1084" s="643" t="s">
        <v>2142</v>
      </c>
    </row>
    <row r="1085" spans="7:8">
      <c r="G1085" s="481" t="s">
        <v>2143</v>
      </c>
      <c r="H1085" s="643" t="s">
        <v>2144</v>
      </c>
    </row>
    <row r="1086" spans="7:8">
      <c r="G1086" s="481" t="s">
        <v>2145</v>
      </c>
      <c r="H1086" s="643" t="s">
        <v>2146</v>
      </c>
    </row>
    <row r="1087" spans="7:8">
      <c r="G1087" s="481" t="s">
        <v>2147</v>
      </c>
      <c r="H1087" s="643" t="s">
        <v>2148</v>
      </c>
    </row>
    <row r="1088" spans="7:8">
      <c r="G1088" s="481" t="s">
        <v>2149</v>
      </c>
      <c r="H1088" s="643" t="s">
        <v>2150</v>
      </c>
    </row>
    <row r="1089" spans="7:8">
      <c r="G1089" s="481" t="s">
        <v>2151</v>
      </c>
      <c r="H1089" s="643" t="s">
        <v>2152</v>
      </c>
    </row>
    <row r="1090" spans="7:8">
      <c r="G1090" s="481" t="s">
        <v>2153</v>
      </c>
      <c r="H1090" s="643" t="s">
        <v>2154</v>
      </c>
    </row>
    <row r="1091" spans="7:8">
      <c r="G1091" s="481" t="s">
        <v>2155</v>
      </c>
      <c r="H1091" s="643" t="s">
        <v>2156</v>
      </c>
    </row>
    <row r="1092" spans="7:8">
      <c r="G1092" s="481" t="s">
        <v>2157</v>
      </c>
      <c r="H1092" s="643" t="s">
        <v>2158</v>
      </c>
    </row>
    <row r="1093" spans="7:8">
      <c r="G1093" s="481" t="s">
        <v>2159</v>
      </c>
      <c r="H1093" s="643" t="s">
        <v>114</v>
      </c>
    </row>
    <row r="1094" spans="7:8">
      <c r="G1094" s="481" t="s">
        <v>2160</v>
      </c>
      <c r="H1094" s="643" t="s">
        <v>116</v>
      </c>
    </row>
    <row r="1095" spans="7:8">
      <c r="G1095" s="481" t="s">
        <v>2161</v>
      </c>
      <c r="H1095" s="643" t="s">
        <v>2162</v>
      </c>
    </row>
    <row r="1096" spans="7:8">
      <c r="G1096" s="481" t="s">
        <v>2163</v>
      </c>
      <c r="H1096" s="643" t="s">
        <v>2164</v>
      </c>
    </row>
    <row r="1097" spans="7:8">
      <c r="G1097" s="481" t="s">
        <v>2165</v>
      </c>
      <c r="H1097" s="643" t="s">
        <v>2166</v>
      </c>
    </row>
    <row r="1098" spans="7:8">
      <c r="G1098" s="481" t="s">
        <v>2167</v>
      </c>
      <c r="H1098" s="643" t="s">
        <v>2168</v>
      </c>
    </row>
    <row r="1099" spans="7:8">
      <c r="G1099" s="481" t="s">
        <v>2169</v>
      </c>
      <c r="H1099" s="643" t="s">
        <v>2170</v>
      </c>
    </row>
    <row r="1100" spans="7:8">
      <c r="G1100" s="481" t="s">
        <v>2171</v>
      </c>
      <c r="H1100" s="643" t="s">
        <v>2172</v>
      </c>
    </row>
    <row r="1101" spans="7:8">
      <c r="G1101" s="481" t="s">
        <v>2173</v>
      </c>
      <c r="H1101" s="643" t="s">
        <v>2174</v>
      </c>
    </row>
    <row r="1102" spans="7:8">
      <c r="G1102" s="481" t="s">
        <v>2175</v>
      </c>
      <c r="H1102" s="643" t="s">
        <v>114</v>
      </c>
    </row>
    <row r="1103" spans="7:8">
      <c r="G1103" s="481" t="s">
        <v>2176</v>
      </c>
      <c r="H1103" s="643" t="s">
        <v>116</v>
      </c>
    </row>
    <row r="1104" spans="7:8">
      <c r="G1104" s="481" t="s">
        <v>2177</v>
      </c>
      <c r="H1104" s="643" t="s">
        <v>2178</v>
      </c>
    </row>
    <row r="1105" spans="7:8">
      <c r="G1105" s="481" t="s">
        <v>2179</v>
      </c>
      <c r="H1105" s="643" t="s">
        <v>2180</v>
      </c>
    </row>
    <row r="1106" spans="7:8">
      <c r="G1106" s="481" t="s">
        <v>2181</v>
      </c>
      <c r="H1106" s="643" t="s">
        <v>2182</v>
      </c>
    </row>
    <row r="1107" spans="7:8">
      <c r="G1107" s="481" t="s">
        <v>2183</v>
      </c>
      <c r="H1107" s="643" t="s">
        <v>2184</v>
      </c>
    </row>
    <row r="1108" spans="7:8">
      <c r="G1108" s="481" t="s">
        <v>2185</v>
      </c>
      <c r="H1108" s="643" t="s">
        <v>2186</v>
      </c>
    </row>
    <row r="1109" spans="7:8">
      <c r="G1109" s="481" t="s">
        <v>2187</v>
      </c>
      <c r="H1109" s="643" t="s">
        <v>2188</v>
      </c>
    </row>
    <row r="1110" spans="7:8">
      <c r="G1110" s="481" t="s">
        <v>2189</v>
      </c>
      <c r="H1110" s="643" t="s">
        <v>2190</v>
      </c>
    </row>
    <row r="1111" spans="7:8">
      <c r="G1111" s="481" t="s">
        <v>2191</v>
      </c>
      <c r="H1111" s="643" t="s">
        <v>2192</v>
      </c>
    </row>
    <row r="1112" spans="7:8">
      <c r="G1112" s="481" t="s">
        <v>2193</v>
      </c>
      <c r="H1112" s="643" t="s">
        <v>2194</v>
      </c>
    </row>
    <row r="1113" spans="7:8">
      <c r="G1113" s="481" t="s">
        <v>2195</v>
      </c>
      <c r="H1113" s="643" t="s">
        <v>2196</v>
      </c>
    </row>
    <row r="1114" spans="7:8">
      <c r="G1114" s="481" t="s">
        <v>2197</v>
      </c>
      <c r="H1114" s="643" t="s">
        <v>2198</v>
      </c>
    </row>
    <row r="1115" spans="7:8">
      <c r="G1115" s="481" t="s">
        <v>2199</v>
      </c>
      <c r="H1115" s="643" t="s">
        <v>2200</v>
      </c>
    </row>
    <row r="1116" spans="7:8">
      <c r="G1116" s="481" t="s">
        <v>2201</v>
      </c>
      <c r="H1116" s="643" t="s">
        <v>2202</v>
      </c>
    </row>
    <row r="1117" spans="7:8">
      <c r="G1117" s="481" t="s">
        <v>2203</v>
      </c>
      <c r="H1117" s="643" t="s">
        <v>2204</v>
      </c>
    </row>
    <row r="1118" spans="7:8">
      <c r="G1118" s="481" t="s">
        <v>2205</v>
      </c>
      <c r="H1118" s="643" t="s">
        <v>114</v>
      </c>
    </row>
    <row r="1119" spans="7:8">
      <c r="G1119" s="481" t="s">
        <v>2206</v>
      </c>
      <c r="H1119" s="643" t="s">
        <v>116</v>
      </c>
    </row>
    <row r="1120" spans="7:8">
      <c r="G1120" s="481" t="s">
        <v>2207</v>
      </c>
      <c r="H1120" s="643" t="s">
        <v>2208</v>
      </c>
    </row>
    <row r="1121" spans="7:8">
      <c r="G1121" s="481" t="s">
        <v>2209</v>
      </c>
      <c r="H1121" s="643" t="s">
        <v>2210</v>
      </c>
    </row>
    <row r="1122" spans="7:8">
      <c r="G1122" s="481" t="s">
        <v>2211</v>
      </c>
      <c r="H1122" s="643" t="s">
        <v>2212</v>
      </c>
    </row>
    <row r="1123" spans="7:8">
      <c r="G1123" s="481" t="s">
        <v>2213</v>
      </c>
      <c r="H1123" s="643" t="s">
        <v>2214</v>
      </c>
    </row>
    <row r="1124" spans="7:8">
      <c r="G1124" s="481" t="s">
        <v>2215</v>
      </c>
      <c r="H1124" s="643" t="s">
        <v>2216</v>
      </c>
    </row>
    <row r="1125" spans="7:8">
      <c r="G1125" s="481" t="s">
        <v>2217</v>
      </c>
      <c r="H1125" s="643" t="s">
        <v>2218</v>
      </c>
    </row>
    <row r="1126" spans="7:8">
      <c r="G1126" s="481" t="s">
        <v>2219</v>
      </c>
      <c r="H1126" s="643" t="s">
        <v>2220</v>
      </c>
    </row>
    <row r="1127" spans="7:8">
      <c r="G1127" s="481" t="s">
        <v>2221</v>
      </c>
      <c r="H1127" s="643" t="s">
        <v>2222</v>
      </c>
    </row>
    <row r="1128" spans="7:8">
      <c r="G1128" s="481" t="s">
        <v>2223</v>
      </c>
      <c r="H1128" s="643" t="s">
        <v>2224</v>
      </c>
    </row>
    <row r="1129" spans="7:8">
      <c r="G1129" s="481" t="s">
        <v>2225</v>
      </c>
      <c r="H1129" s="643" t="s">
        <v>2226</v>
      </c>
    </row>
    <row r="1130" spans="7:8">
      <c r="G1130" s="481" t="s">
        <v>2227</v>
      </c>
      <c r="H1130" s="643" t="s">
        <v>2228</v>
      </c>
    </row>
    <row r="1131" spans="7:8">
      <c r="G1131" s="481" t="s">
        <v>2229</v>
      </c>
      <c r="H1131" s="643" t="s">
        <v>2230</v>
      </c>
    </row>
    <row r="1132" spans="7:8">
      <c r="G1132" s="481" t="s">
        <v>2231</v>
      </c>
      <c r="H1132" s="643" t="s">
        <v>2232</v>
      </c>
    </row>
    <row r="1133" spans="7:8">
      <c r="G1133" s="481" t="s">
        <v>2233</v>
      </c>
      <c r="H1133" s="643" t="s">
        <v>2234</v>
      </c>
    </row>
    <row r="1134" spans="7:8">
      <c r="G1134" s="481" t="s">
        <v>2235</v>
      </c>
      <c r="H1134" s="643" t="s">
        <v>2236</v>
      </c>
    </row>
    <row r="1135" spans="7:8">
      <c r="G1135" s="481" t="s">
        <v>2237</v>
      </c>
      <c r="H1135" s="643" t="s">
        <v>2238</v>
      </c>
    </row>
    <row r="1136" spans="7:8">
      <c r="G1136" s="481" t="s">
        <v>2239</v>
      </c>
      <c r="H1136" s="643" t="s">
        <v>114</v>
      </c>
    </row>
    <row r="1137" spans="7:8">
      <c r="G1137" s="481" t="s">
        <v>2240</v>
      </c>
      <c r="H1137" s="643" t="s">
        <v>116</v>
      </c>
    </row>
    <row r="1138" spans="7:8">
      <c r="G1138" s="481" t="s">
        <v>2241</v>
      </c>
      <c r="H1138" s="643" t="s">
        <v>2242</v>
      </c>
    </row>
    <row r="1139" spans="7:8">
      <c r="G1139" s="481" t="s">
        <v>2243</v>
      </c>
      <c r="H1139" s="643" t="s">
        <v>2244</v>
      </c>
    </row>
    <row r="1140" spans="7:8">
      <c r="G1140" s="481" t="s">
        <v>2245</v>
      </c>
      <c r="H1140" s="643" t="s">
        <v>2246</v>
      </c>
    </row>
    <row r="1141" spans="7:8">
      <c r="G1141" s="481" t="s">
        <v>2247</v>
      </c>
      <c r="H1141" s="643" t="s">
        <v>114</v>
      </c>
    </row>
    <row r="1142" spans="7:8">
      <c r="G1142" s="481" t="s">
        <v>2248</v>
      </c>
      <c r="H1142" s="643" t="s">
        <v>116</v>
      </c>
    </row>
    <row r="1143" spans="7:8">
      <c r="G1143" s="481" t="s">
        <v>2249</v>
      </c>
      <c r="H1143" s="643" t="s">
        <v>2250</v>
      </c>
    </row>
    <row r="1144" spans="7:8">
      <c r="G1144" s="481" t="s">
        <v>2251</v>
      </c>
      <c r="H1144" s="643" t="s">
        <v>2252</v>
      </c>
    </row>
    <row r="1145" spans="7:8">
      <c r="G1145" s="481" t="s">
        <v>2253</v>
      </c>
      <c r="H1145" s="643" t="s">
        <v>2254</v>
      </c>
    </row>
    <row r="1146" spans="7:8">
      <c r="G1146" s="481" t="s">
        <v>2255</v>
      </c>
      <c r="H1146" s="643" t="s">
        <v>2256</v>
      </c>
    </row>
    <row r="1147" spans="7:8">
      <c r="G1147" s="481" t="s">
        <v>2257</v>
      </c>
      <c r="H1147" s="643" t="s">
        <v>2258</v>
      </c>
    </row>
    <row r="1148" spans="7:8">
      <c r="G1148" s="481" t="s">
        <v>2259</v>
      </c>
      <c r="H1148" s="643" t="s">
        <v>2260</v>
      </c>
    </row>
    <row r="1149" spans="7:8">
      <c r="G1149" s="481" t="s">
        <v>2261</v>
      </c>
      <c r="H1149" s="643" t="s">
        <v>2262</v>
      </c>
    </row>
    <row r="1150" spans="7:8">
      <c r="G1150" s="481" t="s">
        <v>2263</v>
      </c>
      <c r="H1150" s="643" t="s">
        <v>114</v>
      </c>
    </row>
    <row r="1151" spans="7:8">
      <c r="G1151" s="481" t="s">
        <v>2264</v>
      </c>
      <c r="H1151" s="643" t="s">
        <v>116</v>
      </c>
    </row>
    <row r="1152" spans="7:8">
      <c r="G1152" s="481" t="s">
        <v>2265</v>
      </c>
      <c r="H1152" s="643" t="s">
        <v>2266</v>
      </c>
    </row>
    <row r="1153" spans="7:8">
      <c r="G1153" s="481" t="s">
        <v>2267</v>
      </c>
      <c r="H1153" s="643" t="s">
        <v>2268</v>
      </c>
    </row>
    <row r="1154" spans="7:8">
      <c r="G1154" s="481" t="s">
        <v>2269</v>
      </c>
      <c r="H1154" s="643" t="s">
        <v>2270</v>
      </c>
    </row>
    <row r="1155" spans="7:8">
      <c r="G1155" s="481" t="s">
        <v>2271</v>
      </c>
      <c r="H1155" s="643" t="s">
        <v>2272</v>
      </c>
    </row>
    <row r="1156" spans="7:8">
      <c r="G1156" s="481" t="s">
        <v>2273</v>
      </c>
      <c r="H1156" s="643" t="s">
        <v>2274</v>
      </c>
    </row>
    <row r="1157" spans="7:8">
      <c r="G1157" s="481" t="s">
        <v>2275</v>
      </c>
      <c r="H1157" s="643" t="s">
        <v>2276</v>
      </c>
    </row>
    <row r="1158" spans="7:8">
      <c r="G1158" s="481" t="s">
        <v>2277</v>
      </c>
      <c r="H1158" s="643" t="s">
        <v>2278</v>
      </c>
    </row>
    <row r="1159" spans="7:8">
      <c r="G1159" s="481" t="s">
        <v>2279</v>
      </c>
      <c r="H1159" s="643" t="s">
        <v>2280</v>
      </c>
    </row>
    <row r="1160" spans="7:8">
      <c r="G1160" s="481" t="s">
        <v>2281</v>
      </c>
      <c r="H1160" s="643" t="s">
        <v>2282</v>
      </c>
    </row>
    <row r="1161" spans="7:8">
      <c r="G1161" s="481" t="s">
        <v>2283</v>
      </c>
      <c r="H1161" s="643" t="s">
        <v>2284</v>
      </c>
    </row>
    <row r="1162" spans="7:8">
      <c r="G1162" s="481" t="s">
        <v>2285</v>
      </c>
      <c r="H1162" s="643" t="s">
        <v>2286</v>
      </c>
    </row>
    <row r="1163" spans="7:8">
      <c r="G1163" s="481" t="s">
        <v>2287</v>
      </c>
      <c r="H1163" s="643" t="s">
        <v>2288</v>
      </c>
    </row>
    <row r="1164" spans="7:8">
      <c r="G1164" s="481" t="s">
        <v>2289</v>
      </c>
      <c r="H1164" s="643" t="s">
        <v>1735</v>
      </c>
    </row>
    <row r="1165" spans="7:8">
      <c r="G1165" s="481" t="s">
        <v>2290</v>
      </c>
      <c r="H1165" s="643" t="s">
        <v>2291</v>
      </c>
    </row>
    <row r="1166" spans="7:8">
      <c r="G1166" s="481" t="s">
        <v>2292</v>
      </c>
      <c r="H1166" s="643" t="s">
        <v>2293</v>
      </c>
    </row>
    <row r="1167" spans="7:8">
      <c r="G1167" s="481" t="s">
        <v>2294</v>
      </c>
      <c r="H1167" s="643" t="s">
        <v>2295</v>
      </c>
    </row>
    <row r="1168" spans="7:8">
      <c r="G1168" s="481" t="s">
        <v>2296</v>
      </c>
      <c r="H1168" s="643" t="s">
        <v>2297</v>
      </c>
    </row>
    <row r="1169" spans="7:8">
      <c r="G1169" s="481" t="s">
        <v>2298</v>
      </c>
      <c r="H1169" s="643" t="s">
        <v>2299</v>
      </c>
    </row>
    <row r="1170" spans="7:8">
      <c r="G1170" s="481" t="s">
        <v>2300</v>
      </c>
      <c r="H1170" s="643" t="s">
        <v>1735</v>
      </c>
    </row>
    <row r="1171" spans="7:8">
      <c r="G1171" s="481" t="s">
        <v>2301</v>
      </c>
      <c r="H1171" s="643" t="s">
        <v>2302</v>
      </c>
    </row>
    <row r="1172" spans="7:8">
      <c r="G1172" s="481" t="s">
        <v>2303</v>
      </c>
      <c r="H1172" s="643" t="s">
        <v>2304</v>
      </c>
    </row>
    <row r="1173" spans="7:8">
      <c r="G1173" s="481" t="s">
        <v>2305</v>
      </c>
      <c r="H1173" s="643" t="s">
        <v>2306</v>
      </c>
    </row>
    <row r="1174" spans="7:8">
      <c r="G1174" s="481" t="s">
        <v>2307</v>
      </c>
      <c r="H1174" s="643" t="s">
        <v>2308</v>
      </c>
    </row>
    <row r="1175" spans="7:8">
      <c r="G1175" s="481" t="s">
        <v>2309</v>
      </c>
      <c r="H1175" s="643" t="s">
        <v>2310</v>
      </c>
    </row>
    <row r="1176" spans="7:8">
      <c r="G1176" s="481" t="s">
        <v>2311</v>
      </c>
      <c r="H1176" s="643" t="s">
        <v>2312</v>
      </c>
    </row>
    <row r="1177" spans="7:8">
      <c r="G1177" s="481" t="s">
        <v>2313</v>
      </c>
      <c r="H1177" s="643" t="s">
        <v>2314</v>
      </c>
    </row>
    <row r="1178" spans="7:8">
      <c r="G1178" s="481" t="s">
        <v>2315</v>
      </c>
      <c r="H1178" s="643" t="s">
        <v>2316</v>
      </c>
    </row>
    <row r="1179" spans="7:8">
      <c r="G1179" s="481" t="s">
        <v>2317</v>
      </c>
      <c r="H1179" s="643" t="s">
        <v>2318</v>
      </c>
    </row>
    <row r="1180" spans="7:8">
      <c r="G1180" s="481" t="s">
        <v>2319</v>
      </c>
      <c r="H1180" s="643" t="s">
        <v>2320</v>
      </c>
    </row>
    <row r="1181" spans="7:8">
      <c r="G1181" s="481" t="s">
        <v>2321</v>
      </c>
      <c r="H1181" s="643" t="s">
        <v>2322</v>
      </c>
    </row>
    <row r="1182" spans="7:8">
      <c r="G1182" s="481" t="s">
        <v>2323</v>
      </c>
      <c r="H1182" s="643" t="s">
        <v>2324</v>
      </c>
    </row>
    <row r="1183" spans="7:8">
      <c r="G1183" s="481" t="s">
        <v>2325</v>
      </c>
      <c r="H1183" s="643" t="s">
        <v>2326</v>
      </c>
    </row>
    <row r="1184" spans="7:8">
      <c r="G1184" s="481" t="s">
        <v>2327</v>
      </c>
      <c r="H1184" s="643" t="s">
        <v>2328</v>
      </c>
    </row>
    <row r="1185" spans="7:8">
      <c r="G1185" s="481" t="s">
        <v>2329</v>
      </c>
      <c r="H1185" s="643" t="s">
        <v>2330</v>
      </c>
    </row>
    <row r="1186" spans="7:8">
      <c r="G1186" s="481" t="s">
        <v>2331</v>
      </c>
      <c r="H1186" s="643" t="s">
        <v>2332</v>
      </c>
    </row>
    <row r="1187" spans="7:8">
      <c r="G1187" s="481" t="s">
        <v>2333</v>
      </c>
      <c r="H1187" s="643" t="s">
        <v>2334</v>
      </c>
    </row>
    <row r="1188" spans="7:8">
      <c r="G1188" s="481" t="s">
        <v>2335</v>
      </c>
      <c r="H1188" s="643" t="s">
        <v>2336</v>
      </c>
    </row>
    <row r="1189" spans="7:8">
      <c r="G1189" s="481" t="s">
        <v>2337</v>
      </c>
      <c r="H1189" s="643" t="s">
        <v>114</v>
      </c>
    </row>
    <row r="1190" spans="7:8">
      <c r="G1190" s="481" t="s">
        <v>2338</v>
      </c>
      <c r="H1190" s="643" t="s">
        <v>116</v>
      </c>
    </row>
    <row r="1191" spans="7:8">
      <c r="G1191" s="481" t="s">
        <v>2339</v>
      </c>
      <c r="H1191" s="643" t="s">
        <v>2340</v>
      </c>
    </row>
    <row r="1192" spans="7:8">
      <c r="G1192" s="481" t="s">
        <v>2341</v>
      </c>
      <c r="H1192" s="643" t="s">
        <v>1735</v>
      </c>
    </row>
    <row r="1193" spans="7:8">
      <c r="G1193" s="481" t="s">
        <v>2342</v>
      </c>
      <c r="H1193" s="643" t="s">
        <v>2343</v>
      </c>
    </row>
    <row r="1194" spans="7:8">
      <c r="G1194" s="481" t="s">
        <v>2344</v>
      </c>
      <c r="H1194" s="643" t="s">
        <v>2345</v>
      </c>
    </row>
    <row r="1195" spans="7:8">
      <c r="G1195" s="481" t="s">
        <v>2346</v>
      </c>
      <c r="H1195" s="643" t="s">
        <v>2347</v>
      </c>
    </row>
    <row r="1196" spans="7:8">
      <c r="G1196" s="481" t="s">
        <v>2348</v>
      </c>
      <c r="H1196" s="643" t="s">
        <v>2349</v>
      </c>
    </row>
    <row r="1197" spans="7:8">
      <c r="G1197" s="481" t="s">
        <v>2350</v>
      </c>
      <c r="H1197" s="643" t="s">
        <v>2351</v>
      </c>
    </row>
    <row r="1198" spans="7:8">
      <c r="G1198" s="481" t="s">
        <v>2352</v>
      </c>
      <c r="H1198" s="643" t="s">
        <v>2353</v>
      </c>
    </row>
    <row r="1199" spans="7:8">
      <c r="G1199" s="481" t="s">
        <v>2354</v>
      </c>
      <c r="H1199" s="643" t="s">
        <v>2355</v>
      </c>
    </row>
    <row r="1200" spans="7:8">
      <c r="G1200" s="481" t="s">
        <v>2356</v>
      </c>
      <c r="H1200" s="643" t="s">
        <v>2357</v>
      </c>
    </row>
    <row r="1201" spans="7:8">
      <c r="G1201" s="481" t="s">
        <v>2358</v>
      </c>
      <c r="H1201" s="643" t="s">
        <v>2359</v>
      </c>
    </row>
    <row r="1202" spans="7:8">
      <c r="G1202" s="481" t="s">
        <v>2360</v>
      </c>
      <c r="H1202" s="643" t="s">
        <v>2361</v>
      </c>
    </row>
    <row r="1203" spans="7:8">
      <c r="G1203" s="481" t="s">
        <v>2362</v>
      </c>
      <c r="H1203" s="643" t="s">
        <v>2363</v>
      </c>
    </row>
    <row r="1204" spans="7:8">
      <c r="G1204" s="481" t="s">
        <v>2364</v>
      </c>
      <c r="H1204" s="643" t="s">
        <v>2365</v>
      </c>
    </row>
    <row r="1205" spans="7:8">
      <c r="G1205" s="481" t="s">
        <v>2366</v>
      </c>
      <c r="H1205" s="643" t="s">
        <v>2367</v>
      </c>
    </row>
    <row r="1206" spans="7:8">
      <c r="G1206" s="481" t="s">
        <v>2368</v>
      </c>
      <c r="H1206" s="643" t="s">
        <v>114</v>
      </c>
    </row>
    <row r="1207" spans="7:8">
      <c r="G1207" s="481" t="s">
        <v>2369</v>
      </c>
      <c r="H1207" s="643" t="s">
        <v>116</v>
      </c>
    </row>
    <row r="1208" spans="7:8">
      <c r="G1208" s="481" t="s">
        <v>2370</v>
      </c>
      <c r="H1208" s="643" t="s">
        <v>2371</v>
      </c>
    </row>
    <row r="1209" spans="7:8">
      <c r="G1209" s="481" t="s">
        <v>2372</v>
      </c>
      <c r="H1209" s="643" t="s">
        <v>2373</v>
      </c>
    </row>
    <row r="1210" spans="7:8">
      <c r="G1210" s="481" t="s">
        <v>2374</v>
      </c>
      <c r="H1210" s="643" t="s">
        <v>2375</v>
      </c>
    </row>
    <row r="1211" spans="7:8">
      <c r="G1211" s="481" t="s">
        <v>2376</v>
      </c>
      <c r="H1211" s="643" t="s">
        <v>2377</v>
      </c>
    </row>
    <row r="1212" spans="7:8">
      <c r="G1212" s="481" t="s">
        <v>2378</v>
      </c>
      <c r="H1212" s="643" t="s">
        <v>2379</v>
      </c>
    </row>
    <row r="1213" spans="7:8">
      <c r="G1213" s="481" t="s">
        <v>2380</v>
      </c>
      <c r="H1213" s="643" t="s">
        <v>2381</v>
      </c>
    </row>
    <row r="1214" spans="7:8">
      <c r="G1214" s="481" t="s">
        <v>2382</v>
      </c>
      <c r="H1214" s="643" t="s">
        <v>114</v>
      </c>
    </row>
    <row r="1215" spans="7:8">
      <c r="G1215" s="481" t="s">
        <v>2383</v>
      </c>
      <c r="H1215" s="643" t="s">
        <v>116</v>
      </c>
    </row>
    <row r="1216" spans="7:8">
      <c r="G1216" s="481" t="s">
        <v>2384</v>
      </c>
      <c r="H1216" s="643" t="s">
        <v>2385</v>
      </c>
    </row>
    <row r="1217" spans="7:8">
      <c r="G1217" s="481" t="s">
        <v>2386</v>
      </c>
      <c r="H1217" s="643" t="s">
        <v>2387</v>
      </c>
    </row>
    <row r="1218" spans="7:8">
      <c r="G1218" s="481" t="s">
        <v>2388</v>
      </c>
      <c r="H1218" s="643" t="s">
        <v>2389</v>
      </c>
    </row>
    <row r="1219" spans="7:8">
      <c r="G1219" s="481" t="s">
        <v>2390</v>
      </c>
      <c r="H1219" s="643" t="s">
        <v>2391</v>
      </c>
    </row>
    <row r="1220" spans="7:8">
      <c r="G1220" s="481" t="s">
        <v>2392</v>
      </c>
      <c r="H1220" s="643" t="s">
        <v>2393</v>
      </c>
    </row>
    <row r="1221" spans="7:8">
      <c r="G1221" s="481" t="s">
        <v>2394</v>
      </c>
      <c r="H1221" s="643" t="s">
        <v>2395</v>
      </c>
    </row>
    <row r="1222" spans="7:8">
      <c r="G1222" s="481" t="s">
        <v>2396</v>
      </c>
      <c r="H1222" s="643" t="s">
        <v>2397</v>
      </c>
    </row>
    <row r="1223" spans="7:8">
      <c r="G1223" s="481" t="s">
        <v>2398</v>
      </c>
      <c r="H1223" s="643" t="s">
        <v>2399</v>
      </c>
    </row>
    <row r="1224" spans="7:8">
      <c r="G1224" s="481" t="s">
        <v>2400</v>
      </c>
      <c r="H1224" s="643" t="s">
        <v>2401</v>
      </c>
    </row>
    <row r="1225" spans="7:8">
      <c r="G1225" s="481" t="s">
        <v>2402</v>
      </c>
      <c r="H1225" s="643" t="s">
        <v>2403</v>
      </c>
    </row>
    <row r="1226" spans="7:8">
      <c r="G1226" s="481" t="s">
        <v>2404</v>
      </c>
      <c r="H1226" s="643" t="s">
        <v>2405</v>
      </c>
    </row>
    <row r="1227" spans="7:8">
      <c r="G1227" s="481" t="s">
        <v>2406</v>
      </c>
      <c r="H1227" s="643" t="s">
        <v>2407</v>
      </c>
    </row>
    <row r="1228" spans="7:8">
      <c r="G1228" s="481" t="s">
        <v>2408</v>
      </c>
      <c r="H1228" s="643" t="s">
        <v>2409</v>
      </c>
    </row>
    <row r="1229" spans="7:8">
      <c r="G1229" s="481" t="s">
        <v>2410</v>
      </c>
      <c r="H1229" s="643" t="s">
        <v>2411</v>
      </c>
    </row>
    <row r="1230" spans="7:8">
      <c r="G1230" s="481" t="s">
        <v>2412</v>
      </c>
      <c r="H1230" s="643" t="s">
        <v>2842</v>
      </c>
    </row>
    <row r="1231" spans="7:8">
      <c r="G1231" s="481" t="s">
        <v>2413</v>
      </c>
      <c r="H1231" s="643" t="s">
        <v>114</v>
      </c>
    </row>
    <row r="1232" spans="7:8">
      <c r="G1232" s="481" t="s">
        <v>2414</v>
      </c>
      <c r="H1232" s="643" t="s">
        <v>116</v>
      </c>
    </row>
    <row r="1233" spans="7:8">
      <c r="G1233" s="481" t="s">
        <v>2415</v>
      </c>
      <c r="H1233" s="643" t="s">
        <v>2416</v>
      </c>
    </row>
    <row r="1234" spans="7:8">
      <c r="G1234" s="481" t="s">
        <v>2417</v>
      </c>
      <c r="H1234" s="643" t="s">
        <v>2418</v>
      </c>
    </row>
    <row r="1235" spans="7:8">
      <c r="G1235" s="481" t="s">
        <v>2419</v>
      </c>
      <c r="H1235" s="643" t="s">
        <v>114</v>
      </c>
    </row>
    <row r="1236" spans="7:8">
      <c r="G1236" s="481" t="s">
        <v>2420</v>
      </c>
      <c r="H1236" s="643" t="s">
        <v>116</v>
      </c>
    </row>
    <row r="1237" spans="7:8">
      <c r="G1237" s="481" t="s">
        <v>2421</v>
      </c>
      <c r="H1237" s="643" t="s">
        <v>2422</v>
      </c>
    </row>
    <row r="1238" spans="7:8">
      <c r="G1238" s="481" t="s">
        <v>2423</v>
      </c>
      <c r="H1238" s="643" t="s">
        <v>2424</v>
      </c>
    </row>
    <row r="1239" spans="7:8">
      <c r="G1239" s="481" t="s">
        <v>2425</v>
      </c>
      <c r="H1239" s="643" t="s">
        <v>2426</v>
      </c>
    </row>
    <row r="1240" spans="7:8">
      <c r="G1240" s="481" t="s">
        <v>2427</v>
      </c>
      <c r="H1240" s="643" t="s">
        <v>2428</v>
      </c>
    </row>
    <row r="1241" spans="7:8">
      <c r="G1241" s="481" t="s">
        <v>2429</v>
      </c>
      <c r="H1241" s="643" t="s">
        <v>2430</v>
      </c>
    </row>
    <row r="1242" spans="7:8">
      <c r="G1242" s="481" t="s">
        <v>2431</v>
      </c>
      <c r="H1242" s="643" t="s">
        <v>2432</v>
      </c>
    </row>
    <row r="1243" spans="7:8">
      <c r="G1243" s="481" t="s">
        <v>2433</v>
      </c>
      <c r="H1243" s="643" t="s">
        <v>2434</v>
      </c>
    </row>
    <row r="1244" spans="7:8">
      <c r="G1244" s="481" t="s">
        <v>2435</v>
      </c>
      <c r="H1244" s="643" t="s">
        <v>2436</v>
      </c>
    </row>
    <row r="1245" spans="7:8">
      <c r="G1245" s="481" t="s">
        <v>2437</v>
      </c>
      <c r="H1245" s="643" t="s">
        <v>2438</v>
      </c>
    </row>
    <row r="1246" spans="7:8">
      <c r="G1246" s="481" t="s">
        <v>2439</v>
      </c>
      <c r="H1246" s="643" t="s">
        <v>2440</v>
      </c>
    </row>
    <row r="1247" spans="7:8">
      <c r="G1247" s="481" t="s">
        <v>2441</v>
      </c>
      <c r="H1247" s="643" t="s">
        <v>2843</v>
      </c>
    </row>
    <row r="1248" spans="7:8">
      <c r="G1248" s="481" t="s">
        <v>2442</v>
      </c>
      <c r="H1248" s="643" t="s">
        <v>2443</v>
      </c>
    </row>
    <row r="1249" spans="7:8">
      <c r="G1249" s="481" t="s">
        <v>2444</v>
      </c>
      <c r="H1249" s="643" t="s">
        <v>114</v>
      </c>
    </row>
    <row r="1250" spans="7:8">
      <c r="G1250" s="481" t="s">
        <v>2445</v>
      </c>
      <c r="H1250" s="643" t="s">
        <v>116</v>
      </c>
    </row>
    <row r="1251" spans="7:8">
      <c r="G1251" s="481" t="s">
        <v>2446</v>
      </c>
      <c r="H1251" s="643" t="s">
        <v>2447</v>
      </c>
    </row>
    <row r="1252" spans="7:8">
      <c r="G1252" s="481" t="s">
        <v>2448</v>
      </c>
      <c r="H1252" s="643" t="s">
        <v>2449</v>
      </c>
    </row>
    <row r="1253" spans="7:8">
      <c r="G1253" s="481" t="s">
        <v>2450</v>
      </c>
      <c r="H1253" s="643" t="s">
        <v>2451</v>
      </c>
    </row>
    <row r="1254" spans="7:8">
      <c r="G1254" s="481" t="s">
        <v>2452</v>
      </c>
      <c r="H1254" s="643" t="s">
        <v>2453</v>
      </c>
    </row>
    <row r="1255" spans="7:8">
      <c r="G1255" s="481" t="s">
        <v>2454</v>
      </c>
      <c r="H1255" s="643" t="s">
        <v>2455</v>
      </c>
    </row>
    <row r="1256" spans="7:8">
      <c r="G1256" s="481" t="s">
        <v>2456</v>
      </c>
      <c r="H1256" s="643" t="s">
        <v>2457</v>
      </c>
    </row>
    <row r="1257" spans="7:8">
      <c r="G1257" s="481" t="s">
        <v>2458</v>
      </c>
      <c r="H1257" s="643" t="s">
        <v>2459</v>
      </c>
    </row>
    <row r="1258" spans="7:8">
      <c r="G1258" s="481" t="s">
        <v>2460</v>
      </c>
      <c r="H1258" s="643" t="s">
        <v>2461</v>
      </c>
    </row>
    <row r="1259" spans="7:8">
      <c r="G1259" s="481" t="s">
        <v>2462</v>
      </c>
      <c r="H1259" s="643" t="s">
        <v>2463</v>
      </c>
    </row>
    <row r="1260" spans="7:8">
      <c r="G1260" s="481" t="s">
        <v>2464</v>
      </c>
      <c r="H1260" s="643" t="s">
        <v>2465</v>
      </c>
    </row>
    <row r="1261" spans="7:8">
      <c r="G1261" s="481" t="s">
        <v>2466</v>
      </c>
      <c r="H1261" s="643" t="s">
        <v>2467</v>
      </c>
    </row>
    <row r="1262" spans="7:8">
      <c r="G1262" s="481" t="s">
        <v>2468</v>
      </c>
      <c r="H1262" s="643" t="s">
        <v>2469</v>
      </c>
    </row>
    <row r="1263" spans="7:8">
      <c r="G1263" s="481" t="s">
        <v>2470</v>
      </c>
      <c r="H1263" s="643" t="s">
        <v>2471</v>
      </c>
    </row>
    <row r="1264" spans="7:8">
      <c r="G1264" s="481" t="s">
        <v>2472</v>
      </c>
      <c r="H1264" s="643" t="s">
        <v>2844</v>
      </c>
    </row>
    <row r="1265" spans="7:8">
      <c r="G1265" s="481" t="s">
        <v>2473</v>
      </c>
      <c r="H1265" s="643" t="s">
        <v>2474</v>
      </c>
    </row>
    <row r="1266" spans="7:8">
      <c r="G1266" s="481" t="s">
        <v>2475</v>
      </c>
      <c r="H1266" s="643" t="s">
        <v>114</v>
      </c>
    </row>
    <row r="1267" spans="7:8">
      <c r="G1267" s="481" t="s">
        <v>2476</v>
      </c>
      <c r="H1267" s="643" t="s">
        <v>116</v>
      </c>
    </row>
    <row r="1268" spans="7:8">
      <c r="G1268" s="481" t="s">
        <v>2477</v>
      </c>
      <c r="H1268" s="643" t="s">
        <v>2478</v>
      </c>
    </row>
    <row r="1269" spans="7:8">
      <c r="G1269" s="481" t="s">
        <v>2479</v>
      </c>
      <c r="H1269" s="643" t="s">
        <v>2480</v>
      </c>
    </row>
    <row r="1270" spans="7:8">
      <c r="G1270" s="481" t="s">
        <v>2481</v>
      </c>
      <c r="H1270" s="643" t="s">
        <v>2482</v>
      </c>
    </row>
    <row r="1271" spans="7:8">
      <c r="G1271" s="481" t="s">
        <v>2483</v>
      </c>
      <c r="H1271" s="643" t="s">
        <v>2484</v>
      </c>
    </row>
    <row r="1272" spans="7:8">
      <c r="G1272" s="481" t="s">
        <v>2485</v>
      </c>
      <c r="H1272" s="643" t="s">
        <v>2486</v>
      </c>
    </row>
    <row r="1273" spans="7:8">
      <c r="G1273" s="481" t="s">
        <v>2487</v>
      </c>
      <c r="H1273" s="643" t="s">
        <v>2488</v>
      </c>
    </row>
    <row r="1274" spans="7:8">
      <c r="G1274" s="481" t="s">
        <v>2489</v>
      </c>
      <c r="H1274" s="643" t="s">
        <v>2490</v>
      </c>
    </row>
    <row r="1275" spans="7:8">
      <c r="G1275" s="481" t="s">
        <v>2491</v>
      </c>
      <c r="H1275" s="643" t="s">
        <v>2492</v>
      </c>
    </row>
    <row r="1276" spans="7:8">
      <c r="G1276" s="481" t="s">
        <v>2493</v>
      </c>
      <c r="H1276" s="643" t="s">
        <v>2494</v>
      </c>
    </row>
    <row r="1277" spans="7:8">
      <c r="G1277" s="481" t="s">
        <v>2495</v>
      </c>
      <c r="H1277" s="643" t="s">
        <v>2496</v>
      </c>
    </row>
    <row r="1278" spans="7:8">
      <c r="G1278" s="481" t="s">
        <v>2497</v>
      </c>
      <c r="H1278" s="643" t="s">
        <v>2498</v>
      </c>
    </row>
    <row r="1279" spans="7:8">
      <c r="G1279" s="481" t="s">
        <v>2499</v>
      </c>
      <c r="H1279" s="643" t="s">
        <v>2500</v>
      </c>
    </row>
    <row r="1280" spans="7:8">
      <c r="G1280" s="481" t="s">
        <v>2501</v>
      </c>
      <c r="H1280" s="643" t="s">
        <v>2502</v>
      </c>
    </row>
    <row r="1281" spans="7:8">
      <c r="G1281" s="481" t="s">
        <v>2503</v>
      </c>
      <c r="H1281" s="643" t="s">
        <v>2504</v>
      </c>
    </row>
    <row r="1282" spans="7:8">
      <c r="G1282" s="481" t="s">
        <v>2505</v>
      </c>
      <c r="H1282" s="643" t="s">
        <v>2506</v>
      </c>
    </row>
    <row r="1283" spans="7:8">
      <c r="G1283" s="481" t="s">
        <v>2507</v>
      </c>
      <c r="H1283" s="643" t="s">
        <v>2508</v>
      </c>
    </row>
    <row r="1284" spans="7:8">
      <c r="G1284" s="481" t="s">
        <v>2509</v>
      </c>
      <c r="H1284" s="643" t="s">
        <v>2510</v>
      </c>
    </row>
    <row r="1285" spans="7:8">
      <c r="G1285" s="481" t="s">
        <v>2511</v>
      </c>
      <c r="H1285" s="643" t="s">
        <v>2512</v>
      </c>
    </row>
    <row r="1286" spans="7:8">
      <c r="G1286" s="481" t="s">
        <v>2513</v>
      </c>
      <c r="H1286" s="643" t="s">
        <v>2514</v>
      </c>
    </row>
    <row r="1287" spans="7:8">
      <c r="G1287" s="481" t="s">
        <v>2515</v>
      </c>
      <c r="H1287" s="643" t="s">
        <v>2516</v>
      </c>
    </row>
    <row r="1288" spans="7:8">
      <c r="G1288" s="481" t="s">
        <v>2517</v>
      </c>
      <c r="H1288" s="643" t="s">
        <v>2518</v>
      </c>
    </row>
    <row r="1289" spans="7:8">
      <c r="G1289" s="481" t="s">
        <v>2519</v>
      </c>
      <c r="H1289" s="643" t="s">
        <v>2520</v>
      </c>
    </row>
    <row r="1290" spans="7:8">
      <c r="G1290" s="481" t="s">
        <v>2521</v>
      </c>
      <c r="H1290" s="643" t="s">
        <v>2522</v>
      </c>
    </row>
    <row r="1291" spans="7:8">
      <c r="G1291" s="481" t="s">
        <v>2523</v>
      </c>
      <c r="H1291" s="643" t="s">
        <v>2524</v>
      </c>
    </row>
    <row r="1292" spans="7:8">
      <c r="G1292" s="481" t="s">
        <v>2525</v>
      </c>
      <c r="H1292" s="643" t="s">
        <v>2526</v>
      </c>
    </row>
    <row r="1293" spans="7:8">
      <c r="G1293" s="481" t="s">
        <v>2527</v>
      </c>
      <c r="H1293" s="643" t="s">
        <v>2528</v>
      </c>
    </row>
    <row r="1294" spans="7:8">
      <c r="G1294" s="481" t="s">
        <v>2529</v>
      </c>
      <c r="H1294" s="643" t="s">
        <v>2530</v>
      </c>
    </row>
    <row r="1295" spans="7:8">
      <c r="G1295" s="481" t="s">
        <v>2531</v>
      </c>
      <c r="H1295" s="643" t="s">
        <v>2532</v>
      </c>
    </row>
    <row r="1296" spans="7:8">
      <c r="G1296" s="481" t="s">
        <v>2533</v>
      </c>
      <c r="H1296" s="643" t="s">
        <v>2534</v>
      </c>
    </row>
    <row r="1297" spans="7:8">
      <c r="G1297" s="481" t="s">
        <v>2535</v>
      </c>
      <c r="H1297" s="643" t="s">
        <v>2536</v>
      </c>
    </row>
    <row r="1298" spans="7:8">
      <c r="G1298" s="481" t="s">
        <v>2537</v>
      </c>
      <c r="H1298" s="643" t="s">
        <v>2538</v>
      </c>
    </row>
    <row r="1299" spans="7:8">
      <c r="G1299" s="481" t="s">
        <v>2539</v>
      </c>
      <c r="H1299" s="643" t="s">
        <v>2540</v>
      </c>
    </row>
    <row r="1300" spans="7:8">
      <c r="G1300" s="481" t="s">
        <v>2541</v>
      </c>
      <c r="H1300" s="643" t="s">
        <v>2542</v>
      </c>
    </row>
    <row r="1301" spans="7:8">
      <c r="G1301" s="481" t="s">
        <v>2543</v>
      </c>
      <c r="H1301" s="643" t="s">
        <v>2544</v>
      </c>
    </row>
    <row r="1302" spans="7:8">
      <c r="G1302" s="481" t="s">
        <v>2545</v>
      </c>
      <c r="H1302" s="643" t="s">
        <v>2546</v>
      </c>
    </row>
    <row r="1303" spans="7:8">
      <c r="G1303" s="481" t="s">
        <v>2547</v>
      </c>
      <c r="H1303" s="643" t="s">
        <v>2548</v>
      </c>
    </row>
    <row r="1304" spans="7:8">
      <c r="G1304" s="481" t="s">
        <v>2549</v>
      </c>
      <c r="H1304" s="643" t="s">
        <v>1735</v>
      </c>
    </row>
    <row r="1305" spans="7:8">
      <c r="G1305" s="481" t="s">
        <v>2550</v>
      </c>
      <c r="H1305" s="643" t="s">
        <v>2551</v>
      </c>
    </row>
    <row r="1306" spans="7:8">
      <c r="G1306" s="481" t="s">
        <v>2552</v>
      </c>
      <c r="H1306" s="643" t="s">
        <v>2553</v>
      </c>
    </row>
    <row r="1307" spans="7:8">
      <c r="G1307" s="481" t="s">
        <v>2554</v>
      </c>
      <c r="H1307" s="643" t="s">
        <v>2555</v>
      </c>
    </row>
    <row r="1308" spans="7:8">
      <c r="G1308" s="481" t="s">
        <v>2556</v>
      </c>
      <c r="H1308" s="643" t="s">
        <v>2557</v>
      </c>
    </row>
    <row r="1309" spans="7:8">
      <c r="G1309" s="481" t="s">
        <v>2558</v>
      </c>
      <c r="H1309" s="643" t="s">
        <v>2559</v>
      </c>
    </row>
    <row r="1310" spans="7:8">
      <c r="G1310" s="481" t="s">
        <v>2560</v>
      </c>
      <c r="H1310" s="643" t="s">
        <v>2561</v>
      </c>
    </row>
    <row r="1311" spans="7:8">
      <c r="G1311" s="481" t="s">
        <v>2562</v>
      </c>
      <c r="H1311" s="643" t="s">
        <v>2563</v>
      </c>
    </row>
    <row r="1312" spans="7:8">
      <c r="G1312" s="481" t="s">
        <v>2564</v>
      </c>
      <c r="H1312" s="643" t="s">
        <v>2565</v>
      </c>
    </row>
    <row r="1313" spans="7:8">
      <c r="G1313" s="481" t="s">
        <v>2566</v>
      </c>
      <c r="H1313" s="643" t="s">
        <v>2567</v>
      </c>
    </row>
    <row r="1314" spans="7:8">
      <c r="G1314" s="481" t="s">
        <v>2568</v>
      </c>
      <c r="H1314" s="643" t="s">
        <v>2569</v>
      </c>
    </row>
    <row r="1315" spans="7:8">
      <c r="G1315" s="481" t="s">
        <v>2570</v>
      </c>
      <c r="H1315" s="643" t="s">
        <v>2571</v>
      </c>
    </row>
    <row r="1316" spans="7:8">
      <c r="G1316" s="481" t="s">
        <v>2572</v>
      </c>
      <c r="H1316" s="643" t="s">
        <v>2573</v>
      </c>
    </row>
    <row r="1317" spans="7:8">
      <c r="G1317" s="481" t="s">
        <v>2845</v>
      </c>
      <c r="H1317" s="643" t="s">
        <v>2574</v>
      </c>
    </row>
    <row r="1318" spans="7:8">
      <c r="G1318" s="481" t="s">
        <v>2575</v>
      </c>
      <c r="H1318" s="643" t="s">
        <v>114</v>
      </c>
    </row>
    <row r="1319" spans="7:8">
      <c r="G1319" s="481" t="s">
        <v>2576</v>
      </c>
      <c r="H1319" s="643" t="s">
        <v>116</v>
      </c>
    </row>
    <row r="1320" spans="7:8">
      <c r="G1320" s="481" t="s">
        <v>2577</v>
      </c>
      <c r="H1320" s="643" t="s">
        <v>2578</v>
      </c>
    </row>
    <row r="1321" spans="7:8">
      <c r="G1321" s="481" t="s">
        <v>2579</v>
      </c>
      <c r="H1321" s="643" t="s">
        <v>2580</v>
      </c>
    </row>
    <row r="1322" spans="7:8">
      <c r="G1322" s="481" t="s">
        <v>2581</v>
      </c>
      <c r="H1322" s="643" t="s">
        <v>2582</v>
      </c>
    </row>
    <row r="1323" spans="7:8">
      <c r="G1323" s="481" t="s">
        <v>2583</v>
      </c>
      <c r="H1323" s="643" t="s">
        <v>2584</v>
      </c>
    </row>
    <row r="1324" spans="7:8">
      <c r="G1324" s="481" t="s">
        <v>2585</v>
      </c>
      <c r="H1324" s="643" t="s">
        <v>2586</v>
      </c>
    </row>
    <row r="1325" spans="7:8">
      <c r="G1325" s="481" t="s">
        <v>2587</v>
      </c>
      <c r="H1325" s="643" t="s">
        <v>2588</v>
      </c>
    </row>
    <row r="1326" spans="7:8">
      <c r="G1326" s="481" t="s">
        <v>2589</v>
      </c>
      <c r="H1326" s="643" t="s">
        <v>2590</v>
      </c>
    </row>
    <row r="1327" spans="7:8">
      <c r="G1327" s="481" t="s">
        <v>2591</v>
      </c>
      <c r="H1327" s="643" t="s">
        <v>2592</v>
      </c>
    </row>
    <row r="1328" spans="7:8">
      <c r="G1328" s="481" t="s">
        <v>2593</v>
      </c>
      <c r="H1328" s="643" t="s">
        <v>2594</v>
      </c>
    </row>
    <row r="1329" spans="7:8">
      <c r="G1329" s="481" t="s">
        <v>2595</v>
      </c>
      <c r="H1329" s="643" t="s">
        <v>2596</v>
      </c>
    </row>
    <row r="1330" spans="7:8">
      <c r="G1330" s="481" t="s">
        <v>2597</v>
      </c>
      <c r="H1330" s="643" t="s">
        <v>2598</v>
      </c>
    </row>
    <row r="1331" spans="7:8">
      <c r="G1331" s="481" t="s">
        <v>2599</v>
      </c>
      <c r="H1331" s="643" t="s">
        <v>2600</v>
      </c>
    </row>
    <row r="1332" spans="7:8">
      <c r="G1332" s="481" t="s">
        <v>2601</v>
      </c>
      <c r="H1332" s="643" t="s">
        <v>2602</v>
      </c>
    </row>
    <row r="1333" spans="7:8">
      <c r="G1333" s="481" t="s">
        <v>2603</v>
      </c>
      <c r="H1333" s="643" t="s">
        <v>2604</v>
      </c>
    </row>
    <row r="1334" spans="7:8">
      <c r="G1334" s="481" t="s">
        <v>2605</v>
      </c>
      <c r="H1334" s="643" t="s">
        <v>2606</v>
      </c>
    </row>
    <row r="1335" spans="7:8">
      <c r="G1335" s="481" t="s">
        <v>2607</v>
      </c>
      <c r="H1335" s="643" t="s">
        <v>2608</v>
      </c>
    </row>
    <row r="1336" spans="7:8">
      <c r="G1336" s="481" t="s">
        <v>2609</v>
      </c>
      <c r="H1336" s="643" t="s">
        <v>2610</v>
      </c>
    </row>
    <row r="1337" spans="7:8">
      <c r="G1337" s="481" t="s">
        <v>2611</v>
      </c>
      <c r="H1337" s="643" t="s">
        <v>2612</v>
      </c>
    </row>
    <row r="1338" spans="7:8">
      <c r="G1338" s="481" t="s">
        <v>2613</v>
      </c>
      <c r="H1338" s="643" t="s">
        <v>2614</v>
      </c>
    </row>
    <row r="1339" spans="7:8">
      <c r="G1339" s="481" t="s">
        <v>2615</v>
      </c>
      <c r="H1339" s="643" t="s">
        <v>114</v>
      </c>
    </row>
    <row r="1340" spans="7:8">
      <c r="G1340" s="481" t="s">
        <v>2616</v>
      </c>
      <c r="H1340" s="643" t="s">
        <v>116</v>
      </c>
    </row>
    <row r="1341" spans="7:8">
      <c r="G1341" s="481" t="s">
        <v>2617</v>
      </c>
      <c r="H1341" s="643" t="s">
        <v>2618</v>
      </c>
    </row>
    <row r="1342" spans="7:8">
      <c r="G1342" s="481" t="s">
        <v>2619</v>
      </c>
      <c r="H1342" s="643" t="s">
        <v>2620</v>
      </c>
    </row>
    <row r="1343" spans="7:8">
      <c r="G1343" s="481" t="s">
        <v>2621</v>
      </c>
      <c r="H1343" s="643" t="s">
        <v>2622</v>
      </c>
    </row>
    <row r="1344" spans="7:8">
      <c r="G1344" s="481" t="s">
        <v>2623</v>
      </c>
      <c r="H1344" s="643" t="s">
        <v>2624</v>
      </c>
    </row>
    <row r="1345" spans="7:8">
      <c r="G1345" s="481" t="s">
        <v>2625</v>
      </c>
      <c r="H1345" s="643" t="s">
        <v>2626</v>
      </c>
    </row>
    <row r="1346" spans="7:8">
      <c r="G1346" s="481" t="s">
        <v>2627</v>
      </c>
      <c r="H1346" s="643" t="s">
        <v>2628</v>
      </c>
    </row>
    <row r="1347" spans="7:8">
      <c r="G1347" s="481" t="s">
        <v>2629</v>
      </c>
      <c r="H1347" s="643" t="s">
        <v>2630</v>
      </c>
    </row>
    <row r="1348" spans="7:8">
      <c r="G1348" s="481" t="s">
        <v>2631</v>
      </c>
      <c r="H1348" s="643" t="s">
        <v>2632</v>
      </c>
    </row>
    <row r="1349" spans="7:8">
      <c r="G1349" s="481" t="s">
        <v>2633</v>
      </c>
      <c r="H1349" s="643" t="s">
        <v>2634</v>
      </c>
    </row>
    <row r="1350" spans="7:8">
      <c r="G1350" s="481" t="s">
        <v>2635</v>
      </c>
      <c r="H1350" s="643" t="s">
        <v>2636</v>
      </c>
    </row>
    <row r="1351" spans="7:8">
      <c r="G1351" s="481" t="s">
        <v>2637</v>
      </c>
      <c r="H1351" s="643" t="s">
        <v>2638</v>
      </c>
    </row>
    <row r="1352" spans="7:8">
      <c r="G1352" s="481" t="s">
        <v>2639</v>
      </c>
      <c r="H1352" s="643" t="s">
        <v>114</v>
      </c>
    </row>
    <row r="1353" spans="7:8">
      <c r="G1353" s="481" t="s">
        <v>2640</v>
      </c>
      <c r="H1353" s="643" t="s">
        <v>116</v>
      </c>
    </row>
    <row r="1354" spans="7:8">
      <c r="G1354" s="481" t="s">
        <v>2641</v>
      </c>
      <c r="H1354" s="643" t="s">
        <v>2642</v>
      </c>
    </row>
    <row r="1355" spans="7:8">
      <c r="G1355" s="481" t="s">
        <v>2643</v>
      </c>
      <c r="H1355" s="643" t="s">
        <v>2644</v>
      </c>
    </row>
    <row r="1356" spans="7:8">
      <c r="G1356" s="481" t="s">
        <v>2645</v>
      </c>
      <c r="H1356" s="643" t="s">
        <v>2646</v>
      </c>
    </row>
    <row r="1357" spans="7:8">
      <c r="G1357" s="481" t="s">
        <v>2647</v>
      </c>
      <c r="H1357" s="643" t="s">
        <v>2648</v>
      </c>
    </row>
    <row r="1358" spans="7:8">
      <c r="G1358" s="481" t="s">
        <v>2649</v>
      </c>
      <c r="H1358" s="643" t="s">
        <v>2650</v>
      </c>
    </row>
    <row r="1359" spans="7:8">
      <c r="G1359" s="481" t="s">
        <v>2651</v>
      </c>
      <c r="H1359" s="643" t="s">
        <v>2652</v>
      </c>
    </row>
    <row r="1360" spans="7:8">
      <c r="G1360" s="481" t="s">
        <v>2653</v>
      </c>
      <c r="H1360" s="643" t="s">
        <v>2654</v>
      </c>
    </row>
    <row r="1361" spans="7:8">
      <c r="G1361" s="481" t="s">
        <v>2655</v>
      </c>
      <c r="H1361" s="643" t="s">
        <v>2656</v>
      </c>
    </row>
    <row r="1362" spans="7:8">
      <c r="G1362" s="481" t="s">
        <v>2657</v>
      </c>
      <c r="H1362" s="643" t="s">
        <v>2658</v>
      </c>
    </row>
    <row r="1363" spans="7:8">
      <c r="G1363" s="481" t="s">
        <v>2659</v>
      </c>
      <c r="H1363" s="643" t="s">
        <v>114</v>
      </c>
    </row>
    <row r="1364" spans="7:8">
      <c r="G1364" s="481" t="s">
        <v>2660</v>
      </c>
      <c r="H1364" s="643" t="s">
        <v>116</v>
      </c>
    </row>
    <row r="1365" spans="7:8">
      <c r="G1365" s="481" t="s">
        <v>2661</v>
      </c>
      <c r="H1365" s="643" t="s">
        <v>2662</v>
      </c>
    </row>
    <row r="1366" spans="7:8">
      <c r="G1366" s="481" t="s">
        <v>2663</v>
      </c>
      <c r="H1366" s="643" t="s">
        <v>2664</v>
      </c>
    </row>
    <row r="1367" spans="7:8">
      <c r="G1367" s="481" t="s">
        <v>2665</v>
      </c>
      <c r="H1367" s="643" t="s">
        <v>2666</v>
      </c>
    </row>
    <row r="1368" spans="7:8">
      <c r="G1368" s="481" t="s">
        <v>2667</v>
      </c>
      <c r="H1368" s="643" t="s">
        <v>2668</v>
      </c>
    </row>
    <row r="1369" spans="7:8">
      <c r="G1369" s="481" t="s">
        <v>2669</v>
      </c>
      <c r="H1369" s="643" t="s">
        <v>2670</v>
      </c>
    </row>
    <row r="1370" spans="7:8">
      <c r="G1370" s="481" t="s">
        <v>2671</v>
      </c>
      <c r="H1370" s="643" t="s">
        <v>2672</v>
      </c>
    </row>
    <row r="1371" spans="7:8">
      <c r="G1371" s="481" t="s">
        <v>2673</v>
      </c>
      <c r="H1371" s="643" t="s">
        <v>2674</v>
      </c>
    </row>
    <row r="1372" spans="7:8">
      <c r="G1372" s="481" t="s">
        <v>2675</v>
      </c>
      <c r="H1372" s="643" t="s">
        <v>2676</v>
      </c>
    </row>
    <row r="1373" spans="7:8">
      <c r="G1373" s="481" t="s">
        <v>2677</v>
      </c>
      <c r="H1373" s="643" t="s">
        <v>2678</v>
      </c>
    </row>
    <row r="1374" spans="7:8">
      <c r="G1374" s="481" t="s">
        <v>2679</v>
      </c>
      <c r="H1374" s="643" t="s">
        <v>2680</v>
      </c>
    </row>
    <row r="1375" spans="7:8">
      <c r="G1375" s="481" t="s">
        <v>2681</v>
      </c>
      <c r="H1375" s="643" t="s">
        <v>2682</v>
      </c>
    </row>
    <row r="1376" spans="7:8">
      <c r="G1376" s="481" t="s">
        <v>2683</v>
      </c>
      <c r="H1376" s="643" t="s">
        <v>2684</v>
      </c>
    </row>
    <row r="1377" spans="7:8">
      <c r="G1377" s="481" t="s">
        <v>2685</v>
      </c>
      <c r="H1377" s="643" t="s">
        <v>2686</v>
      </c>
    </row>
    <row r="1378" spans="7:8">
      <c r="G1378" s="481" t="s">
        <v>2687</v>
      </c>
      <c r="H1378" s="643" t="s">
        <v>2688</v>
      </c>
    </row>
    <row r="1379" spans="7:8">
      <c r="G1379" s="481" t="s">
        <v>2689</v>
      </c>
      <c r="H1379" s="643" t="s">
        <v>2690</v>
      </c>
    </row>
    <row r="1380" spans="7:8">
      <c r="G1380" s="481" t="s">
        <v>2691</v>
      </c>
      <c r="H1380" s="643" t="s">
        <v>1735</v>
      </c>
    </row>
    <row r="1381" spans="7:8">
      <c r="G1381" s="481" t="s">
        <v>2692</v>
      </c>
      <c r="H1381" s="643" t="s">
        <v>2693</v>
      </c>
    </row>
    <row r="1382" spans="7:8">
      <c r="G1382" s="481" t="s">
        <v>2694</v>
      </c>
      <c r="H1382" s="643" t="s">
        <v>2695</v>
      </c>
    </row>
    <row r="1383" spans="7:8">
      <c r="G1383" s="481" t="s">
        <v>2696</v>
      </c>
      <c r="H1383" s="643" t="s">
        <v>2697</v>
      </c>
    </row>
    <row r="1384" spans="7:8">
      <c r="G1384" s="481" t="s">
        <v>2698</v>
      </c>
      <c r="H1384" s="643" t="s">
        <v>1735</v>
      </c>
    </row>
    <row r="1385" spans="7:8">
      <c r="G1385" s="481" t="s">
        <v>2699</v>
      </c>
      <c r="H1385" s="643" t="s">
        <v>2700</v>
      </c>
    </row>
    <row r="1386" spans="7:8">
      <c r="G1386" s="481" t="s">
        <v>2701</v>
      </c>
      <c r="H1386" s="643" t="s">
        <v>2702</v>
      </c>
    </row>
    <row r="1387" spans="7:8">
      <c r="G1387" s="481" t="s">
        <v>2703</v>
      </c>
      <c r="H1387" s="643" t="s">
        <v>2704</v>
      </c>
    </row>
    <row r="1388" spans="7:8">
      <c r="G1388" s="481" t="s">
        <v>2705</v>
      </c>
      <c r="H1388" s="643" t="s">
        <v>2706</v>
      </c>
    </row>
    <row r="1389" spans="7:8">
      <c r="G1389" s="481" t="s">
        <v>2707</v>
      </c>
      <c r="H1389" s="643" t="s">
        <v>2708</v>
      </c>
    </row>
    <row r="1390" spans="7:8">
      <c r="G1390" s="481" t="s">
        <v>2709</v>
      </c>
      <c r="H1390" s="643" t="s">
        <v>114</v>
      </c>
    </row>
    <row r="1391" spans="7:8">
      <c r="G1391" s="481" t="s">
        <v>2710</v>
      </c>
      <c r="H1391" s="643" t="s">
        <v>116</v>
      </c>
    </row>
    <row r="1392" spans="7:8">
      <c r="G1392" s="481" t="s">
        <v>2711</v>
      </c>
      <c r="H1392" s="643" t="s">
        <v>2712</v>
      </c>
    </row>
    <row r="1393" spans="7:8">
      <c r="G1393" s="481" t="s">
        <v>2713</v>
      </c>
      <c r="H1393" s="643" t="s">
        <v>2714</v>
      </c>
    </row>
    <row r="1394" spans="7:8">
      <c r="G1394" s="481" t="s">
        <v>2715</v>
      </c>
      <c r="H1394" s="643" t="s">
        <v>2716</v>
      </c>
    </row>
    <row r="1395" spans="7:8">
      <c r="G1395" s="481" t="s">
        <v>2717</v>
      </c>
      <c r="H1395" s="643" t="s">
        <v>2718</v>
      </c>
    </row>
    <row r="1396" spans="7:8">
      <c r="G1396" s="481" t="s">
        <v>2719</v>
      </c>
      <c r="H1396" s="643" t="s">
        <v>2720</v>
      </c>
    </row>
    <row r="1397" spans="7:8">
      <c r="G1397" s="481" t="s">
        <v>2721</v>
      </c>
      <c r="H1397" s="643" t="s">
        <v>2722</v>
      </c>
    </row>
    <row r="1398" spans="7:8">
      <c r="G1398" s="481" t="s">
        <v>2723</v>
      </c>
      <c r="H1398" s="643" t="s">
        <v>2724</v>
      </c>
    </row>
    <row r="1399" spans="7:8">
      <c r="G1399" s="481" t="s">
        <v>2725</v>
      </c>
      <c r="H1399" s="643" t="s">
        <v>2726</v>
      </c>
    </row>
    <row r="1400" spans="7:8">
      <c r="G1400" s="481" t="s">
        <v>2727</v>
      </c>
      <c r="H1400" s="643" t="s">
        <v>2728</v>
      </c>
    </row>
    <row r="1401" spans="7:8">
      <c r="G1401" s="481" t="s">
        <v>2729</v>
      </c>
      <c r="H1401" s="643" t="s">
        <v>2730</v>
      </c>
    </row>
    <row r="1402" spans="7:8">
      <c r="G1402" s="481" t="s">
        <v>2731</v>
      </c>
      <c r="H1402" s="643" t="s">
        <v>2732</v>
      </c>
    </row>
    <row r="1403" spans="7:8">
      <c r="G1403" s="481" t="s">
        <v>2733</v>
      </c>
      <c r="H1403" s="643" t="s">
        <v>2734</v>
      </c>
    </row>
    <row r="1404" spans="7:8">
      <c r="G1404" s="481" t="s">
        <v>2735</v>
      </c>
      <c r="H1404" s="643" t="s">
        <v>2736</v>
      </c>
    </row>
    <row r="1405" spans="7:8">
      <c r="G1405" s="481" t="s">
        <v>2737</v>
      </c>
      <c r="H1405" s="643" t="s">
        <v>1735</v>
      </c>
    </row>
    <row r="1406" spans="7:8">
      <c r="G1406" s="481" t="s">
        <v>2738</v>
      </c>
      <c r="H1406" s="643" t="s">
        <v>2739</v>
      </c>
    </row>
    <row r="1407" spans="7:8">
      <c r="G1407" s="481" t="s">
        <v>2740</v>
      </c>
      <c r="H1407" s="643" t="s">
        <v>2741</v>
      </c>
    </row>
    <row r="1408" spans="7:8">
      <c r="G1408" s="481" t="s">
        <v>2742</v>
      </c>
      <c r="H1408" s="643" t="s">
        <v>114</v>
      </c>
    </row>
    <row r="1409" spans="7:8">
      <c r="G1409" s="481" t="s">
        <v>2743</v>
      </c>
      <c r="H1409" s="643" t="s">
        <v>116</v>
      </c>
    </row>
    <row r="1410" spans="7:8">
      <c r="G1410" s="481" t="s">
        <v>2744</v>
      </c>
      <c r="H1410" s="643" t="s">
        <v>2745</v>
      </c>
    </row>
    <row r="1411" spans="7:8">
      <c r="G1411" s="481" t="s">
        <v>2746</v>
      </c>
      <c r="H1411" s="643" t="s">
        <v>2747</v>
      </c>
    </row>
    <row r="1412" spans="7:8">
      <c r="G1412" s="481" t="s">
        <v>2748</v>
      </c>
      <c r="H1412" s="643" t="s">
        <v>2749</v>
      </c>
    </row>
    <row r="1413" spans="7:8">
      <c r="G1413" s="481" t="s">
        <v>2750</v>
      </c>
      <c r="H1413" s="643" t="s">
        <v>2751</v>
      </c>
    </row>
    <row r="1414" spans="7:8">
      <c r="G1414" s="481" t="s">
        <v>2752</v>
      </c>
      <c r="H1414" s="643" t="s">
        <v>2753</v>
      </c>
    </row>
    <row r="1415" spans="7:8">
      <c r="G1415" s="481" t="s">
        <v>2754</v>
      </c>
      <c r="H1415" s="643" t="s">
        <v>2755</v>
      </c>
    </row>
    <row r="1416" spans="7:8">
      <c r="G1416" s="481" t="s">
        <v>2756</v>
      </c>
      <c r="H1416" s="643" t="s">
        <v>2757</v>
      </c>
    </row>
    <row r="1417" spans="7:8">
      <c r="G1417" s="481" t="s">
        <v>2758</v>
      </c>
      <c r="H1417" s="643" t="s">
        <v>2759</v>
      </c>
    </row>
    <row r="1418" spans="7:8">
      <c r="G1418" s="481" t="s">
        <v>2760</v>
      </c>
      <c r="H1418" s="643" t="s">
        <v>2761</v>
      </c>
    </row>
    <row r="1419" spans="7:8">
      <c r="G1419" s="481" t="s">
        <v>2762</v>
      </c>
      <c r="H1419" s="643" t="s">
        <v>114</v>
      </c>
    </row>
    <row r="1420" spans="7:8">
      <c r="G1420" s="481" t="s">
        <v>2763</v>
      </c>
      <c r="H1420" s="643" t="s">
        <v>116</v>
      </c>
    </row>
    <row r="1421" spans="7:8">
      <c r="G1421" s="481" t="s">
        <v>2764</v>
      </c>
      <c r="H1421" s="643" t="s">
        <v>2765</v>
      </c>
    </row>
    <row r="1422" spans="7:8">
      <c r="G1422" s="481" t="s">
        <v>2766</v>
      </c>
      <c r="H1422" s="643" t="s">
        <v>2767</v>
      </c>
    </row>
    <row r="1423" spans="7:8">
      <c r="G1423" s="481" t="s">
        <v>2768</v>
      </c>
      <c r="H1423" s="643" t="s">
        <v>114</v>
      </c>
    </row>
    <row r="1424" spans="7:8">
      <c r="G1424" s="481" t="s">
        <v>2769</v>
      </c>
      <c r="H1424" s="643" t="s">
        <v>116</v>
      </c>
    </row>
    <row r="1425" spans="7:8">
      <c r="G1425" s="481" t="s">
        <v>2770</v>
      </c>
      <c r="H1425" s="643" t="s">
        <v>2771</v>
      </c>
    </row>
    <row r="1426" spans="7:8">
      <c r="G1426" s="481" t="s">
        <v>2772</v>
      </c>
      <c r="H1426" s="643" t="s">
        <v>2773</v>
      </c>
    </row>
    <row r="1427" spans="7:8">
      <c r="G1427" s="481" t="s">
        <v>2774</v>
      </c>
      <c r="H1427" s="643" t="s">
        <v>2775</v>
      </c>
    </row>
    <row r="1428" spans="7:8">
      <c r="G1428" s="481" t="s">
        <v>2776</v>
      </c>
      <c r="H1428" s="643" t="s">
        <v>2777</v>
      </c>
    </row>
    <row r="1429" spans="7:8">
      <c r="G1429" s="481" t="s">
        <v>2778</v>
      </c>
      <c r="H1429" s="643" t="s">
        <v>2779</v>
      </c>
    </row>
    <row r="1430" spans="7:8">
      <c r="G1430" s="481" t="s">
        <v>2780</v>
      </c>
      <c r="H1430" s="643" t="s">
        <v>2781</v>
      </c>
    </row>
    <row r="1431" spans="7:8">
      <c r="G1431" s="481" t="s">
        <v>2782</v>
      </c>
      <c r="H1431" s="643" t="s">
        <v>2783</v>
      </c>
    </row>
    <row r="1432" spans="7:8">
      <c r="G1432" s="481" t="s">
        <v>2784</v>
      </c>
      <c r="H1432" s="643" t="s">
        <v>2785</v>
      </c>
    </row>
    <row r="1433" spans="7:8">
      <c r="G1433" s="481" t="s">
        <v>2786</v>
      </c>
      <c r="H1433" s="643" t="s">
        <v>2787</v>
      </c>
    </row>
    <row r="1434" spans="7:8">
      <c r="G1434" s="481" t="s">
        <v>2788</v>
      </c>
      <c r="H1434" s="643" t="s">
        <v>2789</v>
      </c>
    </row>
    <row r="1435" spans="7:8">
      <c r="G1435" s="481" t="s">
        <v>2790</v>
      </c>
      <c r="H1435" s="643" t="s">
        <v>2791</v>
      </c>
    </row>
    <row r="1436" spans="7:8">
      <c r="G1436" s="481" t="s">
        <v>2792</v>
      </c>
      <c r="H1436" s="643" t="s">
        <v>2793</v>
      </c>
    </row>
    <row r="1437" spans="7:8">
      <c r="G1437" s="481" t="s">
        <v>2794</v>
      </c>
      <c r="H1437" s="643" t="s">
        <v>2795</v>
      </c>
    </row>
    <row r="1438" spans="7:8">
      <c r="G1438" s="481" t="s">
        <v>2796</v>
      </c>
      <c r="H1438" s="643" t="s">
        <v>2797</v>
      </c>
    </row>
    <row r="1439" spans="7:8">
      <c r="G1439" s="481" t="s">
        <v>2798</v>
      </c>
      <c r="H1439" s="643" t="s">
        <v>2799</v>
      </c>
    </row>
    <row r="1440" spans="7:8">
      <c r="G1440" s="481" t="s">
        <v>2800</v>
      </c>
      <c r="H1440" s="643" t="s">
        <v>2801</v>
      </c>
    </row>
    <row r="1441" spans="7:8">
      <c r="G1441" s="481" t="s">
        <v>2802</v>
      </c>
      <c r="H1441" s="643" t="s">
        <v>2803</v>
      </c>
    </row>
    <row r="1442" spans="7:8">
      <c r="G1442" s="481" t="s">
        <v>2804</v>
      </c>
      <c r="H1442" s="643" t="s">
        <v>2805</v>
      </c>
    </row>
    <row r="1443" spans="7:8">
      <c r="G1443" s="481" t="s">
        <v>2806</v>
      </c>
      <c r="H1443" s="643" t="s">
        <v>2807</v>
      </c>
    </row>
    <row r="1444" spans="7:8">
      <c r="G1444" s="481" t="s">
        <v>2808</v>
      </c>
      <c r="H1444" s="643" t="s">
        <v>2809</v>
      </c>
    </row>
    <row r="1445" spans="7:8">
      <c r="G1445" s="481" t="s">
        <v>2810</v>
      </c>
      <c r="H1445" s="643" t="s">
        <v>2811</v>
      </c>
    </row>
    <row r="1446" spans="7:8">
      <c r="G1446" s="481" t="s">
        <v>2812</v>
      </c>
      <c r="H1446" s="643" t="s">
        <v>2813</v>
      </c>
    </row>
    <row r="1447" spans="7:8">
      <c r="G1447" s="481" t="s">
        <v>2814</v>
      </c>
      <c r="H1447" s="643" t="s">
        <v>2815</v>
      </c>
    </row>
    <row r="1448" spans="7:8">
      <c r="G1448" s="481" t="s">
        <v>2816</v>
      </c>
      <c r="H1448" s="643" t="s">
        <v>2817</v>
      </c>
    </row>
    <row r="1449" spans="7:8">
      <c r="G1449" s="481" t="s">
        <v>2818</v>
      </c>
      <c r="H1449" s="643" t="s">
        <v>2819</v>
      </c>
    </row>
    <row r="1450" spans="7:8">
      <c r="G1450" s="481" t="s">
        <v>2820</v>
      </c>
      <c r="H1450" s="643" t="s">
        <v>1735</v>
      </c>
    </row>
    <row r="1451" spans="7:8">
      <c r="G1451" s="481" t="s">
        <v>2821</v>
      </c>
      <c r="H1451" s="643" t="s">
        <v>2822</v>
      </c>
    </row>
    <row r="1452" spans="7:8">
      <c r="G1452" s="481" t="s">
        <v>2823</v>
      </c>
      <c r="H1452" s="643" t="s">
        <v>2824</v>
      </c>
    </row>
    <row r="1453" spans="7:8">
      <c r="G1453" s="481" t="s">
        <v>2825</v>
      </c>
      <c r="H1453" s="643" t="s">
        <v>2826</v>
      </c>
    </row>
    <row r="1454" spans="7:8">
      <c r="G1454" s="481" t="s">
        <v>2827</v>
      </c>
      <c r="H1454" s="643" t="s">
        <v>2828</v>
      </c>
    </row>
    <row r="1455" spans="7:8">
      <c r="G1455" s="481" t="s">
        <v>2829</v>
      </c>
      <c r="H1455" s="643" t="s">
        <v>2830</v>
      </c>
    </row>
    <row r="1456" spans="7:8">
      <c r="G1456" s="481" t="s">
        <v>2831</v>
      </c>
      <c r="H1456" s="643" t="s">
        <v>2832</v>
      </c>
    </row>
    <row r="1457" spans="7:8">
      <c r="G1457" s="481" t="s">
        <v>2833</v>
      </c>
      <c r="H1457" s="643" t="s">
        <v>2834</v>
      </c>
    </row>
    <row r="1458" spans="7:8">
      <c r="G1458" s="481" t="s">
        <v>2835</v>
      </c>
      <c r="H1458" s="643" t="s">
        <v>2836</v>
      </c>
    </row>
    <row r="1459" spans="7:8">
      <c r="G1459" s="481" t="s">
        <v>2837</v>
      </c>
      <c r="H1459" s="643" t="s">
        <v>2838</v>
      </c>
    </row>
    <row r="1460" spans="7:8">
      <c r="G1460" s="481" t="s">
        <v>2839</v>
      </c>
      <c r="H1460" s="643" t="s">
        <v>2840</v>
      </c>
    </row>
  </sheetData>
  <sheetProtection algorithmName="SHA-512" hashValue="YHqttMtoCpf9U/stS1JrQ2BebGVqKPqopWTFkfVqSyob/ZCybAAqvf66WA7qpyM4o+zbPnXzMfR7M5++og5OUg==" saltValue="fbQ/xgrXTX5fUwRrgU8Hfg==" spinCount="100000" sheet="1" objects="1" scenarios="1" selectLockedCells="1"/>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00B0F0"/>
  </sheetPr>
  <dimension ref="A1:AW240"/>
  <sheetViews>
    <sheetView showGridLines="0" view="pageBreakPreview" topLeftCell="D1" zoomScaleNormal="100" zoomScaleSheetLayoutView="100" workbookViewId="0">
      <pane ySplit="4" topLeftCell="A5" activePane="bottomLeft" state="frozen"/>
      <selection activeCell="E5" sqref="E5:N5"/>
      <selection pane="bottomLeft" activeCell="G3" sqref="G3"/>
    </sheetView>
  </sheetViews>
  <sheetFormatPr defaultColWidth="8.90625" defaultRowHeight="17.5" outlineLevelCol="1"/>
  <cols>
    <col min="1" max="1" width="5.08984375" style="189" hidden="1" customWidth="1" outlineLevel="1"/>
    <col min="2" max="2" width="3.08984375" style="189" hidden="1" customWidth="1" outlineLevel="1"/>
    <col min="3" max="3" width="3" style="189" hidden="1" customWidth="1" outlineLevel="1"/>
    <col min="4" max="4" width="2.6328125" style="195" customWidth="1" collapsed="1"/>
    <col min="5" max="5" width="4" style="195" customWidth="1"/>
    <col min="6" max="6" width="33.90625" style="195" customWidth="1"/>
    <col min="7" max="7" width="8.1796875" style="195" customWidth="1"/>
    <col min="8" max="8" width="4.453125" style="195" customWidth="1"/>
    <col min="9" max="9" width="8.81640625" style="195" customWidth="1"/>
    <col min="10" max="10" width="4.453125" style="195" customWidth="1"/>
    <col min="11" max="11" width="8.81640625" style="195" customWidth="1"/>
    <col min="12" max="12" width="4.453125" style="195" customWidth="1"/>
    <col min="13" max="17" width="12.81640625" style="195" customWidth="1"/>
    <col min="18" max="19" width="12.81640625" style="197" customWidth="1"/>
    <col min="20" max="20" width="10.81640625" style="191" customWidth="1"/>
    <col min="21" max="21" width="13.6328125" style="191" hidden="1" customWidth="1" outlineLevel="1"/>
    <col min="22" max="22" width="1.453125" style="191" hidden="1" customWidth="1" outlineLevel="1"/>
    <col min="23" max="23" width="8.54296875" style="191" hidden="1" customWidth="1" outlineLevel="1"/>
    <col min="24" max="25" width="1.453125" style="191" hidden="1" customWidth="1" outlineLevel="1"/>
    <col min="26" max="26" width="1.81640625" style="191" hidden="1" customWidth="1" outlineLevel="1"/>
    <col min="27" max="27" width="16.36328125" style="199" hidden="1" customWidth="1" outlineLevel="1"/>
    <col min="28" max="28" width="9.36328125" style="191" hidden="1" customWidth="1" outlineLevel="1"/>
    <col min="29" max="29" width="20.6328125" style="191" hidden="1" customWidth="1" outlineLevel="1"/>
    <col min="30" max="30" width="14.90625" style="191" hidden="1" customWidth="1" outlineLevel="1"/>
    <col min="31" max="31" width="10.36328125" style="191" hidden="1" customWidth="1" outlineLevel="1"/>
    <col min="32" max="33" width="8.1796875" style="191" hidden="1" customWidth="1" outlineLevel="1"/>
    <col min="34" max="34" width="11.453125" style="191" hidden="1" customWidth="1" outlineLevel="1"/>
    <col min="35" max="35" width="8.90625" style="197" hidden="1" customWidth="1" outlineLevel="1"/>
    <col min="36" max="36" width="8.90625" style="197" customWidth="1" collapsed="1"/>
    <col min="37" max="37" width="9.08984375" style="197" customWidth="1"/>
    <col min="38" max="38" width="7.36328125" style="197" customWidth="1"/>
    <col min="39" max="39" width="9.90625" style="197" customWidth="1"/>
    <col min="40" max="40" width="5.6328125" style="197" customWidth="1"/>
    <col min="41" max="43" width="5.6328125" style="195" customWidth="1"/>
    <col min="44" max="46" width="8.90625" style="195" customWidth="1"/>
    <col min="47" max="48" width="8.90625" style="195"/>
    <col min="49" max="49" width="0" style="195" hidden="1" customWidth="1"/>
    <col min="50" max="16384" width="8.90625" style="195"/>
  </cols>
  <sheetData>
    <row r="1" spans="1:40" s="191" customFormat="1" ht="42" customHeight="1">
      <c r="A1" s="184" t="s">
        <v>4377</v>
      </c>
      <c r="B1" s="185" t="s">
        <v>4377</v>
      </c>
      <c r="C1" s="186"/>
      <c r="D1" s="20" t="s">
        <v>4284</v>
      </c>
      <c r="E1" s="21"/>
      <c r="F1" s="22"/>
      <c r="G1" s="22"/>
      <c r="H1" s="22"/>
      <c r="I1" s="22"/>
      <c r="J1" s="22"/>
      <c r="K1" s="22"/>
      <c r="L1" s="22"/>
      <c r="M1" s="22"/>
      <c r="N1" s="22"/>
      <c r="O1" s="22"/>
      <c r="P1" s="22"/>
      <c r="Q1" s="22"/>
      <c r="R1" s="22"/>
      <c r="S1" s="22"/>
      <c r="T1" s="179" t="str">
        <f>IF(K7="","",HLOOKUP(VALUE(AA5),入力シートのタイトルメッセージ!C2:N8,AA6,FALSE))</f>
        <v/>
      </c>
      <c r="U1" s="197"/>
      <c r="V1" s="197"/>
      <c r="W1" s="198"/>
      <c r="AA1" s="199" t="s">
        <v>4226</v>
      </c>
      <c r="AB1" s="198">
        <f>K7</f>
        <v>0</v>
      </c>
      <c r="AC1" s="200"/>
      <c r="AD1" s="200"/>
      <c r="AE1" s="200"/>
    </row>
    <row r="2" spans="1:40" s="191" customFormat="1" ht="35.75" customHeight="1">
      <c r="A2" s="187"/>
      <c r="B2" s="187"/>
      <c r="C2" s="188"/>
      <c r="D2" s="32"/>
      <c r="E2" s="14"/>
      <c r="F2" s="28"/>
      <c r="G2" s="28"/>
      <c r="H2" s="28"/>
      <c r="I2" s="28"/>
      <c r="J2" s="28"/>
      <c r="K2" s="28"/>
      <c r="L2" s="28"/>
      <c r="M2" s="28"/>
      <c r="N2" s="28"/>
      <c r="O2" s="28"/>
      <c r="P2" s="28"/>
      <c r="Q2" s="28"/>
      <c r="R2" s="28"/>
      <c r="S2" s="28"/>
      <c r="T2" s="28"/>
      <c r="U2" s="197"/>
      <c r="V2" s="197"/>
      <c r="AA2" s="201" t="s">
        <v>4235</v>
      </c>
      <c r="AB2" s="202">
        <f>基本設定シート!C8</f>
        <v>2028</v>
      </c>
      <c r="AC2" s="203" t="s">
        <v>4258</v>
      </c>
      <c r="AD2" s="204">
        <f ca="1">TODAY()</f>
        <v>46108</v>
      </c>
      <c r="AE2" s="205"/>
    </row>
    <row r="3" spans="1:40" s="191" customFormat="1" ht="17.75" customHeight="1">
      <c r="A3" s="187"/>
      <c r="B3" s="187"/>
      <c r="C3" s="188"/>
      <c r="D3" s="27"/>
      <c r="E3" s="24"/>
      <c r="F3" s="140" t="s">
        <v>4257</v>
      </c>
      <c r="G3" s="18"/>
      <c r="H3" s="7" t="s">
        <v>2</v>
      </c>
      <c r="I3" s="17"/>
      <c r="J3" s="7" t="s">
        <v>4337</v>
      </c>
      <c r="K3" s="17"/>
      <c r="L3" s="7" t="s">
        <v>4338</v>
      </c>
      <c r="M3" s="25" t="s">
        <v>4301</v>
      </c>
      <c r="N3" s="804" t="str">
        <f>'入力シート（事業者情報）'!U7</f>
        <v/>
      </c>
      <c r="O3" s="805"/>
      <c r="P3" s="805"/>
      <c r="Q3" s="805"/>
      <c r="R3" s="805"/>
      <c r="S3" s="805"/>
      <c r="T3" s="806"/>
      <c r="U3" s="191">
        <f>DAY(DATE(G3,I3+1,1)-1)</f>
        <v>0</v>
      </c>
      <c r="V3" s="197"/>
      <c r="AA3" s="202" t="s">
        <v>72</v>
      </c>
      <c r="AB3" s="202">
        <v>0</v>
      </c>
      <c r="AC3" s="206"/>
      <c r="AD3" s="204">
        <f ca="1">TODAY()</f>
        <v>46108</v>
      </c>
      <c r="AE3" s="205"/>
    </row>
    <row r="4" spans="1:40" s="191" customFormat="1" ht="5.4" customHeight="1">
      <c r="A4" s="187"/>
      <c r="B4" s="187"/>
      <c r="C4" s="188"/>
      <c r="D4" s="32"/>
      <c r="E4" s="14"/>
      <c r="F4" s="33"/>
      <c r="G4" s="33"/>
      <c r="H4" s="33"/>
      <c r="I4" s="33"/>
      <c r="J4" s="14"/>
      <c r="K4" s="14"/>
      <c r="L4" s="14"/>
      <c r="M4" s="14"/>
      <c r="N4" s="14"/>
      <c r="O4" s="14"/>
      <c r="P4" s="14"/>
      <c r="Q4" s="14"/>
      <c r="R4" s="28"/>
      <c r="S4" s="28"/>
      <c r="T4" s="14"/>
      <c r="Y4" s="200"/>
      <c r="Z4" s="200"/>
      <c r="AA4" s="201"/>
      <c r="AB4" s="200"/>
      <c r="AC4" s="206"/>
      <c r="AD4" s="204"/>
      <c r="AE4" s="205"/>
      <c r="AH4" s="208"/>
    </row>
    <row r="5" spans="1:40" s="191" customFormat="1" ht="8.25" customHeight="1">
      <c r="A5" s="187"/>
      <c r="B5" s="187"/>
      <c r="C5" s="188"/>
      <c r="D5" s="24"/>
      <c r="E5" s="24"/>
      <c r="F5" s="24"/>
      <c r="G5" s="24"/>
      <c r="H5" s="14"/>
      <c r="I5" s="35"/>
      <c r="J5" s="14"/>
      <c r="K5" s="14"/>
      <c r="L5" s="14"/>
      <c r="M5" s="14"/>
      <c r="N5" s="14"/>
      <c r="O5" s="14"/>
      <c r="P5" s="14"/>
      <c r="Q5" s="14"/>
      <c r="R5" s="28"/>
      <c r="S5" s="28"/>
      <c r="T5" s="14"/>
      <c r="Z5" s="200"/>
      <c r="AA5" s="201" t="str">
        <f>AB1&amp;AB3</f>
        <v>00</v>
      </c>
      <c r="AB5" s="200"/>
      <c r="AC5" s="206" t="s">
        <v>4259</v>
      </c>
      <c r="AD5" s="78">
        <f>基本設定シート!B11</f>
        <v>1</v>
      </c>
      <c r="AE5" s="207" t="s">
        <v>4260</v>
      </c>
    </row>
    <row r="6" spans="1:40" s="191" customFormat="1" ht="18" customHeight="1">
      <c r="A6" s="187"/>
      <c r="B6" s="187"/>
      <c r="C6" s="188"/>
      <c r="D6" s="34" t="s">
        <v>4397</v>
      </c>
      <c r="E6" s="14"/>
      <c r="F6" s="33"/>
      <c r="G6" s="14"/>
      <c r="H6" s="24"/>
      <c r="I6" s="24"/>
      <c r="J6" s="24"/>
      <c r="K6" s="24"/>
      <c r="L6" s="24"/>
      <c r="M6" s="24"/>
      <c r="N6" s="28"/>
      <c r="O6" s="28"/>
      <c r="P6" s="28"/>
      <c r="Q6" s="28"/>
      <c r="R6" s="28"/>
      <c r="S6" s="28"/>
      <c r="T6" s="14"/>
      <c r="Z6" s="200"/>
      <c r="AA6" s="201">
        <f ca="1">LOOKUP(AD3,入力シートのタイトルメッセージ!B3:B8,入力シートのタイトルメッセージ!B11:B16)</f>
        <v>2</v>
      </c>
      <c r="AB6" s="200"/>
      <c r="AC6" s="206" t="s">
        <v>4261</v>
      </c>
      <c r="AD6" s="78">
        <f ca="1">YEAR(EOMONTH(AD3,-3))</f>
        <v>2025</v>
      </c>
      <c r="AE6" s="207" t="s">
        <v>4260</v>
      </c>
    </row>
    <row r="7" spans="1:40" s="191" customFormat="1" ht="20.399999999999999" customHeight="1">
      <c r="A7" s="187"/>
      <c r="B7" s="187"/>
      <c r="C7" s="188"/>
      <c r="D7" s="32"/>
      <c r="E7" s="36"/>
      <c r="F7" s="37" t="s">
        <v>4339</v>
      </c>
      <c r="G7" s="28"/>
      <c r="H7" s="28"/>
      <c r="I7" s="24"/>
      <c r="J7" s="39" t="s">
        <v>4340</v>
      </c>
      <c r="K7" s="19"/>
      <c r="L7" s="40" t="s">
        <v>2</v>
      </c>
      <c r="M7" s="28"/>
      <c r="N7" s="14"/>
      <c r="O7" s="14"/>
      <c r="P7" s="14"/>
      <c r="Q7" s="14"/>
      <c r="R7" s="28"/>
      <c r="S7" s="28"/>
      <c r="T7" s="14"/>
      <c r="Z7" s="200"/>
      <c r="AA7" s="201"/>
      <c r="AB7" s="200"/>
      <c r="AC7" s="200"/>
      <c r="AD7" s="200"/>
      <c r="AE7" s="200"/>
    </row>
    <row r="8" spans="1:40" s="191" customFormat="1" ht="27.65" customHeight="1">
      <c r="A8" s="187"/>
      <c r="B8" s="187"/>
      <c r="C8" s="188"/>
      <c r="D8" s="32"/>
      <c r="E8" s="14"/>
      <c r="F8" s="14"/>
      <c r="G8" s="14"/>
      <c r="H8" s="14"/>
      <c r="I8" s="37"/>
      <c r="J8" s="39" t="s">
        <v>4341</v>
      </c>
      <c r="K8" s="14" t="str">
        <f>IF(K7="","基準年度を選択して下さい。",K7+1&amp; "年度～"&amp;AB2&amp;"年度")</f>
        <v>基準年度を選択して下さい。</v>
      </c>
      <c r="L8" s="14"/>
      <c r="M8" s="14"/>
      <c r="N8" s="14"/>
      <c r="O8" s="41"/>
      <c r="P8" s="14"/>
      <c r="Q8" s="14"/>
      <c r="R8" s="28"/>
      <c r="S8" s="28"/>
      <c r="T8" s="14"/>
      <c r="Z8" s="200"/>
      <c r="AA8" s="201"/>
      <c r="AB8" s="200"/>
      <c r="AC8" s="200"/>
      <c r="AD8" s="200"/>
      <c r="AE8" s="200"/>
    </row>
    <row r="9" spans="1:40" s="191" customFormat="1" ht="8.4" customHeight="1">
      <c r="A9" s="187"/>
      <c r="B9" s="187"/>
      <c r="C9" s="188"/>
      <c r="D9" s="32"/>
      <c r="E9" s="14"/>
      <c r="F9" s="14"/>
      <c r="G9" s="14"/>
      <c r="H9" s="14"/>
      <c r="I9" s="37"/>
      <c r="J9" s="39"/>
      <c r="K9" s="14"/>
      <c r="L9" s="14"/>
      <c r="M9" s="14"/>
      <c r="N9" s="14"/>
      <c r="O9" s="41"/>
      <c r="P9" s="14"/>
      <c r="Q9" s="14"/>
      <c r="R9" s="28"/>
      <c r="S9" s="28"/>
      <c r="T9" s="14"/>
      <c r="Z9" s="200"/>
      <c r="AA9" s="201"/>
      <c r="AB9" s="200"/>
      <c r="AC9" s="200"/>
      <c r="AD9" s="200"/>
      <c r="AE9" s="200"/>
    </row>
    <row r="10" spans="1:40" s="191" customFormat="1" ht="18" customHeight="1">
      <c r="A10" s="187"/>
      <c r="B10" s="187"/>
      <c r="C10" s="188"/>
      <c r="D10" s="34" t="s">
        <v>4523</v>
      </c>
      <c r="E10" s="24"/>
      <c r="F10" s="24"/>
      <c r="G10" s="24"/>
      <c r="H10" s="24"/>
      <c r="I10" s="24"/>
      <c r="J10" s="24"/>
      <c r="K10" s="24"/>
      <c r="L10" s="48"/>
      <c r="M10" s="24"/>
      <c r="N10" s="24"/>
      <c r="O10" s="49"/>
      <c r="P10" s="23"/>
      <c r="Q10" s="23"/>
      <c r="R10" s="28"/>
      <c r="S10" s="28"/>
      <c r="T10" s="31"/>
      <c r="U10" s="200"/>
      <c r="V10" s="200"/>
      <c r="W10" s="200"/>
      <c r="X10" s="200"/>
      <c r="Y10" s="200"/>
      <c r="AA10" s="199"/>
    </row>
    <row r="11" spans="1:40" s="191" customFormat="1" ht="18" customHeight="1">
      <c r="A11" s="187"/>
      <c r="B11" s="187"/>
      <c r="C11" s="188"/>
      <c r="D11" s="24"/>
      <c r="E11" s="53" t="s">
        <v>4546</v>
      </c>
      <c r="F11" s="54"/>
      <c r="G11" s="24"/>
      <c r="H11" s="24"/>
      <c r="I11" s="24"/>
      <c r="J11" s="24"/>
      <c r="K11" s="24"/>
      <c r="L11" s="24"/>
      <c r="M11" s="24"/>
      <c r="N11" s="24"/>
      <c r="O11" s="55"/>
      <c r="P11" s="23"/>
      <c r="Q11" s="26"/>
      <c r="R11" s="31"/>
      <c r="S11" s="31"/>
      <c r="T11" s="31"/>
      <c r="U11" s="200"/>
      <c r="V11" s="200"/>
      <c r="W11" s="200"/>
      <c r="X11" s="200"/>
      <c r="Y11" s="200"/>
      <c r="Z11" s="200"/>
      <c r="AA11" s="201"/>
      <c r="AB11" s="200"/>
    </row>
    <row r="12" spans="1:40" ht="22.25" customHeight="1">
      <c r="D12" s="10"/>
      <c r="E12" s="10"/>
      <c r="F12" s="43" t="s">
        <v>4285</v>
      </c>
      <c r="G12" s="43" t="s">
        <v>4278</v>
      </c>
      <c r="H12" s="10"/>
      <c r="I12" s="10"/>
      <c r="J12" s="10"/>
      <c r="K12" s="10"/>
      <c r="L12" s="10"/>
      <c r="M12" s="10"/>
      <c r="N12" s="10"/>
      <c r="O12" s="10"/>
      <c r="P12" s="23"/>
      <c r="Q12" s="23"/>
      <c r="R12" s="28"/>
      <c r="S12" s="28"/>
      <c r="T12" s="14"/>
      <c r="AM12" s="195"/>
      <c r="AN12" s="195"/>
    </row>
    <row r="13" spans="1:40" ht="3" customHeight="1">
      <c r="D13" s="10"/>
      <c r="E13" s="10"/>
      <c r="F13" s="43"/>
      <c r="G13" s="43"/>
      <c r="H13" s="10"/>
      <c r="I13" s="10"/>
      <c r="J13" s="10"/>
      <c r="K13" s="10"/>
      <c r="L13" s="10"/>
      <c r="M13" s="10"/>
      <c r="N13" s="10"/>
      <c r="O13" s="10"/>
      <c r="P13" s="23"/>
      <c r="Q13" s="23"/>
      <c r="R13" s="28"/>
      <c r="S13" s="28"/>
      <c r="T13" s="14"/>
      <c r="AM13" s="195"/>
      <c r="AN13" s="195"/>
    </row>
    <row r="14" spans="1:40" ht="22.25" customHeight="1">
      <c r="D14" s="10"/>
      <c r="E14" s="10" t="str">
        <f>$AB$1&amp;"年度（基準年度）における下記燃料の年間使用量をご入力ください。"</f>
        <v>0年度（基準年度）における下記燃料の年間使用量をご入力ください。</v>
      </c>
      <c r="F14" s="292"/>
      <c r="G14" s="10"/>
      <c r="H14" s="10"/>
      <c r="I14" s="10"/>
      <c r="J14" s="10"/>
      <c r="K14" s="10"/>
      <c r="L14" s="10"/>
      <c r="M14" s="10"/>
      <c r="N14" s="10"/>
      <c r="O14" s="10"/>
      <c r="P14" s="145"/>
      <c r="Q14" s="145"/>
      <c r="R14" s="274"/>
      <c r="S14" s="274"/>
      <c r="T14" s="77"/>
      <c r="U14" s="195"/>
      <c r="V14" s="195"/>
      <c r="W14" s="195"/>
      <c r="X14" s="195"/>
      <c r="Y14" s="195"/>
      <c r="Z14" s="195"/>
      <c r="AA14" s="196"/>
      <c r="AB14" s="195"/>
      <c r="AC14" s="195"/>
      <c r="AD14" s="195"/>
      <c r="AE14" s="195"/>
      <c r="AF14" s="195"/>
      <c r="AG14" s="195"/>
      <c r="AH14" s="195"/>
      <c r="AI14" s="291"/>
      <c r="AJ14" s="291"/>
      <c r="AK14" s="291"/>
      <c r="AL14" s="291"/>
      <c r="AM14" s="195"/>
      <c r="AN14" s="195"/>
    </row>
    <row r="15" spans="1:40" ht="15" customHeight="1" thickBot="1">
      <c r="D15" s="10"/>
      <c r="E15" s="10"/>
      <c r="F15" s="10"/>
      <c r="G15" s="10"/>
      <c r="H15" s="10"/>
      <c r="I15" s="10"/>
      <c r="J15" s="10"/>
      <c r="K15" s="10"/>
      <c r="L15" s="10"/>
      <c r="M15" s="10"/>
      <c r="N15" s="10"/>
      <c r="O15" s="10"/>
      <c r="P15" s="145"/>
      <c r="Q15" s="145"/>
      <c r="R15" s="274"/>
      <c r="S15" s="274"/>
      <c r="T15" s="77"/>
      <c r="U15" s="195"/>
      <c r="V15" s="195"/>
      <c r="W15" s="195"/>
      <c r="X15" s="195"/>
      <c r="Y15" s="195"/>
      <c r="Z15" s="195"/>
      <c r="AA15" s="196"/>
      <c r="AB15" s="195"/>
      <c r="AC15" s="195"/>
      <c r="AD15" s="195"/>
      <c r="AE15" s="195"/>
      <c r="AF15" s="195"/>
      <c r="AG15" s="195"/>
      <c r="AH15" s="195"/>
      <c r="AI15" s="291"/>
      <c r="AJ15" s="291"/>
      <c r="AK15" s="291"/>
      <c r="AL15" s="291"/>
      <c r="AM15" s="195"/>
      <c r="AN15" s="195"/>
    </row>
    <row r="16" spans="1:40" ht="24.75" customHeight="1">
      <c r="D16" s="10"/>
      <c r="E16" s="872" t="s">
        <v>4214</v>
      </c>
      <c r="F16" s="873"/>
      <c r="G16" s="873"/>
      <c r="H16" s="873"/>
      <c r="I16" s="873"/>
      <c r="J16" s="873"/>
      <c r="K16" s="873"/>
      <c r="L16" s="874"/>
      <c r="M16" s="823" t="s">
        <v>89</v>
      </c>
      <c r="N16" s="825" t="s">
        <v>36</v>
      </c>
      <c r="O16" s="820" t="s">
        <v>74</v>
      </c>
      <c r="P16" s="820" t="s">
        <v>4344</v>
      </c>
      <c r="Q16" s="822" t="s">
        <v>4225</v>
      </c>
      <c r="R16" s="818" t="s">
        <v>4496</v>
      </c>
      <c r="S16" s="274"/>
      <c r="T16" s="23"/>
      <c r="U16" s="197"/>
      <c r="V16" s="197"/>
      <c r="AA16" s="191"/>
      <c r="AD16" s="199"/>
      <c r="AI16" s="191"/>
      <c r="AJ16" s="191"/>
      <c r="AK16" s="191"/>
      <c r="AL16" s="195"/>
      <c r="AM16" s="195"/>
      <c r="AN16" s="195"/>
    </row>
    <row r="17" spans="1:40" ht="18" customHeight="1">
      <c r="D17" s="10"/>
      <c r="E17" s="875"/>
      <c r="F17" s="876"/>
      <c r="G17" s="876"/>
      <c r="H17" s="876"/>
      <c r="I17" s="876"/>
      <c r="J17" s="876"/>
      <c r="K17" s="876"/>
      <c r="L17" s="877"/>
      <c r="M17" s="824"/>
      <c r="N17" s="821"/>
      <c r="O17" s="821"/>
      <c r="P17" s="821"/>
      <c r="Q17" s="821"/>
      <c r="R17" s="819"/>
      <c r="S17" s="274"/>
      <c r="T17" s="23"/>
      <c r="U17" s="197"/>
      <c r="V17" s="197"/>
      <c r="AA17" s="191"/>
      <c r="AD17" s="199"/>
      <c r="AI17" s="191"/>
      <c r="AJ17" s="191"/>
      <c r="AK17" s="191"/>
      <c r="AL17" s="195"/>
      <c r="AM17" s="195"/>
      <c r="AN17" s="195"/>
    </row>
    <row r="18" spans="1:40" ht="18" customHeight="1">
      <c r="D18" s="10"/>
      <c r="E18" s="887" t="s">
        <v>4430</v>
      </c>
      <c r="F18" s="888"/>
      <c r="G18" s="888"/>
      <c r="H18" s="888"/>
      <c r="I18" s="888"/>
      <c r="J18" s="888"/>
      <c r="K18" s="888"/>
      <c r="L18" s="889"/>
      <c r="M18" s="675"/>
      <c r="N18" s="714" t="s">
        <v>4113</v>
      </c>
      <c r="O18" s="722"/>
      <c r="P18" s="276"/>
      <c r="Q18" s="277"/>
      <c r="R18" s="278"/>
      <c r="S18" s="274"/>
      <c r="T18" s="23"/>
      <c r="U18" s="197"/>
      <c r="V18" s="197"/>
      <c r="AA18" s="191"/>
      <c r="AD18" s="199"/>
      <c r="AI18" s="191"/>
      <c r="AJ18" s="191"/>
      <c r="AK18" s="191"/>
      <c r="AL18" s="195"/>
      <c r="AM18" s="195"/>
      <c r="AN18" s="195"/>
    </row>
    <row r="19" spans="1:40" ht="18" customHeight="1">
      <c r="D19" s="10"/>
      <c r="E19" s="890" t="s">
        <v>40</v>
      </c>
      <c r="F19" s="891"/>
      <c r="G19" s="891"/>
      <c r="H19" s="891"/>
      <c r="I19" s="891"/>
      <c r="J19" s="891"/>
      <c r="K19" s="891"/>
      <c r="L19" s="892"/>
      <c r="M19" s="676"/>
      <c r="N19" s="715" t="s">
        <v>4113</v>
      </c>
      <c r="O19" s="279"/>
      <c r="P19" s="279"/>
      <c r="Q19" s="277"/>
      <c r="R19" s="278"/>
      <c r="S19" s="274"/>
      <c r="T19" s="23"/>
      <c r="U19" s="197"/>
      <c r="V19" s="197"/>
      <c r="AA19" s="191"/>
      <c r="AD19" s="199"/>
      <c r="AI19" s="191"/>
      <c r="AJ19" s="191"/>
      <c r="AK19" s="191"/>
      <c r="AL19" s="195"/>
      <c r="AM19" s="195"/>
      <c r="AN19" s="195"/>
    </row>
    <row r="20" spans="1:40" ht="18" customHeight="1">
      <c r="D20" s="10"/>
      <c r="E20" s="890" t="s">
        <v>4431</v>
      </c>
      <c r="F20" s="891"/>
      <c r="G20" s="891"/>
      <c r="H20" s="891"/>
      <c r="I20" s="891"/>
      <c r="J20" s="891"/>
      <c r="K20" s="891"/>
      <c r="L20" s="892"/>
      <c r="M20" s="676"/>
      <c r="N20" s="715" t="s">
        <v>4112</v>
      </c>
      <c r="O20" s="279"/>
      <c r="P20" s="279"/>
      <c r="Q20" s="277"/>
      <c r="R20" s="278"/>
      <c r="S20" s="274"/>
      <c r="T20" s="23"/>
      <c r="U20" s="197"/>
      <c r="V20" s="197"/>
      <c r="AA20" s="191"/>
      <c r="AD20" s="199"/>
      <c r="AI20" s="191"/>
      <c r="AJ20" s="191"/>
      <c r="AK20" s="191"/>
      <c r="AL20" s="195"/>
      <c r="AM20" s="195"/>
      <c r="AN20" s="195"/>
    </row>
    <row r="21" spans="1:40" ht="18" customHeight="1">
      <c r="D21" s="10"/>
      <c r="E21" s="890" t="s">
        <v>4432</v>
      </c>
      <c r="F21" s="891"/>
      <c r="G21" s="891"/>
      <c r="H21" s="891"/>
      <c r="I21" s="891"/>
      <c r="J21" s="891"/>
      <c r="K21" s="891"/>
      <c r="L21" s="892"/>
      <c r="M21" s="676"/>
      <c r="N21" s="715" t="s">
        <v>4112</v>
      </c>
      <c r="O21" s="279"/>
      <c r="P21" s="279"/>
      <c r="Q21" s="277"/>
      <c r="R21" s="278"/>
      <c r="S21" s="274"/>
      <c r="T21" s="23"/>
      <c r="U21" s="197"/>
      <c r="V21" s="197"/>
      <c r="AA21" s="191"/>
      <c r="AD21" s="199"/>
      <c r="AI21" s="191"/>
      <c r="AJ21" s="191"/>
      <c r="AK21" s="191"/>
      <c r="AL21" s="195"/>
      <c r="AM21" s="195"/>
      <c r="AN21" s="195"/>
    </row>
    <row r="22" spans="1:40" ht="18" customHeight="1">
      <c r="D22" s="10"/>
      <c r="E22" s="890" t="s">
        <v>4433</v>
      </c>
      <c r="F22" s="891"/>
      <c r="G22" s="891"/>
      <c r="H22" s="891"/>
      <c r="I22" s="891"/>
      <c r="J22" s="891"/>
      <c r="K22" s="891"/>
      <c r="L22" s="892"/>
      <c r="M22" s="676"/>
      <c r="N22" s="715" t="s">
        <v>4535</v>
      </c>
      <c r="O22" s="279"/>
      <c r="P22" s="279"/>
      <c r="Q22" s="277"/>
      <c r="R22" s="278"/>
      <c r="S22" s="274"/>
      <c r="T22" s="23"/>
      <c r="U22" s="197"/>
      <c r="V22" s="197"/>
      <c r="AA22" s="191"/>
      <c r="AD22" s="199"/>
      <c r="AI22" s="191"/>
      <c r="AJ22" s="191"/>
      <c r="AK22" s="191"/>
      <c r="AL22" s="195"/>
      <c r="AM22" s="195"/>
      <c r="AN22" s="195"/>
    </row>
    <row r="23" spans="1:40" ht="18" customHeight="1">
      <c r="D23" s="10"/>
      <c r="E23" s="890" t="s">
        <v>4413</v>
      </c>
      <c r="F23" s="891"/>
      <c r="G23" s="891"/>
      <c r="H23" s="891"/>
      <c r="I23" s="891"/>
      <c r="J23" s="891"/>
      <c r="K23" s="891"/>
      <c r="L23" s="892"/>
      <c r="M23" s="676"/>
      <c r="N23" s="715" t="s">
        <v>4112</v>
      </c>
      <c r="O23" s="279"/>
      <c r="P23" s="279"/>
      <c r="Q23" s="277"/>
      <c r="R23" s="278"/>
      <c r="S23" s="274"/>
      <c r="T23" s="23"/>
      <c r="U23" s="197"/>
      <c r="AA23" s="191"/>
      <c r="AC23" s="199"/>
      <c r="AG23" s="195"/>
      <c r="AH23" s="195"/>
      <c r="AI23" s="195"/>
      <c r="AJ23" s="195"/>
      <c r="AK23" s="195"/>
      <c r="AL23" s="195"/>
      <c r="AM23" s="195"/>
      <c r="AN23" s="195"/>
    </row>
    <row r="24" spans="1:40" ht="18" customHeight="1">
      <c r="D24" s="10"/>
      <c r="E24" s="890" t="s">
        <v>4512</v>
      </c>
      <c r="F24" s="891"/>
      <c r="G24" s="891"/>
      <c r="H24" s="891"/>
      <c r="I24" s="891"/>
      <c r="J24" s="891"/>
      <c r="K24" s="891"/>
      <c r="L24" s="892"/>
      <c r="M24" s="676"/>
      <c r="N24" s="715" t="s">
        <v>4113</v>
      </c>
      <c r="O24" s="279"/>
      <c r="P24" s="279"/>
      <c r="Q24" s="277"/>
      <c r="R24" s="278"/>
      <c r="S24" s="274"/>
      <c r="T24" s="23"/>
      <c r="U24" s="197"/>
      <c r="V24" s="197"/>
      <c r="AA24" s="191"/>
      <c r="AD24" s="199"/>
      <c r="AH24" s="195"/>
      <c r="AI24" s="195"/>
      <c r="AJ24" s="195"/>
      <c r="AK24" s="195"/>
      <c r="AL24" s="195"/>
      <c r="AM24" s="195"/>
      <c r="AN24" s="195"/>
    </row>
    <row r="25" spans="1:40" ht="18" customHeight="1">
      <c r="D25" s="10"/>
      <c r="E25" s="890" t="s">
        <v>4513</v>
      </c>
      <c r="F25" s="891"/>
      <c r="G25" s="891"/>
      <c r="H25" s="891"/>
      <c r="I25" s="891"/>
      <c r="J25" s="891"/>
      <c r="K25" s="891"/>
      <c r="L25" s="892"/>
      <c r="M25" s="676"/>
      <c r="N25" s="715" t="s">
        <v>4113</v>
      </c>
      <c r="O25" s="279"/>
      <c r="P25" s="279"/>
      <c r="Q25" s="277"/>
      <c r="R25" s="278"/>
      <c r="S25" s="274"/>
      <c r="T25" s="23"/>
      <c r="U25" s="197"/>
      <c r="V25" s="197"/>
      <c r="AA25" s="191"/>
      <c r="AD25" s="199"/>
      <c r="AH25" s="195"/>
      <c r="AI25" s="195"/>
      <c r="AJ25" s="195"/>
      <c r="AK25" s="195"/>
      <c r="AL25" s="195"/>
      <c r="AM25" s="195"/>
      <c r="AN25" s="195"/>
    </row>
    <row r="26" spans="1:40" ht="18" customHeight="1" thickBot="1">
      <c r="D26" s="10"/>
      <c r="E26" s="893" t="s">
        <v>4406</v>
      </c>
      <c r="F26" s="894"/>
      <c r="G26" s="885"/>
      <c r="H26" s="885"/>
      <c r="I26" s="885"/>
      <c r="J26" s="885"/>
      <c r="K26" s="885"/>
      <c r="L26" s="886"/>
      <c r="M26" s="677"/>
      <c r="N26" s="679"/>
      <c r="O26" s="680"/>
      <c r="P26" s="681"/>
      <c r="Q26" s="152"/>
      <c r="R26" s="139"/>
      <c r="S26" s="274"/>
      <c r="T26" s="24"/>
      <c r="AK26" s="195"/>
      <c r="AL26" s="195"/>
      <c r="AM26" s="195"/>
      <c r="AN26" s="195"/>
    </row>
    <row r="27" spans="1:40" s="191" customFormat="1" ht="18" customHeight="1">
      <c r="A27" s="187"/>
      <c r="B27" s="187"/>
      <c r="C27" s="188"/>
      <c r="D27" s="32"/>
      <c r="E27" s="14"/>
      <c r="F27" s="14"/>
      <c r="G27" s="14"/>
      <c r="H27" s="14"/>
      <c r="I27" s="37"/>
      <c r="J27" s="39"/>
      <c r="K27" s="14"/>
      <c r="L27" s="14"/>
      <c r="M27" s="14"/>
      <c r="N27" s="14"/>
      <c r="O27" s="41"/>
      <c r="P27" s="14"/>
      <c r="Q27" s="14"/>
      <c r="R27" s="28"/>
      <c r="S27" s="28"/>
      <c r="T27" s="14"/>
      <c r="Z27" s="200"/>
      <c r="AA27" s="201"/>
      <c r="AB27" s="200"/>
      <c r="AC27" s="200"/>
      <c r="AD27" s="200"/>
      <c r="AE27" s="200"/>
    </row>
    <row r="28" spans="1:40" s="191" customFormat="1" ht="18" customHeight="1">
      <c r="A28" s="187"/>
      <c r="B28" s="187"/>
      <c r="C28" s="188"/>
      <c r="D28" s="32"/>
      <c r="E28" s="14"/>
      <c r="F28" s="14"/>
      <c r="G28" s="14"/>
      <c r="H28" s="14"/>
      <c r="I28" s="37"/>
      <c r="J28" s="39"/>
      <c r="K28" s="14"/>
      <c r="L28" s="14"/>
      <c r="M28" s="14"/>
      <c r="N28" s="14"/>
      <c r="O28" s="14"/>
      <c r="P28" s="14"/>
      <c r="Q28" s="14"/>
      <c r="R28" s="28"/>
      <c r="S28" s="28"/>
      <c r="T28" s="14"/>
      <c r="Z28" s="200"/>
      <c r="AA28" s="201"/>
      <c r="AB28" s="200"/>
      <c r="AC28" s="200"/>
      <c r="AD28" s="200"/>
      <c r="AE28" s="200"/>
    </row>
    <row r="29" spans="1:40" s="191" customFormat="1" ht="18" customHeight="1">
      <c r="A29" s="187"/>
      <c r="B29" s="187"/>
      <c r="C29" s="188"/>
      <c r="D29" s="34" t="s">
        <v>4522</v>
      </c>
      <c r="E29" s="14"/>
      <c r="F29" s="14"/>
      <c r="G29" s="14"/>
      <c r="H29" s="14"/>
      <c r="I29" s="37"/>
      <c r="J29" s="39"/>
      <c r="K29" s="14"/>
      <c r="L29" s="14"/>
      <c r="M29" s="14"/>
      <c r="N29" s="14"/>
      <c r="O29" s="14"/>
      <c r="P29" s="14"/>
      <c r="Q29" s="14"/>
      <c r="R29" s="28"/>
      <c r="S29" s="28"/>
      <c r="T29" s="14"/>
      <c r="Z29" s="200"/>
      <c r="AA29" s="201"/>
      <c r="AB29" s="200"/>
      <c r="AC29" s="200"/>
      <c r="AD29" s="200"/>
      <c r="AE29" s="200"/>
    </row>
    <row r="30" spans="1:40" s="191" customFormat="1" ht="18" customHeight="1">
      <c r="A30" s="187"/>
      <c r="B30" s="187"/>
      <c r="C30" s="188"/>
      <c r="D30" s="32"/>
      <c r="E30" s="14"/>
      <c r="F30" s="14"/>
      <c r="G30" s="14"/>
      <c r="H30" s="14"/>
      <c r="I30" s="37"/>
      <c r="J30" s="39"/>
      <c r="K30" s="14"/>
      <c r="L30" s="14"/>
      <c r="M30" s="14"/>
      <c r="N30" s="14"/>
      <c r="O30" s="14"/>
      <c r="P30" s="14"/>
      <c r="Q30" s="14"/>
      <c r="R30" s="28"/>
      <c r="S30" s="28"/>
      <c r="T30" s="14"/>
      <c r="Z30" s="200"/>
      <c r="AA30" s="201"/>
      <c r="AB30" s="200"/>
      <c r="AC30" s="200"/>
      <c r="AD30" s="200"/>
      <c r="AE30" s="200"/>
    </row>
    <row r="31" spans="1:40" s="191" customFormat="1" ht="18" customHeight="1">
      <c r="A31" s="187"/>
      <c r="B31" s="187"/>
      <c r="C31" s="188"/>
      <c r="D31" s="26"/>
      <c r="E31" s="42" t="s">
        <v>4515</v>
      </c>
      <c r="F31" s="24"/>
      <c r="G31" s="24"/>
      <c r="H31" s="24"/>
      <c r="I31" s="24"/>
      <c r="J31" s="47"/>
      <c r="K31" s="49"/>
      <c r="L31" s="27"/>
      <c r="M31" s="27"/>
      <c r="N31" s="27"/>
      <c r="O31" s="27"/>
      <c r="P31" s="27"/>
      <c r="Q31" s="26"/>
      <c r="R31" s="26"/>
      <c r="S31" s="26"/>
      <c r="T31" s="26"/>
      <c r="U31" s="200"/>
      <c r="Y31" s="210"/>
      <c r="AA31" s="199"/>
    </row>
    <row r="32" spans="1:40" s="191" customFormat="1" ht="18" customHeight="1">
      <c r="A32" s="187"/>
      <c r="B32" s="187"/>
      <c r="C32" s="188"/>
      <c r="D32" s="26"/>
      <c r="E32" s="27"/>
      <c r="F32" s="43" t="s">
        <v>4285</v>
      </c>
      <c r="G32" s="43" t="s">
        <v>4278</v>
      </c>
      <c r="H32" s="24"/>
      <c r="I32" s="24"/>
      <c r="J32" s="47"/>
      <c r="K32" s="49"/>
      <c r="L32" s="27"/>
      <c r="M32" s="27"/>
      <c r="N32" s="27"/>
      <c r="O32" s="293"/>
      <c r="P32" s="27"/>
      <c r="Q32" s="26"/>
      <c r="R32" s="26"/>
      <c r="S32" s="26"/>
      <c r="T32" s="26"/>
      <c r="U32" s="200"/>
      <c r="Y32" s="210"/>
      <c r="AA32" s="199"/>
    </row>
    <row r="33" spans="1:43" s="191" customFormat="1" ht="3" customHeight="1">
      <c r="A33" s="187"/>
      <c r="B33" s="187"/>
      <c r="C33" s="188"/>
      <c r="D33" s="26"/>
      <c r="E33" s="27"/>
      <c r="F33" s="43"/>
      <c r="G33" s="43"/>
      <c r="H33" s="24"/>
      <c r="I33" s="24"/>
      <c r="J33" s="47"/>
      <c r="K33" s="49"/>
      <c r="L33" s="27"/>
      <c r="M33" s="27"/>
      <c r="N33" s="27"/>
      <c r="O33" s="27"/>
      <c r="P33" s="27"/>
      <c r="Q33" s="26"/>
      <c r="R33" s="26"/>
      <c r="S33" s="26"/>
      <c r="T33" s="26"/>
      <c r="U33" s="200"/>
      <c r="Y33" s="210"/>
      <c r="AA33" s="199"/>
    </row>
    <row r="34" spans="1:43" s="191" customFormat="1" ht="18" customHeight="1">
      <c r="A34" s="187"/>
      <c r="B34" s="187"/>
      <c r="C34" s="188"/>
      <c r="D34" s="24"/>
      <c r="E34" s="24"/>
      <c r="F34" s="24"/>
      <c r="G34" s="24"/>
      <c r="H34" s="24"/>
      <c r="I34" s="24"/>
      <c r="J34" s="24"/>
      <c r="K34" s="24"/>
      <c r="L34" s="24"/>
      <c r="M34" s="24"/>
      <c r="N34" s="24"/>
      <c r="O34" s="293"/>
      <c r="P34" s="24"/>
      <c r="Q34" s="24"/>
      <c r="R34" s="23"/>
      <c r="S34" s="23"/>
      <c r="T34" s="24"/>
      <c r="Z34" s="200"/>
      <c r="AA34" s="201"/>
      <c r="AB34" s="200"/>
      <c r="AC34" s="200"/>
      <c r="AD34" s="200"/>
      <c r="AE34" s="200"/>
    </row>
    <row r="35" spans="1:43" s="191" customFormat="1" ht="18" customHeight="1">
      <c r="A35" s="187"/>
      <c r="B35" s="187"/>
      <c r="C35" s="188"/>
      <c r="D35" s="24"/>
      <c r="E35" s="42" t="s">
        <v>4514</v>
      </c>
      <c r="F35" s="24"/>
      <c r="G35" s="24"/>
      <c r="H35" s="24"/>
      <c r="I35" s="24"/>
      <c r="J35" s="24"/>
      <c r="K35" s="24"/>
      <c r="L35" s="24"/>
      <c r="M35" s="24"/>
      <c r="N35" s="24"/>
      <c r="O35" s="24"/>
      <c r="P35" s="24"/>
      <c r="Q35" s="24"/>
      <c r="R35" s="23"/>
      <c r="S35" s="23"/>
      <c r="T35" s="24"/>
      <c r="Z35" s="200"/>
      <c r="AA35" s="201"/>
      <c r="AB35" s="200"/>
      <c r="AC35" s="200"/>
      <c r="AD35" s="200"/>
      <c r="AE35" s="200"/>
    </row>
    <row r="36" spans="1:43" s="191" customFormat="1" ht="18" customHeight="1">
      <c r="A36" s="187"/>
      <c r="B36" s="187"/>
      <c r="C36" s="188"/>
      <c r="D36" s="24"/>
      <c r="E36" s="23"/>
      <c r="F36" s="43" t="s">
        <v>4285</v>
      </c>
      <c r="G36" s="43" t="s">
        <v>4278</v>
      </c>
      <c r="H36" s="24"/>
      <c r="I36" s="24"/>
      <c r="J36" s="24"/>
      <c r="K36" s="24"/>
      <c r="L36" s="24"/>
      <c r="M36" s="24"/>
      <c r="N36" s="24"/>
      <c r="O36" s="24"/>
      <c r="P36" s="24"/>
      <c r="Q36" s="24"/>
      <c r="R36" s="23"/>
      <c r="S36" s="23"/>
      <c r="T36" s="24"/>
      <c r="Z36" s="200"/>
      <c r="AA36" s="227" t="str">
        <f>IF(OR(C32=2,C36=2)=TRUE,"検索ツール画像B","検索ツール画像A")</f>
        <v>検索ツール画像A</v>
      </c>
      <c r="AB36" s="200"/>
      <c r="AC36" s="200"/>
      <c r="AD36" s="200"/>
      <c r="AE36" s="200"/>
    </row>
    <row r="37" spans="1:43" s="191" customFormat="1" ht="3" customHeight="1">
      <c r="A37" s="187"/>
      <c r="B37" s="187"/>
      <c r="C37" s="188"/>
      <c r="D37" s="24"/>
      <c r="E37" s="23"/>
      <c r="F37" s="43"/>
      <c r="G37" s="43"/>
      <c r="H37" s="24"/>
      <c r="I37" s="24"/>
      <c r="J37" s="24"/>
      <c r="K37" s="24"/>
      <c r="L37" s="24"/>
      <c r="M37" s="24"/>
      <c r="N37" s="24"/>
      <c r="O37" s="24"/>
      <c r="P37" s="24"/>
      <c r="Q37" s="24"/>
      <c r="R37" s="23"/>
      <c r="S37" s="23"/>
      <c r="T37" s="24"/>
      <c r="Z37" s="200"/>
      <c r="AA37" s="201"/>
      <c r="AB37" s="200"/>
      <c r="AC37" s="200"/>
      <c r="AD37" s="200"/>
      <c r="AE37" s="200"/>
    </row>
    <row r="38" spans="1:43" s="191" customFormat="1" ht="18" customHeight="1">
      <c r="A38" s="187"/>
      <c r="B38" s="187"/>
      <c r="C38" s="284"/>
      <c r="D38" s="24"/>
      <c r="E38" s="24"/>
      <c r="F38" s="24" t="str">
        <f xml:space="preserve"> $AB$1 &amp;"年度（基準年度）における電気事業者との契約メニュー、買電量（車両の充電に使用した電力量）、排出係数をご入力ください。"</f>
        <v>0年度（基準年度）における電気事業者との契約メニュー、買電量（車両の充電に使用した電力量）、排出係数をご入力ください。</v>
      </c>
      <c r="G38" s="24"/>
      <c r="H38" s="24"/>
      <c r="I38" s="24"/>
      <c r="J38" s="24"/>
      <c r="K38" s="24"/>
      <c r="L38" s="24"/>
      <c r="M38" s="24"/>
      <c r="N38" s="24"/>
      <c r="O38" s="24"/>
      <c r="P38" s="24"/>
      <c r="Q38" s="24"/>
      <c r="R38" s="23"/>
      <c r="S38" s="23"/>
      <c r="T38" s="24"/>
      <c r="Z38" s="286"/>
      <c r="AA38" s="287"/>
      <c r="AB38" s="286"/>
      <c r="AC38" s="286"/>
      <c r="AD38" s="286"/>
      <c r="AE38" s="286"/>
    </row>
    <row r="39" spans="1:43" s="191" customFormat="1" ht="18" customHeight="1">
      <c r="A39" s="187"/>
      <c r="B39" s="187"/>
      <c r="C39" s="284"/>
      <c r="D39" s="24"/>
      <c r="E39" s="24"/>
      <c r="F39" s="24" t="str">
        <f>$AB$1&amp;"年度（基準年度）において、複数の契約や、年度途中の契約の変更があった場合には、全ての情報を入力してください。"</f>
        <v>0年度（基準年度）において、複数の契約や、年度途中の契約の変更があった場合には、全ての情報を入力してください。</v>
      </c>
      <c r="G39" s="24"/>
      <c r="H39" s="24"/>
      <c r="I39" s="24"/>
      <c r="J39" s="24"/>
      <c r="K39" s="24"/>
      <c r="L39" s="24"/>
      <c r="M39" s="24"/>
      <c r="N39" s="24"/>
      <c r="O39" s="24"/>
      <c r="P39" s="24"/>
      <c r="Q39" s="24"/>
      <c r="R39" s="23"/>
      <c r="S39" s="23"/>
      <c r="T39" s="24"/>
      <c r="Z39" s="286"/>
      <c r="AA39" s="287"/>
      <c r="AB39" s="286"/>
      <c r="AC39" s="286"/>
      <c r="AD39" s="286"/>
      <c r="AE39" s="286"/>
    </row>
    <row r="40" spans="1:43" s="191" customFormat="1" ht="18" customHeight="1">
      <c r="A40" s="187"/>
      <c r="B40" s="187"/>
      <c r="C40" s="284"/>
      <c r="D40" s="24"/>
      <c r="E40" s="24"/>
      <c r="F40" s="38" t="s">
        <v>4376</v>
      </c>
      <c r="G40" s="24"/>
      <c r="H40" s="24"/>
      <c r="I40" s="24"/>
      <c r="J40" s="24"/>
      <c r="K40" s="24"/>
      <c r="L40" s="24"/>
      <c r="M40" s="24"/>
      <c r="N40" s="24"/>
      <c r="O40" s="24"/>
      <c r="P40" s="24"/>
      <c r="Q40" s="24"/>
      <c r="R40" s="23"/>
      <c r="S40" s="23"/>
      <c r="T40" s="24"/>
      <c r="Z40" s="286"/>
      <c r="AA40" s="287"/>
      <c r="AB40" s="286"/>
      <c r="AC40" s="286"/>
      <c r="AD40" s="286"/>
      <c r="AE40" s="286"/>
    </row>
    <row r="41" spans="1:43" s="191" customFormat="1" ht="18" customHeight="1">
      <c r="A41" s="187"/>
      <c r="B41" s="187"/>
      <c r="C41" s="284"/>
      <c r="D41" s="24"/>
      <c r="E41" s="24"/>
      <c r="F41" s="904" t="s">
        <v>4528</v>
      </c>
      <c r="G41" s="904"/>
      <c r="H41" s="904"/>
      <c r="I41" s="904"/>
      <c r="J41" s="904"/>
      <c r="K41" s="904"/>
      <c r="L41" s="904"/>
      <c r="M41" s="904"/>
      <c r="N41" s="24"/>
      <c r="O41" s="24"/>
      <c r="P41" s="899"/>
      <c r="Q41" s="899"/>
      <c r="R41" s="23"/>
      <c r="S41" s="23"/>
      <c r="T41" s="24"/>
      <c r="Z41" s="286"/>
      <c r="AA41" s="287"/>
      <c r="AB41" s="286"/>
      <c r="AC41" s="286"/>
      <c r="AD41" s="286"/>
      <c r="AE41" s="286"/>
    </row>
    <row r="42" spans="1:43" s="191" customFormat="1" ht="18" customHeight="1" thickBot="1">
      <c r="A42" s="187"/>
      <c r="B42" s="187"/>
      <c r="C42" s="284"/>
      <c r="D42" s="24"/>
      <c r="E42" s="24"/>
      <c r="F42" s="154" t="s">
        <v>4227</v>
      </c>
      <c r="G42" s="24"/>
      <c r="H42" s="24"/>
      <c r="I42" s="24"/>
      <c r="J42" s="24"/>
      <c r="K42" s="24"/>
      <c r="L42" s="24"/>
      <c r="M42" s="24"/>
      <c r="N42" s="24"/>
      <c r="O42" s="24"/>
      <c r="P42" s="24"/>
      <c r="Q42" s="24"/>
      <c r="R42" s="23"/>
      <c r="S42" s="23"/>
      <c r="T42" s="24"/>
      <c r="Z42" s="286"/>
      <c r="AA42" s="287"/>
      <c r="AB42" s="286"/>
      <c r="AC42" s="286"/>
      <c r="AD42" s="286"/>
      <c r="AE42" s="286"/>
    </row>
    <row r="43" spans="1:43" ht="33" customHeight="1">
      <c r="D43" s="10"/>
      <c r="E43" s="23"/>
      <c r="F43" s="45" t="s">
        <v>4372</v>
      </c>
      <c r="G43" s="46" t="s">
        <v>4529</v>
      </c>
      <c r="H43" s="46"/>
      <c r="I43" s="294" t="s">
        <v>4541</v>
      </c>
      <c r="J43" s="280"/>
      <c r="K43"/>
      <c r="L43"/>
      <c r="M43" s="24"/>
      <c r="N43" s="47"/>
      <c r="O43" s="47"/>
      <c r="P43" s="10"/>
      <c r="Q43" s="10"/>
      <c r="R43" s="10"/>
      <c r="S43" s="10"/>
      <c r="T43" s="10"/>
      <c r="U43" s="212"/>
      <c r="V43" s="197"/>
      <c r="AA43" s="191"/>
      <c r="AD43" s="199"/>
      <c r="AI43" s="191"/>
      <c r="AJ43" s="191"/>
      <c r="AK43" s="191"/>
      <c r="AO43" s="197"/>
      <c r="AP43" s="197"/>
      <c r="AQ43" s="197"/>
    </row>
    <row r="44" spans="1:43" ht="18" customHeight="1">
      <c r="D44" s="10"/>
      <c r="E44" s="23"/>
      <c r="F44" s="137"/>
      <c r="G44" s="897"/>
      <c r="H44" s="898"/>
      <c r="I44" s="883"/>
      <c r="J44" s="884"/>
      <c r="K44"/>
      <c r="L44"/>
      <c r="M44" s="48"/>
      <c r="N44" s="10"/>
      <c r="O44" s="47"/>
      <c r="P44" s="10"/>
      <c r="Q44" s="47"/>
      <c r="R44" s="47"/>
      <c r="S44" s="49"/>
      <c r="T44" s="26"/>
      <c r="U44" s="200"/>
      <c r="V44" s="197"/>
      <c r="AA44" s="191"/>
      <c r="AD44" s="199"/>
      <c r="AI44" s="191"/>
      <c r="AJ44" s="191"/>
      <c r="AK44" s="191"/>
      <c r="AM44" s="195"/>
      <c r="AN44" s="195"/>
    </row>
    <row r="45" spans="1:43" ht="18" customHeight="1">
      <c r="D45" s="10"/>
      <c r="E45" s="23"/>
      <c r="F45" s="137"/>
      <c r="G45" s="897"/>
      <c r="H45" s="898"/>
      <c r="I45" s="883"/>
      <c r="J45" s="884"/>
      <c r="K45"/>
      <c r="L45"/>
      <c r="M45" s="10"/>
      <c r="N45" s="10"/>
      <c r="O45" s="47"/>
      <c r="P45" s="50"/>
      <c r="Q45" s="51"/>
      <c r="R45" s="47"/>
      <c r="S45" s="49"/>
      <c r="T45" s="26"/>
      <c r="U45" s="200"/>
      <c r="V45" s="197"/>
      <c r="AA45" s="191"/>
      <c r="AD45" s="199"/>
      <c r="AI45" s="191"/>
      <c r="AJ45" s="191"/>
      <c r="AK45" s="191"/>
      <c r="AM45" s="195"/>
      <c r="AN45" s="195"/>
    </row>
    <row r="46" spans="1:43" ht="18" customHeight="1">
      <c r="D46" s="10"/>
      <c r="E46" s="23"/>
      <c r="F46" s="137"/>
      <c r="G46" s="897"/>
      <c r="H46" s="898"/>
      <c r="I46" s="883"/>
      <c r="J46" s="884"/>
      <c r="K46"/>
      <c r="L46"/>
      <c r="M46" s="10"/>
      <c r="N46" s="47"/>
      <c r="O46" s="47"/>
      <c r="P46" s="50"/>
      <c r="Q46" s="47"/>
      <c r="R46" s="47"/>
      <c r="S46" s="49"/>
      <c r="T46" s="26"/>
      <c r="U46" s="200"/>
      <c r="V46" s="197"/>
      <c r="AA46" s="191"/>
      <c r="AD46" s="199"/>
      <c r="AI46" s="191"/>
      <c r="AJ46" s="191"/>
      <c r="AK46" s="191"/>
      <c r="AM46" s="195"/>
      <c r="AN46" s="195"/>
    </row>
    <row r="47" spans="1:43" ht="18" customHeight="1">
      <c r="D47" s="10"/>
      <c r="E47" s="23"/>
      <c r="F47" s="137"/>
      <c r="G47" s="897"/>
      <c r="H47" s="898"/>
      <c r="I47" s="883"/>
      <c r="J47" s="884"/>
      <c r="K47"/>
      <c r="L47"/>
      <c r="M47" s="10"/>
      <c r="N47" s="47"/>
      <c r="O47" s="47"/>
      <c r="P47" s="50"/>
      <c r="Q47" s="47"/>
      <c r="R47" s="47"/>
      <c r="S47" s="49"/>
      <c r="T47" s="26"/>
      <c r="U47" s="200"/>
      <c r="V47" s="197"/>
      <c r="AA47" s="191"/>
      <c r="AD47" s="199"/>
      <c r="AI47" s="191"/>
      <c r="AJ47" s="191"/>
      <c r="AK47" s="191"/>
      <c r="AM47" s="195"/>
      <c r="AN47" s="195"/>
    </row>
    <row r="48" spans="1:43" ht="18" customHeight="1" thickBot="1">
      <c r="D48" s="10"/>
      <c r="E48" s="23"/>
      <c r="F48" s="138"/>
      <c r="G48" s="895"/>
      <c r="H48" s="896"/>
      <c r="I48" s="900"/>
      <c r="J48" s="901"/>
      <c r="K48"/>
      <c r="L48"/>
      <c r="M48" s="10"/>
      <c r="N48" s="47"/>
      <c r="O48" s="47"/>
      <c r="P48" s="50"/>
      <c r="Q48" s="47"/>
      <c r="R48" s="47"/>
      <c r="S48" s="49"/>
      <c r="T48" s="26"/>
      <c r="U48" s="200"/>
      <c r="V48" s="197"/>
      <c r="AA48" s="191"/>
      <c r="AD48" s="199"/>
      <c r="AI48" s="191"/>
      <c r="AJ48" s="191"/>
      <c r="AK48" s="191"/>
      <c r="AM48" s="195"/>
      <c r="AN48" s="195"/>
    </row>
    <row r="49" spans="1:40" ht="150" customHeight="1">
      <c r="D49" s="10"/>
      <c r="E49" s="10"/>
      <c r="F49" s="10"/>
      <c r="G49" s="10"/>
      <c r="H49" s="10"/>
      <c r="I49" s="10"/>
      <c r="J49" s="10"/>
      <c r="K49" s="10"/>
      <c r="L49" s="10"/>
      <c r="M49" s="50"/>
      <c r="N49" s="47"/>
      <c r="O49" s="47"/>
      <c r="P49" s="49"/>
      <c r="Q49" s="26"/>
      <c r="R49" s="26"/>
      <c r="S49" s="23"/>
      <c r="T49" s="24"/>
      <c r="AJ49" s="195"/>
      <c r="AK49" s="195"/>
      <c r="AL49" s="195"/>
      <c r="AM49" s="195"/>
      <c r="AN49" s="195"/>
    </row>
    <row r="50" spans="1:40" ht="18" customHeight="1">
      <c r="D50" s="10"/>
      <c r="E50" s="42" t="s">
        <v>4547</v>
      </c>
      <c r="F50" s="10"/>
      <c r="G50" s="10"/>
      <c r="H50" s="10"/>
      <c r="I50" s="10"/>
      <c r="J50" s="10"/>
      <c r="K50" s="10"/>
      <c r="L50" s="10"/>
      <c r="M50" s="10"/>
      <c r="N50" s="23"/>
      <c r="O50" s="23"/>
      <c r="P50" s="23"/>
      <c r="Q50" s="23"/>
      <c r="R50" s="23"/>
      <c r="S50" s="23"/>
      <c r="T50" s="24"/>
      <c r="AK50" s="195"/>
      <c r="AL50" s="195"/>
      <c r="AM50" s="195"/>
      <c r="AN50" s="195"/>
    </row>
    <row r="51" spans="1:40" ht="22.25" customHeight="1">
      <c r="D51" s="10"/>
      <c r="E51" s="10"/>
      <c r="F51" s="43" t="s">
        <v>4285</v>
      </c>
      <c r="G51" s="43" t="s">
        <v>4278</v>
      </c>
      <c r="H51" s="10"/>
      <c r="I51" s="10"/>
      <c r="J51" s="10"/>
      <c r="K51" s="10"/>
      <c r="L51" s="10"/>
      <c r="M51" s="10"/>
      <c r="N51" s="23"/>
      <c r="O51" s="23"/>
      <c r="P51" s="23"/>
      <c r="Q51" s="23"/>
      <c r="R51" s="23"/>
      <c r="S51" s="23"/>
      <c r="T51" s="24"/>
      <c r="AK51" s="195"/>
      <c r="AL51" s="195"/>
      <c r="AM51" s="195"/>
      <c r="AN51" s="195"/>
    </row>
    <row r="52" spans="1:40" ht="3" customHeight="1">
      <c r="D52" s="10"/>
      <c r="E52" s="10"/>
      <c r="F52" s="43"/>
      <c r="G52" s="43"/>
      <c r="H52" s="10"/>
      <c r="I52" s="10"/>
      <c r="J52" s="10"/>
      <c r="K52" s="10"/>
      <c r="L52" s="10"/>
      <c r="M52" s="10"/>
      <c r="N52" s="23"/>
      <c r="O52" s="23"/>
      <c r="P52" s="23"/>
      <c r="Q52" s="23"/>
      <c r="R52" s="23"/>
      <c r="S52" s="23"/>
      <c r="T52" s="24"/>
      <c r="AK52" s="195"/>
      <c r="AL52" s="195"/>
      <c r="AM52" s="195"/>
      <c r="AN52" s="195"/>
    </row>
    <row r="53" spans="1:40" s="191" customFormat="1" ht="22.25" customHeight="1" thickBot="1">
      <c r="A53" s="187"/>
      <c r="B53" s="187"/>
      <c r="C53" s="187"/>
      <c r="D53" s="24"/>
      <c r="E53" s="24"/>
      <c r="F53" s="24" t="str">
        <f>$AB$1&amp;"年度（基準年度）において、上記（２-１）以外に下記の買電がある場合は、そのうち車両の充電に使用した電力量をご入力ください。"</f>
        <v>0年度（基準年度）において、上記（２-１）以外に下記の買電がある場合は、そのうち車両の充電に使用した電力量をご入力ください。</v>
      </c>
      <c r="G53" s="24"/>
      <c r="H53" s="24"/>
      <c r="I53" s="24"/>
      <c r="J53" s="24"/>
      <c r="K53" s="24"/>
      <c r="L53" s="24"/>
      <c r="M53" s="24"/>
      <c r="N53" s="23"/>
      <c r="O53" s="23"/>
      <c r="P53" s="23"/>
      <c r="Q53" s="23"/>
      <c r="R53" s="23"/>
      <c r="S53" s="23"/>
      <c r="T53" s="24"/>
      <c r="AA53" s="199"/>
      <c r="AI53" s="197"/>
      <c r="AJ53" s="197"/>
    </row>
    <row r="54" spans="1:40" ht="30.75" customHeight="1">
      <c r="D54" s="10"/>
      <c r="E54" s="10"/>
      <c r="F54" s="295" t="s">
        <v>4219</v>
      </c>
      <c r="G54" s="46" t="s">
        <v>4529</v>
      </c>
      <c r="H54" s="46"/>
      <c r="I54" s="294" t="s">
        <v>4541</v>
      </c>
      <c r="J54" s="280"/>
      <c r="K54"/>
      <c r="L54"/>
      <c r="M54" s="10"/>
      <c r="N54" s="10"/>
      <c r="O54" s="23"/>
      <c r="P54" s="23"/>
      <c r="Q54" s="23"/>
      <c r="R54" s="23"/>
      <c r="S54" s="23"/>
      <c r="T54" s="23"/>
      <c r="U54" s="197"/>
      <c r="V54" s="197"/>
      <c r="AA54" s="191"/>
      <c r="AD54" s="199"/>
      <c r="AI54" s="191"/>
      <c r="AJ54" s="191"/>
      <c r="AK54" s="191"/>
      <c r="AL54" s="195"/>
      <c r="AM54" s="195"/>
      <c r="AN54" s="195"/>
    </row>
    <row r="55" spans="1:40" ht="18" customHeight="1">
      <c r="D55" s="10"/>
      <c r="E55" s="10"/>
      <c r="F55" s="296"/>
      <c r="G55" s="897"/>
      <c r="H55" s="898"/>
      <c r="I55" s="883"/>
      <c r="J55" s="884"/>
      <c r="K55"/>
      <c r="L55"/>
      <c r="M55" s="23"/>
      <c r="N55" s="23"/>
      <c r="O55" s="23"/>
      <c r="P55" s="23"/>
      <c r="Q55" s="23"/>
      <c r="R55" s="23"/>
      <c r="S55" s="23"/>
      <c r="T55" s="23"/>
      <c r="U55" s="197"/>
      <c r="V55" s="197"/>
      <c r="AA55" s="191"/>
      <c r="AD55" s="199"/>
      <c r="AI55" s="191"/>
      <c r="AJ55" s="191"/>
      <c r="AK55" s="191"/>
      <c r="AL55" s="195"/>
      <c r="AM55" s="195"/>
      <c r="AN55" s="195"/>
    </row>
    <row r="56" spans="1:40" ht="18" customHeight="1">
      <c r="D56" s="10"/>
      <c r="E56" s="10"/>
      <c r="F56" s="296"/>
      <c r="G56" s="897"/>
      <c r="H56" s="898"/>
      <c r="I56" s="883"/>
      <c r="J56" s="884"/>
      <c r="K56"/>
      <c r="L56"/>
      <c r="M56" s="23"/>
      <c r="N56" s="23"/>
      <c r="O56" s="23"/>
      <c r="P56" s="23"/>
      <c r="Q56" s="23"/>
      <c r="R56" s="23"/>
      <c r="S56" s="23"/>
      <c r="T56" s="23"/>
      <c r="U56" s="197"/>
      <c r="V56" s="197"/>
      <c r="AA56" s="191"/>
      <c r="AD56" s="199"/>
      <c r="AI56" s="191"/>
      <c r="AJ56" s="191"/>
      <c r="AK56" s="191"/>
      <c r="AL56" s="195"/>
      <c r="AM56" s="195"/>
      <c r="AN56" s="195"/>
    </row>
    <row r="57" spans="1:40" ht="18" customHeight="1">
      <c r="D57" s="10"/>
      <c r="E57" s="10"/>
      <c r="F57" s="296"/>
      <c r="G57" s="897"/>
      <c r="H57" s="898"/>
      <c r="I57" s="883"/>
      <c r="J57" s="884"/>
      <c r="K57"/>
      <c r="L57"/>
      <c r="M57" s="23"/>
      <c r="N57" s="23"/>
      <c r="O57" s="23"/>
      <c r="P57" s="23"/>
      <c r="Q57" s="23"/>
      <c r="R57" s="23"/>
      <c r="S57" s="23"/>
      <c r="T57" s="23"/>
      <c r="U57" s="197"/>
      <c r="V57" s="197"/>
      <c r="AA57" s="191"/>
      <c r="AD57" s="199"/>
      <c r="AI57" s="191"/>
      <c r="AJ57" s="191"/>
      <c r="AK57" s="191"/>
      <c r="AL57" s="195"/>
      <c r="AM57" s="195"/>
      <c r="AN57" s="195"/>
    </row>
    <row r="58" spans="1:40" ht="18" customHeight="1">
      <c r="D58" s="10"/>
      <c r="E58" s="10"/>
      <c r="F58" s="296"/>
      <c r="G58" s="897"/>
      <c r="H58" s="898"/>
      <c r="I58" s="883"/>
      <c r="J58" s="884"/>
      <c r="K58"/>
      <c r="L58"/>
      <c r="M58" s="23"/>
      <c r="N58" s="23"/>
      <c r="O58" s="23"/>
      <c r="P58" s="23"/>
      <c r="Q58" s="23"/>
      <c r="R58" s="23"/>
      <c r="S58" s="23"/>
      <c r="T58" s="23"/>
      <c r="U58" s="197"/>
      <c r="V58" s="197"/>
      <c r="AA58" s="191"/>
      <c r="AD58" s="199"/>
      <c r="AI58" s="191"/>
      <c r="AJ58" s="191"/>
      <c r="AK58" s="191"/>
    </row>
    <row r="59" spans="1:40" ht="18" customHeight="1" thickBot="1">
      <c r="D59" s="10"/>
      <c r="E59" s="10"/>
      <c r="F59" s="297"/>
      <c r="G59" s="895"/>
      <c r="H59" s="896"/>
      <c r="I59" s="900"/>
      <c r="J59" s="901"/>
      <c r="K59"/>
      <c r="L59"/>
      <c r="M59" s="10"/>
      <c r="N59" s="10"/>
      <c r="O59" s="23"/>
      <c r="P59" s="23"/>
      <c r="Q59" s="23"/>
      <c r="R59" s="23"/>
      <c r="S59" s="23"/>
      <c r="T59" s="10"/>
      <c r="U59" s="197"/>
      <c r="V59" s="197"/>
      <c r="AA59" s="191"/>
      <c r="AD59" s="199"/>
      <c r="AI59" s="191"/>
      <c r="AJ59" s="191"/>
      <c r="AK59" s="191"/>
      <c r="AL59" s="195"/>
      <c r="AM59" s="195"/>
      <c r="AN59" s="195"/>
    </row>
    <row r="60" spans="1:40" ht="18" customHeight="1">
      <c r="D60" s="10"/>
      <c r="E60"/>
      <c r="F60"/>
      <c r="G60"/>
      <c r="H60"/>
      <c r="I60"/>
      <c r="J60"/>
      <c r="K60"/>
      <c r="L60"/>
      <c r="M60"/>
      <c r="N60" s="10"/>
      <c r="O60" s="23"/>
      <c r="P60" s="23"/>
      <c r="Q60" s="23"/>
      <c r="R60" s="23"/>
      <c r="S60" s="23"/>
      <c r="T60" s="23"/>
      <c r="U60" s="197"/>
      <c r="V60" s="197"/>
      <c r="AA60" s="191"/>
      <c r="AD60" s="199"/>
      <c r="AI60" s="191"/>
      <c r="AJ60" s="191"/>
      <c r="AK60" s="191"/>
      <c r="AL60" s="195"/>
      <c r="AM60" s="195"/>
      <c r="AN60" s="195"/>
    </row>
    <row r="61" spans="1:40" ht="18" customHeight="1">
      <c r="D61" s="10"/>
      <c r="E61" s="10"/>
      <c r="F61" s="10"/>
      <c r="G61" s="10"/>
      <c r="H61" s="10"/>
      <c r="I61" s="10"/>
      <c r="J61" s="10"/>
      <c r="K61" s="10"/>
      <c r="L61" s="10"/>
      <c r="M61" s="10"/>
      <c r="N61" s="10"/>
      <c r="O61" s="10"/>
      <c r="P61" s="10"/>
      <c r="Q61" s="23"/>
      <c r="R61" s="23"/>
      <c r="S61" s="23"/>
      <c r="T61" s="24"/>
      <c r="AN61" s="195"/>
    </row>
    <row r="62" spans="1:40" s="191" customFormat="1" ht="18" customHeight="1">
      <c r="A62" s="187"/>
      <c r="B62" s="187"/>
      <c r="C62" s="188"/>
      <c r="D62" s="52" t="s">
        <v>4493</v>
      </c>
      <c r="E62" s="24"/>
      <c r="F62" s="24"/>
      <c r="G62" s="24"/>
      <c r="H62" s="23"/>
      <c r="I62" s="23"/>
      <c r="J62" s="23"/>
      <c r="K62" s="23"/>
      <c r="L62" s="23"/>
      <c r="M62" s="23"/>
      <c r="N62" s="23"/>
      <c r="O62" s="23"/>
      <c r="P62" s="26"/>
      <c r="Q62" s="23"/>
      <c r="R62" s="23"/>
      <c r="S62" s="23"/>
      <c r="T62" s="27"/>
      <c r="U62" s="210"/>
      <c r="V62" s="210"/>
      <c r="W62" s="210"/>
      <c r="X62" s="210"/>
      <c r="Y62" s="210"/>
      <c r="Z62" s="212"/>
      <c r="AA62" s="211"/>
      <c r="AB62" s="209"/>
      <c r="AC62" s="209"/>
      <c r="AD62" s="209"/>
    </row>
    <row r="63" spans="1:40" s="191" customFormat="1" ht="18" customHeight="1">
      <c r="A63" s="187"/>
      <c r="B63" s="187"/>
      <c r="C63" s="188"/>
      <c r="D63" s="27"/>
      <c r="E63" s="53" t="s">
        <v>4531</v>
      </c>
      <c r="F63" s="58"/>
      <c r="G63" s="24"/>
      <c r="H63" s="26"/>
      <c r="I63" s="59"/>
      <c r="J63" s="59"/>
      <c r="K63" s="59"/>
      <c r="L63" s="59"/>
      <c r="M63" s="59"/>
      <c r="N63" s="23"/>
      <c r="O63" s="23"/>
      <c r="P63" s="23"/>
      <c r="Q63" s="23"/>
      <c r="R63" s="26"/>
      <c r="S63" s="26"/>
      <c r="T63" s="26"/>
      <c r="U63" s="200"/>
      <c r="V63" s="200"/>
      <c r="W63" s="200"/>
      <c r="X63" s="200"/>
      <c r="Y63" s="200"/>
      <c r="Z63" s="200"/>
      <c r="AA63" s="201"/>
      <c r="AB63" s="200"/>
      <c r="AC63" s="200"/>
      <c r="AD63" s="200"/>
      <c r="AE63" s="200"/>
    </row>
    <row r="64" spans="1:40" s="191" customFormat="1" ht="22.25" customHeight="1">
      <c r="A64" s="187"/>
      <c r="B64" s="187"/>
      <c r="C64" s="188"/>
      <c r="D64" s="27"/>
      <c r="E64" s="60"/>
      <c r="F64" s="43" t="s">
        <v>4285</v>
      </c>
      <c r="G64" s="43" t="s">
        <v>4278</v>
      </c>
      <c r="H64" s="24"/>
      <c r="I64" s="26"/>
      <c r="J64" s="26"/>
      <c r="K64" s="24"/>
      <c r="L64" s="24"/>
      <c r="M64" s="59"/>
      <c r="N64" s="23"/>
      <c r="O64" s="23"/>
      <c r="P64" s="23"/>
      <c r="Q64" s="23"/>
      <c r="R64" s="26"/>
      <c r="S64" s="26"/>
      <c r="T64" s="26"/>
      <c r="U64" s="200"/>
      <c r="V64" s="200"/>
      <c r="W64" s="200"/>
      <c r="X64" s="200"/>
      <c r="Y64" s="200"/>
      <c r="Z64" s="200"/>
      <c r="AA64" s="201"/>
      <c r="AB64" s="200"/>
      <c r="AC64" s="200"/>
      <c r="AD64" s="200"/>
      <c r="AE64" s="200"/>
    </row>
    <row r="65" spans="1:32" s="191" customFormat="1" ht="3" customHeight="1">
      <c r="A65" s="187"/>
      <c r="B65" s="187"/>
      <c r="C65" s="188"/>
      <c r="D65" s="27"/>
      <c r="E65" s="60"/>
      <c r="F65" s="43"/>
      <c r="G65" s="43"/>
      <c r="H65" s="26"/>
      <c r="I65" s="26"/>
      <c r="J65" s="26"/>
      <c r="K65" s="59"/>
      <c r="L65" s="59"/>
      <c r="M65" s="59"/>
      <c r="N65" s="23"/>
      <c r="O65" s="23"/>
      <c r="P65" s="23"/>
      <c r="Q65" s="23"/>
      <c r="R65" s="26"/>
      <c r="S65" s="26"/>
      <c r="T65" s="26"/>
      <c r="U65" s="200"/>
      <c r="V65" s="200"/>
      <c r="W65" s="200"/>
      <c r="X65" s="200"/>
      <c r="Y65" s="200"/>
      <c r="Z65" s="200"/>
      <c r="AA65" s="201"/>
      <c r="AB65" s="200"/>
      <c r="AC65" s="200"/>
      <c r="AD65" s="200"/>
      <c r="AE65" s="200"/>
    </row>
    <row r="66" spans="1:32" s="191" customFormat="1" ht="22.25" customHeight="1" thickBot="1">
      <c r="A66" s="187"/>
      <c r="B66" s="187"/>
      <c r="C66" s="284"/>
      <c r="D66" s="289"/>
      <c r="E66" s="24" t="str">
        <f>$AB$1&amp;"年度（基準年度）において、エネルギー起源二酸化炭素（CO₂）以外の温室効果ガスの排出がある場合はご入力ください。"</f>
        <v>0年度（基準年度）において、エネルギー起源二酸化炭素（CO₂）以外の温室効果ガスの排出がある場合はご入力ください。</v>
      </c>
      <c r="F66" s="24"/>
      <c r="G66" s="24"/>
      <c r="H66" s="156"/>
      <c r="I66" s="156"/>
      <c r="J66" s="156"/>
      <c r="K66" s="59"/>
      <c r="L66" s="59"/>
      <c r="M66" s="59"/>
      <c r="N66" s="23"/>
      <c r="O66" s="23"/>
      <c r="P66" s="23"/>
      <c r="Q66" s="23"/>
      <c r="R66" s="156"/>
      <c r="S66" s="156"/>
      <c r="T66" s="156"/>
      <c r="U66" s="286"/>
      <c r="V66" s="286"/>
      <c r="W66" s="286"/>
      <c r="X66" s="286"/>
      <c r="Y66" s="286"/>
      <c r="Z66" s="286"/>
      <c r="AA66" s="287"/>
      <c r="AB66" s="286"/>
      <c r="AC66" s="286"/>
      <c r="AD66" s="286"/>
      <c r="AE66" s="286"/>
    </row>
    <row r="67" spans="1:32" s="191" customFormat="1" ht="38" customHeight="1">
      <c r="A67" s="187"/>
      <c r="B67" s="190">
        <v>1</v>
      </c>
      <c r="D67" s="27"/>
      <c r="E67" s="163" t="s">
        <v>4220</v>
      </c>
      <c r="F67" s="161"/>
      <c r="G67" s="157" t="s">
        <v>4497</v>
      </c>
      <c r="H67" s="158"/>
      <c r="I67" s="159"/>
      <c r="J67" s="160"/>
      <c r="K67" s="165" t="s">
        <v>4287</v>
      </c>
      <c r="L67" s="157"/>
      <c r="M67" s="157"/>
      <c r="N67" s="157" t="s">
        <v>4288</v>
      </c>
      <c r="O67" s="159"/>
      <c r="P67" s="59"/>
      <c r="Q67" s="23"/>
      <c r="R67" s="23"/>
      <c r="S67" s="23"/>
      <c r="T67" s="23"/>
      <c r="U67" s="200"/>
      <c r="V67" s="200"/>
      <c r="W67" s="200"/>
      <c r="X67" s="200"/>
      <c r="Y67" s="200"/>
      <c r="Z67" s="200"/>
      <c r="AA67" s="200"/>
      <c r="AB67" s="200"/>
      <c r="AC67" s="200"/>
      <c r="AD67" s="201"/>
      <c r="AE67" s="200"/>
      <c r="AF67" s="200"/>
    </row>
    <row r="68" spans="1:32" s="191" customFormat="1" ht="18" customHeight="1">
      <c r="A68" s="187"/>
      <c r="B68" s="187"/>
      <c r="C68" s="188"/>
      <c r="D68" s="27"/>
      <c r="E68" s="61" t="s">
        <v>4498</v>
      </c>
      <c r="F68" s="62"/>
      <c r="G68" s="815"/>
      <c r="H68" s="816"/>
      <c r="I68" s="816"/>
      <c r="J68" s="816"/>
      <c r="K68" s="880"/>
      <c r="L68" s="881"/>
      <c r="M68" s="882"/>
      <c r="N68" s="902"/>
      <c r="O68" s="903"/>
      <c r="P68" s="26"/>
      <c r="Q68" s="23"/>
      <c r="R68" s="23"/>
      <c r="S68" s="23"/>
      <c r="T68" s="23"/>
      <c r="U68" s="200"/>
      <c r="V68" s="200"/>
      <c r="W68" s="200"/>
      <c r="X68" s="200"/>
      <c r="Y68" s="200"/>
      <c r="Z68" s="200"/>
      <c r="AA68" s="200"/>
      <c r="AB68" s="200"/>
      <c r="AC68" s="200"/>
      <c r="AD68" s="201"/>
      <c r="AE68" s="200"/>
      <c r="AF68" s="200"/>
    </row>
    <row r="69" spans="1:32" s="191" customFormat="1" ht="18" customHeight="1">
      <c r="A69" s="187"/>
      <c r="B69" s="187"/>
      <c r="C69" s="188"/>
      <c r="D69" s="27"/>
      <c r="E69" s="63" t="s">
        <v>4171</v>
      </c>
      <c r="F69" s="64"/>
      <c r="G69" s="869"/>
      <c r="H69" s="870"/>
      <c r="I69" s="870"/>
      <c r="J69" s="870"/>
      <c r="K69" s="855"/>
      <c r="L69" s="856"/>
      <c r="M69" s="857"/>
      <c r="N69" s="878"/>
      <c r="O69" s="879"/>
      <c r="P69" s="26"/>
      <c r="Q69" s="26"/>
      <c r="R69" s="26"/>
      <c r="S69" s="26"/>
      <c r="T69" s="26"/>
      <c r="U69" s="200"/>
      <c r="V69" s="200"/>
      <c r="W69" s="200"/>
      <c r="X69" s="200"/>
      <c r="Y69" s="200"/>
      <c r="Z69" s="200"/>
      <c r="AA69" s="200"/>
      <c r="AB69" s="200"/>
      <c r="AC69" s="200"/>
      <c r="AD69" s="201"/>
      <c r="AE69" s="200"/>
      <c r="AF69" s="200"/>
    </row>
    <row r="70" spans="1:32" s="191" customFormat="1" ht="18" customHeight="1">
      <c r="A70" s="187"/>
      <c r="B70" s="187"/>
      <c r="C70" s="188"/>
      <c r="D70" s="27"/>
      <c r="E70" s="63" t="s">
        <v>4172</v>
      </c>
      <c r="F70" s="64"/>
      <c r="G70" s="869"/>
      <c r="H70" s="870"/>
      <c r="I70" s="870"/>
      <c r="J70" s="870"/>
      <c r="K70" s="855"/>
      <c r="L70" s="856"/>
      <c r="M70" s="857"/>
      <c r="N70" s="878"/>
      <c r="O70" s="879"/>
      <c r="P70" s="26"/>
      <c r="Q70" s="26"/>
      <c r="R70" s="26"/>
      <c r="S70" s="26"/>
      <c r="T70" s="26"/>
      <c r="U70" s="200"/>
      <c r="V70" s="200"/>
      <c r="W70" s="200"/>
      <c r="X70" s="200"/>
      <c r="Y70" s="200"/>
      <c r="Z70" s="200"/>
      <c r="AA70" s="200"/>
      <c r="AB70" s="200"/>
      <c r="AC70" s="200"/>
      <c r="AD70" s="201"/>
      <c r="AE70" s="200"/>
      <c r="AF70" s="200"/>
    </row>
    <row r="71" spans="1:32" s="191" customFormat="1" ht="18" customHeight="1">
      <c r="A71" s="187"/>
      <c r="B71" s="187"/>
      <c r="C71" s="188"/>
      <c r="D71" s="27"/>
      <c r="E71" s="63" t="s">
        <v>95</v>
      </c>
      <c r="F71" s="64"/>
      <c r="G71" s="869"/>
      <c r="H71" s="870"/>
      <c r="I71" s="870"/>
      <c r="J71" s="870"/>
      <c r="K71" s="855"/>
      <c r="L71" s="856"/>
      <c r="M71" s="857"/>
      <c r="N71" s="878"/>
      <c r="O71" s="879"/>
      <c r="P71" s="26"/>
      <c r="Q71" s="26"/>
      <c r="R71" s="26"/>
      <c r="S71" s="26"/>
      <c r="T71" s="26"/>
      <c r="U71" s="200"/>
      <c r="V71" s="200"/>
      <c r="W71" s="200"/>
      <c r="X71" s="200"/>
      <c r="Y71" s="200"/>
      <c r="Z71" s="200"/>
      <c r="AA71" s="200"/>
      <c r="AB71" s="200"/>
      <c r="AC71" s="200"/>
      <c r="AD71" s="201"/>
      <c r="AE71" s="200"/>
      <c r="AF71" s="200"/>
    </row>
    <row r="72" spans="1:32" s="191" customFormat="1" ht="18" customHeight="1">
      <c r="A72" s="187"/>
      <c r="B72" s="187"/>
      <c r="C72" s="188"/>
      <c r="D72" s="27"/>
      <c r="E72" s="63" t="s">
        <v>96</v>
      </c>
      <c r="F72" s="64"/>
      <c r="G72" s="869"/>
      <c r="H72" s="870"/>
      <c r="I72" s="870"/>
      <c r="J72" s="870"/>
      <c r="K72" s="855"/>
      <c r="L72" s="856"/>
      <c r="M72" s="857"/>
      <c r="N72" s="878"/>
      <c r="O72" s="879"/>
      <c r="P72" s="26"/>
      <c r="Q72" s="26"/>
      <c r="R72" s="26"/>
      <c r="S72" s="26"/>
      <c r="T72" s="26"/>
      <c r="U72" s="200"/>
      <c r="V72" s="200"/>
      <c r="W72" s="200"/>
      <c r="X72" s="200"/>
      <c r="Y72" s="200"/>
      <c r="Z72" s="200"/>
      <c r="AA72" s="200"/>
      <c r="AB72" s="200"/>
      <c r="AC72" s="200"/>
      <c r="AD72" s="201"/>
      <c r="AE72" s="200"/>
      <c r="AF72" s="200"/>
    </row>
    <row r="73" spans="1:32" s="191" customFormat="1" ht="18" customHeight="1">
      <c r="A73" s="187"/>
      <c r="B73" s="187"/>
      <c r="C73" s="188"/>
      <c r="D73" s="27"/>
      <c r="E73" s="63" t="s">
        <v>4173</v>
      </c>
      <c r="F73" s="64"/>
      <c r="G73" s="869"/>
      <c r="H73" s="870"/>
      <c r="I73" s="870"/>
      <c r="J73" s="870"/>
      <c r="K73" s="855"/>
      <c r="L73" s="856"/>
      <c r="M73" s="857"/>
      <c r="N73" s="878"/>
      <c r="O73" s="879"/>
      <c r="P73" s="26"/>
      <c r="Q73" s="26"/>
      <c r="R73" s="26"/>
      <c r="S73" s="26"/>
      <c r="T73" s="26"/>
      <c r="U73" s="200"/>
      <c r="V73" s="200"/>
      <c r="W73" s="200"/>
      <c r="X73" s="200"/>
      <c r="Y73" s="200"/>
      <c r="Z73" s="200"/>
      <c r="AA73" s="200"/>
      <c r="AB73" s="200"/>
      <c r="AC73" s="200"/>
      <c r="AD73" s="201"/>
      <c r="AE73" s="200"/>
      <c r="AF73" s="200"/>
    </row>
    <row r="74" spans="1:32" s="191" customFormat="1" ht="18" customHeight="1" thickBot="1">
      <c r="A74" s="187"/>
      <c r="B74" s="187"/>
      <c r="C74" s="188"/>
      <c r="D74" s="27"/>
      <c r="E74" s="65" t="s">
        <v>4174</v>
      </c>
      <c r="F74" s="66"/>
      <c r="G74" s="838"/>
      <c r="H74" s="839"/>
      <c r="I74" s="839"/>
      <c r="J74" s="839"/>
      <c r="K74" s="810"/>
      <c r="L74" s="811"/>
      <c r="M74" s="812"/>
      <c r="N74" s="813"/>
      <c r="O74" s="814"/>
      <c r="P74" s="26"/>
      <c r="Q74" s="26"/>
      <c r="R74" s="26"/>
      <c r="S74" s="26"/>
      <c r="T74" s="26"/>
      <c r="U74" s="200"/>
      <c r="V74" s="200"/>
      <c r="W74" s="200"/>
      <c r="X74" s="200"/>
      <c r="Y74" s="200"/>
      <c r="Z74" s="200"/>
      <c r="AA74" s="200"/>
      <c r="AB74" s="200"/>
      <c r="AC74" s="200"/>
      <c r="AD74" s="201"/>
      <c r="AE74" s="200"/>
      <c r="AF74" s="200"/>
    </row>
    <row r="75" spans="1:32" s="191" customFormat="1" ht="18" customHeight="1">
      <c r="A75" s="187"/>
      <c r="B75" s="187"/>
      <c r="C75" s="188"/>
      <c r="D75" s="23"/>
      <c r="E75" s="23"/>
      <c r="F75" s="23"/>
      <c r="G75" s="23"/>
      <c r="H75" s="23"/>
      <c r="I75" s="26"/>
      <c r="J75" s="26"/>
      <c r="K75" s="26"/>
      <c r="L75" s="26"/>
      <c r="M75" s="26"/>
      <c r="N75" s="26"/>
      <c r="O75" s="29" t="s">
        <v>4375</v>
      </c>
      <c r="P75" s="26"/>
      <c r="Q75" s="26"/>
      <c r="R75" s="26"/>
      <c r="S75" s="26"/>
      <c r="T75" s="26"/>
      <c r="U75" s="200"/>
      <c r="V75" s="200"/>
      <c r="W75" s="200"/>
      <c r="X75" s="200"/>
      <c r="Y75" s="200"/>
      <c r="Z75" s="200"/>
      <c r="AA75" s="201"/>
      <c r="AB75" s="200"/>
      <c r="AC75" s="200"/>
    </row>
    <row r="76" spans="1:32" s="191" customFormat="1" ht="18" customHeight="1">
      <c r="A76" s="187"/>
      <c r="B76" s="187"/>
      <c r="C76" s="188"/>
      <c r="D76" s="24"/>
      <c r="E76" s="24"/>
      <c r="F76" s="24"/>
      <c r="G76" s="24"/>
      <c r="H76" s="24"/>
      <c r="I76" s="67"/>
      <c r="J76" s="67"/>
      <c r="K76" s="26"/>
      <c r="L76" s="26"/>
      <c r="M76" s="26"/>
      <c r="N76" s="26"/>
      <c r="O76" s="26"/>
      <c r="P76" s="26"/>
      <c r="Q76" s="26"/>
      <c r="R76" s="26"/>
      <c r="S76" s="26"/>
      <c r="T76" s="26"/>
      <c r="U76" s="200"/>
      <c r="V76" s="200"/>
      <c r="W76" s="200"/>
      <c r="X76" s="200"/>
      <c r="Y76" s="200"/>
      <c r="Z76" s="200"/>
      <c r="AA76" s="201"/>
      <c r="AB76" s="200"/>
      <c r="AC76" s="200"/>
      <c r="AD76" s="200"/>
      <c r="AE76" s="200"/>
    </row>
    <row r="77" spans="1:32" s="191" customFormat="1" ht="18" customHeight="1">
      <c r="A77" s="187"/>
      <c r="B77" s="187"/>
      <c r="C77" s="234"/>
      <c r="D77" s="68" t="s">
        <v>4230</v>
      </c>
      <c r="E77" s="24"/>
      <c r="F77" s="24"/>
      <c r="G77" s="55"/>
      <c r="H77" s="55"/>
      <c r="I77" s="24"/>
      <c r="J77" s="24"/>
      <c r="K77" s="24"/>
      <c r="L77" s="24"/>
      <c r="M77" s="24"/>
      <c r="N77" s="24"/>
      <c r="O77" s="26"/>
      <c r="P77" s="26"/>
      <c r="Q77" s="26"/>
      <c r="R77" s="26"/>
      <c r="S77" s="26"/>
      <c r="T77" s="26"/>
      <c r="U77" s="200"/>
      <c r="V77" s="200"/>
      <c r="W77" s="200"/>
      <c r="X77" s="200"/>
      <c r="Y77" s="200"/>
      <c r="Z77" s="200"/>
      <c r="AA77" s="201"/>
      <c r="AB77" s="200"/>
      <c r="AC77" s="200"/>
      <c r="AD77" s="200"/>
    </row>
    <row r="78" spans="1:32" s="191" customFormat="1" ht="18" customHeight="1">
      <c r="A78" s="187"/>
      <c r="B78" s="187"/>
      <c r="C78" s="188"/>
      <c r="D78" s="24"/>
      <c r="E78" s="42" t="s">
        <v>4302</v>
      </c>
      <c r="F78" s="24"/>
      <c r="G78" s="24"/>
      <c r="H78" s="24"/>
      <c r="I78" s="24"/>
      <c r="J78" s="24"/>
      <c r="K78" s="24"/>
      <c r="L78" s="24"/>
      <c r="M78" s="24"/>
      <c r="N78" s="24"/>
      <c r="O78" s="24"/>
      <c r="P78" s="26"/>
      <c r="Q78" s="26"/>
      <c r="R78" s="26"/>
      <c r="S78" s="26"/>
      <c r="T78" s="26"/>
      <c r="U78" s="200"/>
      <c r="V78" s="200"/>
      <c r="W78" s="200"/>
      <c r="X78" s="200"/>
      <c r="Y78" s="200"/>
      <c r="Z78" s="200"/>
      <c r="AA78" s="201"/>
      <c r="AB78" s="200"/>
      <c r="AC78" s="200"/>
      <c r="AD78" s="200"/>
      <c r="AE78" s="200"/>
    </row>
    <row r="79" spans="1:32" s="191" customFormat="1" ht="22.25" customHeight="1">
      <c r="A79" s="187"/>
      <c r="B79" s="187"/>
      <c r="C79" s="188"/>
      <c r="D79" s="24"/>
      <c r="E79" s="24"/>
      <c r="F79" s="43" t="s">
        <v>4285</v>
      </c>
      <c r="G79" s="43" t="s">
        <v>4278</v>
      </c>
      <c r="H79" s="24"/>
      <c r="I79" s="26"/>
      <c r="J79" s="26"/>
      <c r="K79" s="26"/>
      <c r="L79" s="26"/>
      <c r="M79" s="26"/>
      <c r="N79" s="26"/>
      <c r="O79" s="26"/>
      <c r="P79" s="26"/>
      <c r="Q79" s="26"/>
      <c r="R79" s="26"/>
      <c r="S79" s="26"/>
      <c r="T79" s="26"/>
      <c r="U79" s="200"/>
      <c r="V79" s="200"/>
      <c r="W79" s="200"/>
      <c r="X79" s="200"/>
      <c r="Y79" s="200"/>
      <c r="Z79" s="200"/>
      <c r="AA79" s="201"/>
      <c r="AB79" s="200"/>
      <c r="AC79" s="200"/>
      <c r="AD79" s="200"/>
      <c r="AE79" s="200"/>
    </row>
    <row r="80" spans="1:32" s="191" customFormat="1" ht="3" customHeight="1">
      <c r="A80" s="187"/>
      <c r="B80" s="187"/>
      <c r="C80" s="188"/>
      <c r="D80" s="24"/>
      <c r="E80" s="24"/>
      <c r="F80" s="43"/>
      <c r="G80" s="43"/>
      <c r="H80" s="24"/>
      <c r="I80" s="26"/>
      <c r="J80" s="26"/>
      <c r="K80" s="26"/>
      <c r="L80" s="26"/>
      <c r="M80" s="26"/>
      <c r="N80" s="26"/>
      <c r="O80" s="26"/>
      <c r="P80" s="26"/>
      <c r="Q80" s="26"/>
      <c r="R80" s="26"/>
      <c r="S80" s="26"/>
      <c r="T80" s="26"/>
      <c r="U80" s="200"/>
      <c r="V80" s="200"/>
      <c r="W80" s="200"/>
      <c r="X80" s="200"/>
      <c r="Y80" s="200"/>
      <c r="Z80" s="200"/>
      <c r="AA80" s="201"/>
      <c r="AB80" s="200"/>
      <c r="AC80" s="200"/>
      <c r="AD80" s="200"/>
      <c r="AE80" s="200"/>
    </row>
    <row r="81" spans="1:49" s="191" customFormat="1" ht="22.25" customHeight="1">
      <c r="A81" s="187"/>
      <c r="B81" s="187"/>
      <c r="C81" s="284"/>
      <c r="D81" s="24"/>
      <c r="E81" s="24" t="str">
        <f>$AB$1&amp;"年度（基準年度）において、クレジット等による排出量の削減を行った場合はご入力ください。"</f>
        <v>0年度（基準年度）において、クレジット等による排出量の削減を行った場合はご入力ください。</v>
      </c>
      <c r="F81" s="24"/>
      <c r="G81" s="24"/>
      <c r="H81" s="24"/>
      <c r="I81" s="156"/>
      <c r="J81" s="156"/>
      <c r="K81" s="156"/>
      <c r="L81" s="156"/>
      <c r="M81" s="156"/>
      <c r="N81" s="156"/>
      <c r="O81" s="156"/>
      <c r="P81" s="156"/>
      <c r="Q81" s="156"/>
      <c r="R81" s="156"/>
      <c r="S81" s="156"/>
      <c r="T81" s="156"/>
      <c r="U81" s="286"/>
      <c r="V81" s="286"/>
      <c r="W81" s="286"/>
      <c r="X81" s="286"/>
      <c r="Y81" s="286"/>
      <c r="Z81" s="286"/>
      <c r="AA81" s="287"/>
      <c r="AB81" s="286"/>
      <c r="AC81" s="286"/>
      <c r="AD81" s="286"/>
      <c r="AE81" s="286"/>
    </row>
    <row r="82" spans="1:49" s="191" customFormat="1" ht="22.25" customHeight="1">
      <c r="A82" s="187"/>
      <c r="B82" s="187"/>
      <c r="C82" s="284"/>
      <c r="D82" s="24"/>
      <c r="E82" s="863" t="s">
        <v>4303</v>
      </c>
      <c r="F82" s="863"/>
      <c r="G82" s="863"/>
      <c r="H82" s="863"/>
      <c r="I82" s="863"/>
      <c r="J82" s="863"/>
      <c r="K82" s="863"/>
      <c r="L82" s="24"/>
      <c r="M82" s="24"/>
      <c r="N82" s="156"/>
      <c r="O82" s="156"/>
      <c r="P82" s="156"/>
      <c r="Q82" s="156"/>
      <c r="R82" s="156"/>
      <c r="S82" s="156"/>
      <c r="T82" s="69"/>
      <c r="U82" s="286"/>
      <c r="V82" s="286"/>
      <c r="W82" s="286"/>
      <c r="X82" s="286"/>
      <c r="Y82" s="286"/>
      <c r="Z82" s="286"/>
      <c r="AA82" s="287"/>
      <c r="AB82" s="286"/>
      <c r="AC82" s="286"/>
      <c r="AD82" s="286"/>
      <c r="AE82" s="286"/>
    </row>
    <row r="83" spans="1:49" s="191" customFormat="1" ht="22.25" customHeight="1" thickBot="1">
      <c r="A83" s="187"/>
      <c r="B83" s="187"/>
      <c r="C83" s="284"/>
      <c r="D83" s="23"/>
      <c r="E83" s="156" t="s">
        <v>4367</v>
      </c>
      <c r="F83"/>
      <c r="G83"/>
      <c r="H83"/>
      <c r="I83"/>
      <c r="J83"/>
      <c r="K83"/>
      <c r="L83"/>
      <c r="M83"/>
      <c r="N83" s="146"/>
      <c r="O83" s="156"/>
      <c r="P83" s="156"/>
      <c r="Q83" s="156"/>
      <c r="R83" s="156"/>
      <c r="S83" s="285"/>
      <c r="T83" s="285"/>
      <c r="U83" s="286"/>
      <c r="V83" s="286"/>
      <c r="W83" s="286"/>
      <c r="X83" s="286"/>
      <c r="Y83" s="286"/>
      <c r="Z83" s="286"/>
      <c r="AA83" s="286"/>
      <c r="AB83" s="287"/>
      <c r="AC83" s="286"/>
      <c r="AD83" s="286"/>
    </row>
    <row r="84" spans="1:49" s="191" customFormat="1" ht="38" customHeight="1">
      <c r="A84" s="187"/>
      <c r="B84" s="187"/>
      <c r="C84" s="188"/>
      <c r="D84" s="27"/>
      <c r="E84" s="840" t="s">
        <v>4221</v>
      </c>
      <c r="F84" s="841"/>
      <c r="G84" s="864" t="s">
        <v>4527</v>
      </c>
      <c r="H84" s="865"/>
      <c r="I84" s="866"/>
      <c r="J84" s="26"/>
      <c r="K84" s="26"/>
      <c r="L84" s="26"/>
      <c r="M84" s="26"/>
      <c r="N84" s="26"/>
      <c r="O84" s="26"/>
      <c r="P84" s="26"/>
      <c r="Q84" s="26"/>
      <c r="R84" s="26"/>
      <c r="S84" s="31"/>
      <c r="T84" s="31"/>
      <c r="U84" s="200"/>
      <c r="V84" s="200"/>
      <c r="W84" s="200"/>
      <c r="X84" s="200"/>
      <c r="Y84" s="200"/>
      <c r="Z84" s="200"/>
      <c r="AA84" s="200"/>
      <c r="AB84" s="201"/>
      <c r="AC84" s="200"/>
      <c r="AD84" s="200"/>
    </row>
    <row r="85" spans="1:49" s="191" customFormat="1" ht="18" customHeight="1">
      <c r="A85" s="187"/>
      <c r="B85" s="187"/>
      <c r="C85" s="188"/>
      <c r="D85" s="27"/>
      <c r="E85" s="867"/>
      <c r="F85" s="868"/>
      <c r="G85" s="815"/>
      <c r="H85" s="816"/>
      <c r="I85" s="817"/>
      <c r="J85" s="26"/>
      <c r="K85" s="26"/>
      <c r="L85" s="26"/>
      <c r="M85" s="26"/>
      <c r="N85" s="26"/>
      <c r="O85" s="26"/>
      <c r="P85" s="26"/>
      <c r="Q85" s="26"/>
      <c r="R85" s="26"/>
      <c r="S85" s="31"/>
      <c r="T85" s="31"/>
      <c r="U85" s="200"/>
      <c r="V85" s="200"/>
      <c r="W85" s="200"/>
      <c r="X85" s="200"/>
      <c r="Y85" s="200"/>
      <c r="Z85" s="200"/>
      <c r="AA85" s="200"/>
      <c r="AB85" s="201"/>
      <c r="AC85" s="200"/>
      <c r="AD85" s="200"/>
    </row>
    <row r="86" spans="1:49" s="191" customFormat="1" ht="18" customHeight="1">
      <c r="A86" s="187"/>
      <c r="B86" s="187"/>
      <c r="C86" s="188"/>
      <c r="D86" s="27"/>
      <c r="E86" s="861"/>
      <c r="F86" s="862"/>
      <c r="G86" s="869"/>
      <c r="H86" s="870"/>
      <c r="I86" s="871"/>
      <c r="J86" s="26"/>
      <c r="K86" s="26"/>
      <c r="L86" s="26"/>
      <c r="M86" s="26"/>
      <c r="N86" s="26"/>
      <c r="O86" s="26"/>
      <c r="P86" s="26"/>
      <c r="Q86" s="26"/>
      <c r="R86" s="26"/>
      <c r="S86" s="31"/>
      <c r="T86" s="31"/>
      <c r="U86" s="200"/>
      <c r="V86" s="200"/>
      <c r="W86" s="200"/>
      <c r="X86" s="200"/>
      <c r="Y86" s="200"/>
      <c r="Z86" s="200"/>
      <c r="AA86" s="200"/>
      <c r="AB86" s="201"/>
      <c r="AC86" s="200"/>
      <c r="AD86" s="200"/>
    </row>
    <row r="87" spans="1:49" s="191" customFormat="1" ht="18" customHeight="1">
      <c r="A87" s="187"/>
      <c r="B87" s="187"/>
      <c r="C87" s="188"/>
      <c r="D87" s="27"/>
      <c r="E87" s="861"/>
      <c r="F87" s="862"/>
      <c r="G87" s="869"/>
      <c r="H87" s="870"/>
      <c r="I87" s="871"/>
      <c r="J87" s="26"/>
      <c r="K87" s="26"/>
      <c r="L87" s="26"/>
      <c r="M87" s="26"/>
      <c r="N87" s="26"/>
      <c r="O87" s="26"/>
      <c r="P87" s="26"/>
      <c r="Q87" s="26"/>
      <c r="R87" s="26"/>
      <c r="S87" s="31"/>
      <c r="T87" s="31"/>
      <c r="U87" s="200"/>
      <c r="V87" s="200"/>
      <c r="W87" s="200"/>
      <c r="X87" s="200"/>
      <c r="Y87" s="200"/>
      <c r="Z87" s="200"/>
      <c r="AA87" s="200"/>
      <c r="AB87" s="201"/>
      <c r="AC87" s="200"/>
      <c r="AD87" s="200"/>
    </row>
    <row r="88" spans="1:49" s="191" customFormat="1" ht="18" customHeight="1">
      <c r="A88" s="187"/>
      <c r="B88" s="187"/>
      <c r="C88" s="188"/>
      <c r="D88" s="27"/>
      <c r="E88" s="861"/>
      <c r="F88" s="862"/>
      <c r="G88" s="869"/>
      <c r="H88" s="870"/>
      <c r="I88" s="871"/>
      <c r="J88" s="26"/>
      <c r="K88" s="26"/>
      <c r="L88" s="26"/>
      <c r="M88" s="26"/>
      <c r="N88" s="26"/>
      <c r="O88" s="26"/>
      <c r="P88" s="26"/>
      <c r="Q88" s="26"/>
      <c r="R88" s="26"/>
      <c r="S88" s="31"/>
      <c r="T88" s="31"/>
      <c r="U88" s="200"/>
      <c r="V88" s="200"/>
      <c r="W88" s="200"/>
      <c r="X88" s="200"/>
      <c r="Y88" s="200"/>
      <c r="Z88" s="200"/>
      <c r="AA88" s="200"/>
      <c r="AB88" s="201"/>
      <c r="AC88" s="200"/>
      <c r="AD88" s="200"/>
    </row>
    <row r="89" spans="1:49" s="191" customFormat="1" ht="18" customHeight="1">
      <c r="A89" s="187"/>
      <c r="B89" s="187"/>
      <c r="C89" s="188"/>
      <c r="D89" s="27"/>
      <c r="E89" s="861"/>
      <c r="F89" s="862"/>
      <c r="G89" s="869"/>
      <c r="H89" s="870"/>
      <c r="I89" s="871"/>
      <c r="J89" s="26"/>
      <c r="K89" s="26"/>
      <c r="L89" s="26"/>
      <c r="M89" s="26"/>
      <c r="N89" s="26"/>
      <c r="O89" s="26"/>
      <c r="P89" s="26"/>
      <c r="Q89" s="26"/>
      <c r="R89" s="26"/>
      <c r="S89" s="31"/>
      <c r="T89" s="31"/>
      <c r="U89" s="200"/>
      <c r="V89" s="200"/>
      <c r="W89" s="200"/>
      <c r="X89" s="200"/>
      <c r="Y89" s="200"/>
      <c r="Z89" s="200"/>
      <c r="AA89" s="200"/>
      <c r="AB89" s="201"/>
      <c r="AC89" s="200"/>
      <c r="AD89" s="200"/>
    </row>
    <row r="90" spans="1:49" s="191" customFormat="1" ht="18" customHeight="1">
      <c r="A90" s="187"/>
      <c r="B90" s="187"/>
      <c r="C90" s="188"/>
      <c r="D90" s="27"/>
      <c r="E90" s="861"/>
      <c r="F90" s="862"/>
      <c r="G90" s="869"/>
      <c r="H90" s="870"/>
      <c r="I90" s="871"/>
      <c r="J90" s="26"/>
      <c r="K90" s="26"/>
      <c r="L90" s="26"/>
      <c r="M90" s="26"/>
      <c r="N90" s="26"/>
      <c r="O90" s="26"/>
      <c r="P90" s="26"/>
      <c r="Q90" s="26"/>
      <c r="R90" s="26"/>
      <c r="S90" s="31"/>
      <c r="T90" s="31"/>
      <c r="U90" s="200"/>
      <c r="V90" s="200"/>
      <c r="W90" s="200"/>
      <c r="X90" s="200"/>
      <c r="Y90" s="200"/>
      <c r="Z90" s="200"/>
      <c r="AA90" s="200"/>
      <c r="AB90" s="201"/>
      <c r="AC90" s="200"/>
      <c r="AD90" s="200"/>
    </row>
    <row r="91" spans="1:49" s="191" customFormat="1" ht="18" customHeight="1" thickBot="1">
      <c r="A91" s="187"/>
      <c r="B91" s="187"/>
      <c r="C91" s="188"/>
      <c r="D91" s="27"/>
      <c r="E91" s="859"/>
      <c r="F91" s="860"/>
      <c r="G91" s="838"/>
      <c r="H91" s="839"/>
      <c r="I91" s="858"/>
      <c r="J91" s="26"/>
      <c r="K91" s="26"/>
      <c r="L91" s="26"/>
      <c r="M91" s="26"/>
      <c r="N91" s="26"/>
      <c r="O91" s="24"/>
      <c r="P91" s="26"/>
      <c r="Q91" s="26"/>
      <c r="R91" s="26"/>
      <c r="S91" s="31"/>
      <c r="T91" s="31"/>
      <c r="U91" s="200"/>
      <c r="V91" s="200"/>
      <c r="W91" s="200"/>
      <c r="X91" s="200"/>
      <c r="Y91" s="200"/>
      <c r="Z91" s="200"/>
      <c r="AA91" s="201"/>
      <c r="AB91" s="200"/>
      <c r="AC91" s="200"/>
      <c r="AD91" s="200"/>
      <c r="AE91" s="200"/>
    </row>
    <row r="92" spans="1:49" s="191" customFormat="1" ht="36" customHeight="1">
      <c r="A92" s="187"/>
      <c r="B92" s="187"/>
      <c r="C92" s="188"/>
      <c r="D92" s="27"/>
      <c r="E92" s="26"/>
      <c r="F92" s="26"/>
      <c r="G92" s="26"/>
      <c r="H92" s="26"/>
      <c r="I92" s="26"/>
      <c r="J92" s="26"/>
      <c r="K92" s="26"/>
      <c r="L92" s="26"/>
      <c r="M92" s="26"/>
      <c r="N92" s="26"/>
      <c r="O92" s="26"/>
      <c r="P92" s="26"/>
      <c r="Q92" s="26"/>
      <c r="R92" s="26"/>
      <c r="S92" s="31"/>
      <c r="T92" s="31"/>
      <c r="U92" s="200"/>
      <c r="V92" s="200"/>
      <c r="W92" s="200"/>
      <c r="X92" s="200"/>
      <c r="Y92" s="200"/>
      <c r="Z92" s="200"/>
      <c r="AA92" s="201"/>
      <c r="AB92" s="200"/>
      <c r="AC92" s="200"/>
      <c r="AD92" s="200"/>
      <c r="AE92" s="200"/>
    </row>
    <row r="93" spans="1:49" s="191" customFormat="1" ht="18" customHeight="1">
      <c r="A93" s="187"/>
      <c r="B93" s="187"/>
      <c r="C93" s="188"/>
      <c r="D93" s="52" t="s">
        <v>4345</v>
      </c>
      <c r="E93" s="24"/>
      <c r="F93" s="24"/>
      <c r="G93" s="24"/>
      <c r="H93" s="24"/>
      <c r="I93" s="24"/>
      <c r="J93" s="24"/>
      <c r="K93" s="24"/>
      <c r="L93" s="24"/>
      <c r="M93" s="24"/>
      <c r="N93" s="24"/>
      <c r="O93" s="24"/>
      <c r="P93" s="24"/>
      <c r="Q93" s="24"/>
      <c r="R93" s="24"/>
      <c r="S93" s="31"/>
      <c r="T93" s="31"/>
      <c r="U93" s="200"/>
      <c r="V93" s="200"/>
      <c r="W93" s="200"/>
      <c r="X93" s="200"/>
      <c r="Y93" s="200"/>
      <c r="Z93" s="200"/>
      <c r="AA93" s="201"/>
      <c r="AB93" s="200"/>
      <c r="AC93" s="200"/>
      <c r="AD93" s="200"/>
    </row>
    <row r="94" spans="1:49" s="191" customFormat="1" ht="18" customHeight="1" thickBot="1">
      <c r="A94" s="187"/>
      <c r="B94" s="187"/>
      <c r="C94" s="188"/>
      <c r="D94" s="24"/>
      <c r="E94" s="42" t="s">
        <v>4244</v>
      </c>
      <c r="F94" s="24"/>
      <c r="G94" s="24"/>
      <c r="H94" s="24"/>
      <c r="I94" s="24"/>
      <c r="J94" s="24"/>
      <c r="K94" s="48"/>
      <c r="L94" s="24"/>
      <c r="M94" s="24"/>
      <c r="N94" s="70"/>
      <c r="O94" s="809"/>
      <c r="P94" s="809"/>
      <c r="Q94" s="809"/>
      <c r="R94" s="809"/>
      <c r="S94" s="31"/>
      <c r="T94" s="31"/>
      <c r="U94" s="200"/>
      <c r="V94" s="200"/>
      <c r="AA94" s="199"/>
    </row>
    <row r="95" spans="1:49" s="191" customFormat="1" ht="38" customHeight="1">
      <c r="A95" s="187"/>
      <c r="B95" s="187"/>
      <c r="C95" s="188"/>
      <c r="D95" s="27"/>
      <c r="E95" s="163" t="s">
        <v>100</v>
      </c>
      <c r="F95" s="244"/>
      <c r="G95" s="245"/>
      <c r="H95" s="245"/>
      <c r="I95" s="245"/>
      <c r="J95" s="26"/>
      <c r="K95" s="26"/>
      <c r="L95" s="26"/>
      <c r="M95" s="31"/>
      <c r="N95" s="31"/>
      <c r="O95" s="26"/>
      <c r="P95" s="24"/>
      <c r="Q95" s="26"/>
      <c r="R95" s="26"/>
      <c r="S95" s="31"/>
      <c r="T95" s="31"/>
      <c r="U95" s="200"/>
      <c r="V95" s="200"/>
      <c r="W95" s="200"/>
      <c r="X95" s="200"/>
      <c r="Y95" s="200"/>
      <c r="Z95" s="200"/>
      <c r="AA95" s="200"/>
      <c r="AB95" s="201"/>
      <c r="AC95" s="200"/>
      <c r="AD95" s="200"/>
      <c r="AW95" s="187"/>
    </row>
    <row r="96" spans="1:49" s="191" customFormat="1" ht="18" customHeight="1">
      <c r="A96" s="187"/>
      <c r="B96" s="187"/>
      <c r="C96" s="188"/>
      <c r="D96" s="27"/>
      <c r="E96" s="71" t="s">
        <v>67</v>
      </c>
      <c r="F96" s="72"/>
      <c r="G96" s="848"/>
      <c r="H96" s="849"/>
      <c r="I96" s="850"/>
      <c r="J96" s="26"/>
      <c r="K96" s="26"/>
      <c r="L96" s="26"/>
      <c r="M96" s="26"/>
      <c r="N96" s="26"/>
      <c r="O96" s="26"/>
      <c r="P96" s="26"/>
      <c r="Q96" s="26"/>
      <c r="R96" s="26"/>
      <c r="S96" s="31"/>
      <c r="T96" s="31"/>
      <c r="U96" s="200"/>
      <c r="V96" s="200"/>
      <c r="W96" s="200"/>
      <c r="X96" s="200"/>
      <c r="Y96" s="200"/>
      <c r="Z96" s="200"/>
      <c r="AA96" s="200"/>
      <c r="AB96" s="201"/>
      <c r="AC96" s="200"/>
      <c r="AD96" s="200"/>
    </row>
    <row r="97" spans="1:33" s="191" customFormat="1" ht="18" customHeight="1">
      <c r="A97" s="187"/>
      <c r="B97" s="187"/>
      <c r="C97" s="188"/>
      <c r="D97" s="27"/>
      <c r="E97" s="73" t="s">
        <v>103</v>
      </c>
      <c r="F97" s="74"/>
      <c r="G97" s="845"/>
      <c r="H97" s="846"/>
      <c r="I97" s="847"/>
      <c r="J97" s="26"/>
      <c r="K97" s="26"/>
      <c r="L97" s="26"/>
      <c r="M97" s="26"/>
      <c r="N97" s="26"/>
      <c r="O97" s="26"/>
      <c r="P97" s="26"/>
      <c r="Q97" s="26"/>
      <c r="R97" s="26"/>
      <c r="S97" s="31"/>
      <c r="T97" s="31"/>
      <c r="U97" s="200"/>
      <c r="V97" s="200"/>
      <c r="W97" s="200"/>
      <c r="X97" s="200"/>
      <c r="Y97" s="200"/>
      <c r="Z97" s="200"/>
      <c r="AA97" s="200"/>
      <c r="AB97" s="201"/>
      <c r="AC97" s="200"/>
      <c r="AD97" s="200"/>
    </row>
    <row r="98" spans="1:33" s="191" customFormat="1" ht="18" customHeight="1" thickBot="1">
      <c r="A98" s="187"/>
      <c r="B98" s="187"/>
      <c r="C98" s="188"/>
      <c r="D98" s="27"/>
      <c r="E98" s="75" t="s">
        <v>102</v>
      </c>
      <c r="F98" s="76"/>
      <c r="G98" s="842"/>
      <c r="H98" s="843"/>
      <c r="I98" s="844"/>
      <c r="J98" s="24" t="str">
        <f>"　←"&amp;$AB$1&amp;"年度（基準年度）の数値をご入力ください。"</f>
        <v>　←0年度（基準年度）の数値をご入力ください。</v>
      </c>
      <c r="K98" s="26"/>
      <c r="L98" s="26"/>
      <c r="M98" s="26"/>
      <c r="N98" s="26"/>
      <c r="O98" s="26"/>
      <c r="P98" s="26"/>
      <c r="Q98" s="26"/>
      <c r="R98" s="26"/>
      <c r="S98" s="31"/>
      <c r="T98" s="31"/>
      <c r="U98" s="200"/>
      <c r="V98" s="200"/>
      <c r="W98" s="200"/>
      <c r="X98" s="200"/>
      <c r="Y98" s="200"/>
      <c r="Z98" s="200"/>
      <c r="AA98" s="200"/>
      <c r="AB98" s="201"/>
      <c r="AC98" s="200"/>
      <c r="AD98" s="200"/>
    </row>
    <row r="99" spans="1:33" s="191" customFormat="1" ht="18" customHeight="1">
      <c r="A99" s="187"/>
      <c r="B99" s="187"/>
      <c r="C99" s="188"/>
      <c r="D99" s="27"/>
      <c r="E99" s="26"/>
      <c r="F99" s="26"/>
      <c r="G99" s="26"/>
      <c r="H99" s="26"/>
      <c r="I99" s="26"/>
      <c r="J99" s="47"/>
      <c r="K99" s="26"/>
      <c r="L99" s="26"/>
      <c r="M99" s="26"/>
      <c r="N99" s="26"/>
      <c r="O99" s="26"/>
      <c r="P99" s="26"/>
      <c r="Q99" s="26"/>
      <c r="R99" s="26"/>
      <c r="S99" s="31"/>
      <c r="T99" s="31"/>
      <c r="U99" s="200"/>
      <c r="V99" s="200"/>
      <c r="W99" s="200"/>
      <c r="X99" s="200"/>
      <c r="Y99" s="200"/>
      <c r="Z99" s="200"/>
      <c r="AA99" s="201"/>
      <c r="AB99" s="200"/>
      <c r="AC99" s="200"/>
      <c r="AD99" s="200"/>
      <c r="AE99" s="200"/>
    </row>
    <row r="100" spans="1:33" ht="18" hidden="1" customHeight="1">
      <c r="D100" s="77"/>
      <c r="E100" s="77"/>
      <c r="F100" s="77"/>
      <c r="G100" s="77"/>
      <c r="H100" s="77"/>
      <c r="I100" s="77"/>
      <c r="J100" s="77"/>
      <c r="K100" s="77"/>
      <c r="L100" s="77"/>
      <c r="M100" s="77"/>
      <c r="N100" s="77"/>
      <c r="O100" s="77"/>
      <c r="P100" s="77"/>
      <c r="Q100" s="77"/>
      <c r="R100" s="28"/>
      <c r="S100" s="28"/>
      <c r="T100" s="14"/>
    </row>
    <row r="101" spans="1:33" s="191" customFormat="1" ht="18" hidden="1" customHeight="1">
      <c r="A101" s="187"/>
      <c r="B101" s="187"/>
      <c r="C101" s="188"/>
      <c r="D101" s="14"/>
      <c r="E101" s="14"/>
      <c r="F101" s="14"/>
      <c r="G101" s="14"/>
      <c r="H101" s="14"/>
      <c r="I101" s="14"/>
      <c r="J101" s="14"/>
      <c r="K101" s="14"/>
      <c r="L101" s="14"/>
      <c r="M101" s="14"/>
      <c r="N101" s="14"/>
      <c r="O101" s="14"/>
      <c r="P101" s="14"/>
      <c r="Q101" s="31"/>
      <c r="R101" s="31"/>
      <c r="S101" s="31"/>
      <c r="T101" s="31"/>
      <c r="U101" s="200"/>
      <c r="V101" s="200"/>
      <c r="W101" s="200"/>
      <c r="X101" s="200"/>
      <c r="Y101" s="200"/>
      <c r="Z101" s="200"/>
      <c r="AA101" s="199"/>
      <c r="AG101" s="200"/>
    </row>
    <row r="102" spans="1:33" s="191" customFormat="1" ht="18" hidden="1" customHeight="1">
      <c r="A102" s="187"/>
      <c r="B102" s="187"/>
      <c r="C102" s="192"/>
      <c r="D102" s="28"/>
      <c r="E102" s="28"/>
      <c r="F102" s="28"/>
      <c r="G102" s="28"/>
      <c r="H102" s="28"/>
      <c r="I102" s="28"/>
      <c r="J102" s="28"/>
      <c r="K102" s="28"/>
      <c r="L102" s="28"/>
      <c r="M102" s="28"/>
      <c r="N102" s="28"/>
      <c r="O102" s="28"/>
      <c r="P102" s="28"/>
      <c r="Q102" s="28"/>
      <c r="R102" s="28"/>
      <c r="S102" s="28"/>
      <c r="T102" s="28"/>
      <c r="U102" s="200"/>
      <c r="V102" s="200"/>
      <c r="W102" s="200"/>
      <c r="X102" s="200"/>
      <c r="Y102" s="200"/>
      <c r="Z102" s="200"/>
      <c r="AA102" s="199"/>
      <c r="AG102" s="200"/>
    </row>
    <row r="103" spans="1:33" s="191" customFormat="1" ht="18" hidden="1" customHeight="1">
      <c r="A103" s="187"/>
      <c r="B103" s="187"/>
      <c r="C103" s="192"/>
      <c r="D103" s="28"/>
      <c r="E103" s="28"/>
      <c r="F103" s="28"/>
      <c r="G103" s="28"/>
      <c r="H103" s="28"/>
      <c r="I103" s="28"/>
      <c r="J103" s="28"/>
      <c r="K103" s="28"/>
      <c r="L103" s="28"/>
      <c r="M103" s="28"/>
      <c r="N103" s="28"/>
      <c r="O103" s="28"/>
      <c r="P103" s="28"/>
      <c r="Q103" s="28"/>
      <c r="R103" s="28"/>
      <c r="S103" s="28"/>
      <c r="T103" s="28"/>
      <c r="U103" s="200"/>
      <c r="V103" s="200"/>
      <c r="W103" s="200"/>
      <c r="X103" s="200"/>
      <c r="Y103" s="200"/>
      <c r="Z103" s="200"/>
      <c r="AA103" s="199"/>
      <c r="AG103" s="200"/>
    </row>
    <row r="104" spans="1:33" s="191" customFormat="1" ht="18" hidden="1" customHeight="1">
      <c r="A104" s="187"/>
      <c r="B104" s="187"/>
      <c r="C104" s="192"/>
      <c r="D104" s="28"/>
      <c r="E104" s="28"/>
      <c r="F104" s="28"/>
      <c r="G104" s="28"/>
      <c r="H104" s="28"/>
      <c r="I104" s="28"/>
      <c r="J104" s="28"/>
      <c r="K104" s="28"/>
      <c r="L104" s="28"/>
      <c r="M104" s="28"/>
      <c r="N104" s="28"/>
      <c r="O104" s="28"/>
      <c r="P104" s="28"/>
      <c r="Q104" s="28"/>
      <c r="R104" s="28"/>
      <c r="S104" s="28"/>
      <c r="T104" s="28"/>
      <c r="U104" s="200"/>
      <c r="V104" s="200"/>
      <c r="W104" s="200"/>
      <c r="X104" s="200"/>
      <c r="Y104" s="200"/>
      <c r="Z104" s="200"/>
      <c r="AA104" s="199"/>
      <c r="AG104" s="200"/>
    </row>
    <row r="105" spans="1:33" s="191" customFormat="1" ht="18" hidden="1" customHeight="1">
      <c r="A105" s="187"/>
      <c r="B105" s="187"/>
      <c r="C105" s="192"/>
      <c r="D105" s="28"/>
      <c r="E105" s="28"/>
      <c r="F105" s="28"/>
      <c r="G105" s="28"/>
      <c r="H105" s="28"/>
      <c r="I105" s="28"/>
      <c r="J105" s="28"/>
      <c r="K105" s="28"/>
      <c r="L105" s="28"/>
      <c r="M105" s="28"/>
      <c r="N105" s="28"/>
      <c r="O105" s="28"/>
      <c r="P105" s="28"/>
      <c r="Q105" s="28"/>
      <c r="R105" s="28"/>
      <c r="S105" s="28"/>
      <c r="T105" s="28"/>
      <c r="U105" s="200"/>
      <c r="V105" s="200"/>
      <c r="W105" s="200"/>
      <c r="X105" s="200"/>
      <c r="Y105" s="200"/>
      <c r="Z105" s="200"/>
      <c r="AA105" s="199"/>
      <c r="AG105" s="200"/>
    </row>
    <row r="106" spans="1:33" s="191" customFormat="1" ht="18" hidden="1" customHeight="1">
      <c r="A106" s="187"/>
      <c r="B106" s="187"/>
      <c r="C106" s="192"/>
      <c r="D106" s="28"/>
      <c r="E106" s="28"/>
      <c r="F106" s="28"/>
      <c r="G106" s="28"/>
      <c r="H106" s="28"/>
      <c r="I106" s="28"/>
      <c r="J106" s="28"/>
      <c r="K106" s="28"/>
      <c r="L106" s="28"/>
      <c r="M106" s="28"/>
      <c r="N106" s="28"/>
      <c r="O106" s="28"/>
      <c r="P106" s="28"/>
      <c r="Q106" s="28"/>
      <c r="R106" s="28"/>
      <c r="S106" s="28"/>
      <c r="T106" s="28"/>
      <c r="U106" s="200"/>
      <c r="V106" s="200"/>
      <c r="W106" s="200"/>
      <c r="X106" s="200"/>
      <c r="Y106" s="200"/>
      <c r="Z106" s="200"/>
      <c r="AA106" s="199"/>
      <c r="AG106" s="200"/>
    </row>
    <row r="107" spans="1:33" s="191" customFormat="1" ht="18" hidden="1" customHeight="1">
      <c r="A107" s="187"/>
      <c r="B107" s="187"/>
      <c r="C107" s="192"/>
      <c r="D107" s="28"/>
      <c r="E107" s="28"/>
      <c r="F107" s="28"/>
      <c r="G107" s="28"/>
      <c r="H107" s="28"/>
      <c r="I107" s="28"/>
      <c r="J107" s="28"/>
      <c r="K107" s="28"/>
      <c r="L107" s="28"/>
      <c r="M107" s="28"/>
      <c r="N107" s="28"/>
      <c r="O107" s="28"/>
      <c r="P107" s="28"/>
      <c r="Q107" s="28"/>
      <c r="R107" s="28"/>
      <c r="S107" s="28"/>
      <c r="T107" s="28"/>
      <c r="U107" s="200"/>
      <c r="V107" s="200"/>
      <c r="W107" s="200"/>
      <c r="X107" s="200"/>
      <c r="Y107" s="200"/>
      <c r="AA107" s="199"/>
      <c r="AF107" s="200"/>
    </row>
    <row r="108" spans="1:33" s="191" customFormat="1" ht="18" customHeight="1">
      <c r="A108" s="187"/>
      <c r="B108" s="187"/>
      <c r="C108" s="192"/>
      <c r="D108" s="28"/>
      <c r="E108" s="28"/>
      <c r="F108" s="28"/>
      <c r="G108" s="28"/>
      <c r="H108" s="28"/>
      <c r="I108" s="28"/>
      <c r="J108" s="28"/>
      <c r="K108" s="28"/>
      <c r="L108" s="28"/>
      <c r="M108" s="28"/>
      <c r="N108" s="28"/>
      <c r="O108" s="28"/>
      <c r="P108" s="28"/>
      <c r="Q108" s="28"/>
      <c r="R108" s="28"/>
      <c r="S108" s="28"/>
      <c r="T108" s="28"/>
      <c r="U108" s="200"/>
      <c r="V108" s="200"/>
      <c r="W108" s="200"/>
      <c r="X108" s="200"/>
      <c r="Y108" s="200"/>
      <c r="AA108" s="199"/>
      <c r="AF108" s="200"/>
    </row>
    <row r="109" spans="1:33" s="191" customFormat="1" ht="18" customHeight="1">
      <c r="A109" s="187"/>
      <c r="B109" s="187"/>
      <c r="C109" s="192"/>
      <c r="D109" s="52" t="s">
        <v>4434</v>
      </c>
      <c r="E109" s="28"/>
      <c r="F109" s="28"/>
      <c r="G109" s="28"/>
      <c r="H109" s="28"/>
      <c r="I109" s="28"/>
      <c r="J109" s="28"/>
      <c r="K109" s="28"/>
      <c r="L109" s="28"/>
      <c r="M109" s="28"/>
      <c r="N109" s="28"/>
      <c r="O109" s="28"/>
      <c r="P109" s="28"/>
      <c r="Q109" s="28"/>
      <c r="R109" s="28"/>
      <c r="S109" s="28"/>
      <c r="T109" s="28"/>
      <c r="U109" s="200"/>
      <c r="V109" s="200"/>
      <c r="W109" s="200"/>
      <c r="X109" s="200"/>
      <c r="Y109" s="200"/>
      <c r="AA109" s="199"/>
      <c r="AF109" s="200"/>
    </row>
    <row r="110" spans="1:33" s="191" customFormat="1" ht="18" customHeight="1" thickBot="1">
      <c r="A110" s="187"/>
      <c r="B110" s="187"/>
      <c r="C110" s="192"/>
      <c r="D110" s="28"/>
      <c r="E110" s="711" t="str">
        <f>"６-１．" &amp; $AB$1&amp; "年度末における使用車両数をご入力ください。"</f>
        <v>６-１．0年度末における使用車両数をご入力ください。</v>
      </c>
      <c r="F110" s="168"/>
      <c r="G110" s="168"/>
      <c r="H110" s="168"/>
      <c r="I110" s="28"/>
      <c r="J110" s="28"/>
      <c r="K110" s="28"/>
      <c r="L110" s="28"/>
      <c r="M110" s="28"/>
      <c r="N110" s="28"/>
      <c r="O110" s="28"/>
      <c r="P110" s="28"/>
      <c r="Q110" s="28"/>
      <c r="R110" s="28"/>
      <c r="S110" s="28"/>
      <c r="T110" s="28"/>
      <c r="U110" s="200"/>
      <c r="V110" s="200"/>
      <c r="W110" s="200"/>
      <c r="X110" s="200"/>
      <c r="Y110" s="200"/>
      <c r="AA110" s="199"/>
      <c r="AF110" s="200"/>
    </row>
    <row r="111" spans="1:33" s="191" customFormat="1" ht="18" customHeight="1">
      <c r="A111" s="187"/>
      <c r="B111" s="187"/>
      <c r="C111" s="192"/>
      <c r="D111" s="28"/>
      <c r="E111" s="911" t="s">
        <v>4422</v>
      </c>
      <c r="F111" s="912"/>
      <c r="G111" s="915" t="s">
        <v>4416</v>
      </c>
      <c r="H111" s="916"/>
      <c r="I111" s="911" t="s">
        <v>4417</v>
      </c>
      <c r="J111" s="912"/>
      <c r="K111" s="912"/>
      <c r="L111" s="912"/>
      <c r="M111" s="912"/>
      <c r="N111" s="828" t="s">
        <v>4418</v>
      </c>
      <c r="O111" s="28"/>
      <c r="P111" s="28"/>
      <c r="Q111" s="28"/>
      <c r="R111" s="28"/>
      <c r="S111" s="28"/>
      <c r="T111" s="28"/>
      <c r="U111" s="200"/>
      <c r="V111" s="200"/>
      <c r="W111" s="200"/>
      <c r="X111" s="200"/>
      <c r="Y111" s="200"/>
      <c r="AA111" s="199"/>
      <c r="AF111" s="200"/>
    </row>
    <row r="112" spans="1:33" s="191" customFormat="1" ht="18" customHeight="1">
      <c r="A112" s="187"/>
      <c r="B112" s="187"/>
      <c r="C112" s="192"/>
      <c r="D112" s="28"/>
      <c r="E112" s="913"/>
      <c r="F112" s="914"/>
      <c r="G112" s="917"/>
      <c r="H112" s="918"/>
      <c r="I112" s="913"/>
      <c r="J112" s="914"/>
      <c r="K112" s="914"/>
      <c r="L112" s="914"/>
      <c r="M112" s="914"/>
      <c r="N112" s="829"/>
      <c r="O112" s="28"/>
      <c r="P112" s="28"/>
      <c r="Q112" s="28"/>
      <c r="R112" s="28"/>
      <c r="S112" s="28"/>
      <c r="T112" s="28"/>
      <c r="U112" s="200"/>
      <c r="V112" s="200"/>
      <c r="W112" s="200"/>
      <c r="X112" s="200"/>
      <c r="Y112" s="200"/>
      <c r="AA112" s="199"/>
      <c r="AF112" s="200"/>
    </row>
    <row r="113" spans="1:40" s="191" customFormat="1" ht="18" customHeight="1">
      <c r="A113" s="187"/>
      <c r="B113" s="187"/>
      <c r="C113" s="192"/>
      <c r="D113" s="28"/>
      <c r="E113" s="834" t="s">
        <v>4423</v>
      </c>
      <c r="F113" s="835"/>
      <c r="G113" s="909"/>
      <c r="H113" s="910"/>
      <c r="I113" s="173" t="s">
        <v>4419</v>
      </c>
      <c r="J113" s="173"/>
      <c r="K113" s="251"/>
      <c r="L113" s="252"/>
      <c r="M113" s="252"/>
      <c r="N113" s="381"/>
      <c r="O113" s="28"/>
      <c r="P113" s="28"/>
      <c r="Q113" s="28"/>
      <c r="R113" s="28"/>
      <c r="S113" s="28"/>
      <c r="T113" s="28"/>
      <c r="U113" s="200"/>
      <c r="V113" s="200"/>
      <c r="W113" s="200"/>
      <c r="X113" s="200"/>
      <c r="Y113" s="200"/>
      <c r="AA113" s="199"/>
      <c r="AF113" s="200"/>
    </row>
    <row r="114" spans="1:40" s="191" customFormat="1" ht="18" customHeight="1">
      <c r="A114" s="187"/>
      <c r="B114" s="187"/>
      <c r="C114" s="192"/>
      <c r="D114" s="28"/>
      <c r="E114" s="836"/>
      <c r="F114" s="837"/>
      <c r="G114" s="905"/>
      <c r="H114" s="906"/>
      <c r="I114" s="170" t="s">
        <v>4420</v>
      </c>
      <c r="J114" s="170"/>
      <c r="K114" s="177"/>
      <c r="L114" s="178"/>
      <c r="M114" s="178"/>
      <c r="N114" s="382"/>
      <c r="O114" s="28"/>
      <c r="P114" s="28"/>
      <c r="Q114" s="28"/>
      <c r="R114" s="28"/>
      <c r="S114" s="28"/>
      <c r="T114" s="28"/>
      <c r="U114" s="200"/>
      <c r="V114" s="200"/>
      <c r="W114" s="200"/>
      <c r="X114" s="200"/>
      <c r="Y114" s="200"/>
      <c r="AA114" s="199"/>
      <c r="AF114" s="200"/>
    </row>
    <row r="115" spans="1:40" s="191" customFormat="1" ht="18" customHeight="1">
      <c r="A115" s="187"/>
      <c r="B115" s="187"/>
      <c r="C115" s="192"/>
      <c r="D115" s="28"/>
      <c r="E115" s="836"/>
      <c r="F115" s="837"/>
      <c r="G115" s="905"/>
      <c r="H115" s="906"/>
      <c r="I115" s="171" t="s">
        <v>4421</v>
      </c>
      <c r="J115" s="171"/>
      <c r="K115" s="171"/>
      <c r="L115" s="174"/>
      <c r="M115" s="174"/>
      <c r="N115" s="385"/>
      <c r="O115" s="28"/>
      <c r="P115" s="28"/>
      <c r="Q115" s="28"/>
      <c r="R115" s="28"/>
      <c r="S115" s="28"/>
      <c r="T115" s="28"/>
      <c r="U115" s="200"/>
      <c r="V115" s="200"/>
      <c r="W115" s="200"/>
      <c r="X115" s="200"/>
      <c r="Y115" s="200"/>
      <c r="AA115" s="199"/>
      <c r="AF115" s="200"/>
    </row>
    <row r="116" spans="1:40" s="191" customFormat="1" ht="18" customHeight="1">
      <c r="A116" s="187"/>
      <c r="B116" s="187"/>
      <c r="C116" s="192"/>
      <c r="D116" s="28"/>
      <c r="E116" s="830" t="s">
        <v>4424</v>
      </c>
      <c r="F116" s="831"/>
      <c r="G116" s="905"/>
      <c r="H116" s="906"/>
      <c r="I116" s="237" t="s">
        <v>4419</v>
      </c>
      <c r="J116" s="240"/>
      <c r="K116" s="240"/>
      <c r="L116" s="240"/>
      <c r="M116" s="240"/>
      <c r="N116" s="384"/>
      <c r="O116" s="28"/>
      <c r="P116" s="28"/>
      <c r="Q116" s="28"/>
      <c r="R116" s="28"/>
      <c r="S116" s="28"/>
      <c r="T116" s="28"/>
      <c r="U116" s="200"/>
      <c r="V116" s="200"/>
      <c r="W116" s="200"/>
      <c r="X116" s="200"/>
      <c r="Y116" s="200"/>
      <c r="AA116" s="199"/>
      <c r="AF116" s="200"/>
    </row>
    <row r="117" spans="1:40" s="191" customFormat="1" ht="18" customHeight="1">
      <c r="A117" s="187"/>
      <c r="B117" s="187"/>
      <c r="C117" s="192"/>
      <c r="D117" s="28"/>
      <c r="E117" s="830"/>
      <c r="F117" s="831"/>
      <c r="G117" s="905"/>
      <c r="H117" s="906"/>
      <c r="I117" s="172" t="s">
        <v>4420</v>
      </c>
      <c r="J117" s="176"/>
      <c r="K117" s="176"/>
      <c r="L117" s="176"/>
      <c r="M117" s="176"/>
      <c r="N117" s="382"/>
      <c r="O117" s="28"/>
      <c r="P117" s="28"/>
      <c r="Q117" s="28"/>
      <c r="R117" s="28"/>
      <c r="S117" s="28"/>
      <c r="T117" s="28"/>
      <c r="U117" s="200"/>
      <c r="V117" s="200"/>
      <c r="W117" s="200"/>
      <c r="X117" s="200"/>
      <c r="Y117" s="200"/>
      <c r="AA117" s="199"/>
      <c r="AF117" s="200"/>
    </row>
    <row r="118" spans="1:40" s="191" customFormat="1" ht="18" customHeight="1">
      <c r="A118" s="187"/>
      <c r="B118" s="187"/>
      <c r="C118" s="192"/>
      <c r="D118" s="28"/>
      <c r="E118" s="830"/>
      <c r="F118" s="831"/>
      <c r="G118" s="905"/>
      <c r="H118" s="906"/>
      <c r="I118" s="238" t="s">
        <v>4421</v>
      </c>
      <c r="J118" s="239"/>
      <c r="K118" s="239"/>
      <c r="L118" s="239"/>
      <c r="M118" s="239"/>
      <c r="N118" s="383"/>
      <c r="O118" s="28"/>
      <c r="P118" s="28"/>
      <c r="Q118" s="28"/>
      <c r="R118" s="28"/>
      <c r="S118" s="28"/>
      <c r="T118" s="28"/>
      <c r="U118" s="200"/>
      <c r="V118" s="200"/>
      <c r="W118" s="200"/>
      <c r="X118" s="200"/>
      <c r="Y118" s="200"/>
      <c r="AA118" s="199"/>
      <c r="AF118" s="200"/>
    </row>
    <row r="119" spans="1:40" s="191" customFormat="1" ht="18" customHeight="1">
      <c r="A119" s="187"/>
      <c r="B119" s="187"/>
      <c r="C119" s="192"/>
      <c r="D119" s="28"/>
      <c r="E119" s="830" t="s">
        <v>4425</v>
      </c>
      <c r="F119" s="831"/>
      <c r="G119" s="905"/>
      <c r="H119" s="906"/>
      <c r="I119" s="237" t="s">
        <v>4419</v>
      </c>
      <c r="J119" s="240"/>
      <c r="K119" s="240"/>
      <c r="L119" s="240"/>
      <c r="M119" s="240"/>
      <c r="N119" s="384"/>
      <c r="O119" s="28"/>
      <c r="P119" s="28"/>
      <c r="Q119" s="28"/>
      <c r="R119" s="28"/>
      <c r="S119" s="28"/>
      <c r="T119" s="28"/>
      <c r="U119" s="200"/>
      <c r="V119" s="200"/>
      <c r="W119" s="200"/>
      <c r="X119" s="200"/>
      <c r="Y119" s="200"/>
      <c r="AA119" s="199"/>
      <c r="AF119" s="200"/>
    </row>
    <row r="120" spans="1:40" s="191" customFormat="1" ht="18" customHeight="1" thickBot="1">
      <c r="A120" s="187"/>
      <c r="B120" s="187"/>
      <c r="C120" s="192"/>
      <c r="D120" s="28"/>
      <c r="E120" s="832"/>
      <c r="F120" s="833"/>
      <c r="G120" s="907"/>
      <c r="H120" s="908"/>
      <c r="I120" s="732" t="s">
        <v>4420</v>
      </c>
      <c r="J120" s="733"/>
      <c r="K120" s="733"/>
      <c r="L120" s="733"/>
      <c r="M120" s="733"/>
      <c r="N120" s="734"/>
      <c r="O120" s="28"/>
      <c r="P120" s="28"/>
      <c r="Q120" s="28"/>
      <c r="R120" s="28"/>
      <c r="S120" s="28"/>
      <c r="T120" s="28"/>
      <c r="U120" s="200"/>
      <c r="V120" s="200"/>
      <c r="W120" s="200"/>
      <c r="X120" s="200"/>
      <c r="Y120" s="200"/>
      <c r="AA120" s="199"/>
      <c r="AF120" s="200"/>
    </row>
    <row r="121" spans="1:40" s="191" customFormat="1" ht="18" customHeight="1" thickTop="1" thickBot="1">
      <c r="A121" s="187"/>
      <c r="B121" s="187"/>
      <c r="C121" s="192"/>
      <c r="D121" s="28"/>
      <c r="E121" s="851" t="s">
        <v>4426</v>
      </c>
      <c r="F121" s="852"/>
      <c r="G121" s="853" t="str">
        <f>IF(COUNTBLANK(G113:G120)=8,"",SUM(G113,G116,G119))</f>
        <v/>
      </c>
      <c r="H121" s="854"/>
      <c r="I121" s="729" t="s">
        <v>4427</v>
      </c>
      <c r="J121" s="730"/>
      <c r="K121" s="730"/>
      <c r="L121" s="730"/>
      <c r="M121" s="731"/>
      <c r="N121" s="735" t="str">
        <f>IF(COUNTBLANK(N113:N120)=8,"",SUM(N113:N120))</f>
        <v/>
      </c>
      <c r="O121" s="28"/>
      <c r="P121" s="28"/>
      <c r="Q121" s="28"/>
      <c r="R121" s="28"/>
      <c r="S121" s="28"/>
      <c r="T121" s="28"/>
      <c r="U121" s="200"/>
      <c r="V121" s="200"/>
      <c r="W121" s="200"/>
      <c r="X121" s="200"/>
      <c r="Y121" s="200"/>
      <c r="AA121" s="199"/>
      <c r="AF121" s="200"/>
    </row>
    <row r="122" spans="1:40" s="191" customFormat="1" ht="18" customHeight="1">
      <c r="A122" s="187"/>
      <c r="B122" s="187"/>
      <c r="C122" s="192"/>
      <c r="D122" s="28"/>
      <c r="E122" s="28"/>
      <c r="F122" s="28"/>
      <c r="G122" s="14"/>
      <c r="H122" s="28"/>
      <c r="I122" s="31"/>
      <c r="J122" s="28"/>
      <c r="K122" s="28"/>
      <c r="L122" s="28"/>
      <c r="M122" s="28"/>
      <c r="N122" s="14"/>
      <c r="O122" s="28"/>
      <c r="P122" s="28"/>
      <c r="Q122" s="28"/>
      <c r="R122" s="28"/>
      <c r="S122" s="28"/>
      <c r="T122" s="28"/>
      <c r="U122" s="200"/>
      <c r="V122" s="200"/>
      <c r="W122" s="200"/>
      <c r="X122" s="200"/>
      <c r="Y122" s="200"/>
      <c r="AA122" s="199"/>
      <c r="AF122" s="200"/>
    </row>
    <row r="123" spans="1:40" s="191" customFormat="1" ht="18" hidden="1" customHeight="1">
      <c r="A123" s="187"/>
      <c r="B123" s="187"/>
      <c r="C123" s="192"/>
      <c r="D123" s="28"/>
      <c r="E123" s="28"/>
      <c r="F123" s="28"/>
      <c r="G123" s="28"/>
      <c r="H123" s="28"/>
      <c r="I123" s="31"/>
      <c r="J123" s="28"/>
      <c r="K123" s="28"/>
      <c r="L123" s="28"/>
      <c r="M123" s="28"/>
      <c r="N123" s="28"/>
      <c r="O123" s="28"/>
      <c r="P123" s="28"/>
      <c r="Q123" s="28"/>
      <c r="R123" s="28"/>
      <c r="S123" s="28"/>
      <c r="T123" s="28"/>
      <c r="U123" s="200"/>
      <c r="V123" s="200"/>
      <c r="W123" s="200"/>
      <c r="X123" s="200"/>
      <c r="Y123" s="200"/>
      <c r="AA123" s="199"/>
      <c r="AF123" s="200"/>
    </row>
    <row r="124" spans="1:40" s="191" customFormat="1" ht="18" hidden="1" customHeight="1">
      <c r="A124" s="187"/>
      <c r="B124" s="187"/>
      <c r="C124" s="192"/>
      <c r="D124" s="28"/>
      <c r="E124" s="28"/>
      <c r="F124" s="28"/>
      <c r="G124" s="28"/>
      <c r="H124" s="28"/>
      <c r="I124" s="31"/>
      <c r="J124" s="28"/>
      <c r="K124" s="28"/>
      <c r="L124" s="28"/>
      <c r="M124" s="28"/>
      <c r="N124" s="28"/>
      <c r="O124" s="28"/>
      <c r="P124" s="28"/>
      <c r="Q124" s="28"/>
      <c r="R124" s="28"/>
      <c r="S124" s="28"/>
      <c r="T124" s="28"/>
      <c r="U124" s="200"/>
      <c r="V124" s="200"/>
      <c r="W124" s="200"/>
      <c r="X124" s="200"/>
      <c r="Y124" s="200"/>
      <c r="AA124" s="199"/>
      <c r="AF124" s="200"/>
    </row>
    <row r="125" spans="1:40" s="191" customFormat="1" ht="18" customHeight="1">
      <c r="A125" s="187"/>
      <c r="B125" s="187"/>
      <c r="C125" s="192"/>
      <c r="D125" s="28"/>
      <c r="E125" s="28"/>
      <c r="F125" s="28"/>
      <c r="G125" s="28"/>
      <c r="H125" s="28"/>
      <c r="I125" s="28"/>
      <c r="J125" s="28"/>
      <c r="K125" s="28"/>
      <c r="L125" s="28"/>
      <c r="M125" s="28"/>
      <c r="N125" s="28"/>
      <c r="O125" s="28"/>
      <c r="P125" s="28"/>
      <c r="Q125" s="28"/>
      <c r="R125" s="28"/>
      <c r="S125" s="28"/>
      <c r="T125" s="28"/>
      <c r="U125" s="200"/>
      <c r="V125" s="200"/>
      <c r="W125" s="200"/>
      <c r="X125" s="200"/>
      <c r="Y125" s="200"/>
      <c r="Z125" s="200"/>
      <c r="AA125" s="199"/>
      <c r="AG125" s="200"/>
    </row>
    <row r="126" spans="1:40" ht="18" customHeight="1">
      <c r="D126" s="52" t="s">
        <v>4435</v>
      </c>
      <c r="E126" s="10"/>
      <c r="F126" s="10"/>
      <c r="G126" s="10"/>
      <c r="H126" s="10"/>
      <c r="I126" s="10"/>
      <c r="J126" s="10"/>
      <c r="K126" s="10"/>
      <c r="L126" s="10"/>
      <c r="M126" s="10"/>
      <c r="N126" s="10"/>
      <c r="O126" s="10"/>
      <c r="P126" s="10"/>
      <c r="Q126" s="23"/>
      <c r="R126" s="23"/>
      <c r="S126" s="28"/>
      <c r="T126" s="14"/>
      <c r="AN126" s="195"/>
    </row>
    <row r="127" spans="1:40" s="191" customFormat="1" ht="18" customHeight="1">
      <c r="A127" s="187"/>
      <c r="B127" s="187"/>
      <c r="C127" s="188"/>
      <c r="D127" s="24"/>
      <c r="E127" s="42" t="str">
        <f>"７-１．『"&amp;N3&amp;"』の"&amp;AB1&amp;"年度（基準年度）における温室効果ガスの排出状況は以下のとおりです。"</f>
        <v>７-１．『』の0年度（基準年度）における温室効果ガスの排出状況は以下のとおりです。</v>
      </c>
      <c r="F127" s="24"/>
      <c r="G127" s="24"/>
      <c r="H127" s="24"/>
      <c r="I127" s="24"/>
      <c r="J127" s="24"/>
      <c r="K127" s="24"/>
      <c r="L127" s="24"/>
      <c r="M127" s="24"/>
      <c r="N127" s="24"/>
      <c r="O127" s="24"/>
      <c r="P127" s="26"/>
      <c r="Q127" s="26"/>
      <c r="R127" s="26"/>
      <c r="S127" s="14"/>
      <c r="T127" s="14"/>
      <c r="AA127" s="199"/>
      <c r="AF127" s="200"/>
    </row>
    <row r="128" spans="1:40" s="191" customFormat="1" ht="18" hidden="1" customHeight="1">
      <c r="A128" s="187"/>
      <c r="B128" s="187"/>
      <c r="C128" s="188"/>
      <c r="D128" s="24"/>
      <c r="E128" s="24"/>
      <c r="F128" s="24"/>
      <c r="G128" s="24"/>
      <c r="H128" s="24"/>
      <c r="I128" s="24"/>
      <c r="J128" s="24"/>
      <c r="K128" s="24"/>
      <c r="L128" s="24"/>
      <c r="M128" s="24"/>
      <c r="N128" s="24"/>
      <c r="O128" s="24"/>
      <c r="P128" s="26"/>
      <c r="Q128" s="26"/>
      <c r="R128" s="26"/>
      <c r="S128" s="14"/>
      <c r="T128" s="14"/>
      <c r="AA128" s="199"/>
      <c r="AF128" s="200"/>
    </row>
    <row r="129" spans="1:37" s="191" customFormat="1" ht="18" hidden="1" customHeight="1">
      <c r="A129" s="187"/>
      <c r="B129" s="187"/>
      <c r="C129" s="188"/>
      <c r="D129" s="27"/>
      <c r="E129" s="24"/>
      <c r="F129" s="24"/>
      <c r="G129" s="24"/>
      <c r="H129" s="24"/>
      <c r="I129" s="24"/>
      <c r="J129" s="24"/>
      <c r="K129" s="24"/>
      <c r="L129" s="24"/>
      <c r="M129" s="24"/>
      <c r="N129" s="24"/>
      <c r="O129" s="24"/>
      <c r="P129" s="24"/>
      <c r="Q129" s="26"/>
      <c r="R129" s="26"/>
      <c r="S129" s="31"/>
      <c r="T129" s="14"/>
      <c r="AA129" s="199"/>
      <c r="AG129" s="200"/>
    </row>
    <row r="130" spans="1:37" s="191" customFormat="1" ht="36" customHeight="1">
      <c r="A130" s="187"/>
      <c r="B130" s="187"/>
      <c r="C130" s="188"/>
      <c r="D130" s="27"/>
      <c r="E130" s="772" t="s">
        <v>4226</v>
      </c>
      <c r="F130" s="773"/>
      <c r="G130" s="786" t="str">
        <f>IF($AB$1=0,"",$AB$1)</f>
        <v/>
      </c>
      <c r="H130" s="826"/>
      <c r="I130" s="764" t="s">
        <v>4277</v>
      </c>
      <c r="J130" s="765"/>
      <c r="K130" s="765"/>
      <c r="L130" s="766"/>
      <c r="M130" s="254" t="s">
        <v>4231</v>
      </c>
      <c r="N130" s="257" t="str">
        <f>IF('P1'!R4=0,"",'P1'!V14)</f>
        <v/>
      </c>
      <c r="O130" s="258" t="s">
        <v>4499</v>
      </c>
      <c r="P130" s="254" t="s">
        <v>4232</v>
      </c>
      <c r="Q130" s="706" t="str">
        <f>IF('P1'!R4=0,"",'P1'!V17)</f>
        <v/>
      </c>
      <c r="R130" s="259" t="str">
        <f>"t-CO₂/"&amp;$G$97</f>
        <v>t-CO₂/</v>
      </c>
      <c r="S130" s="14"/>
      <c r="T130" s="31"/>
      <c r="U130" s="200"/>
      <c r="V130" s="200"/>
      <c r="AD130" s="199"/>
      <c r="AG130" s="200"/>
      <c r="AH130" s="200"/>
      <c r="AI130" s="200"/>
      <c r="AJ130" s="200"/>
    </row>
    <row r="131" spans="1:37" s="191" customFormat="1" ht="36" customHeight="1">
      <c r="A131" s="187"/>
      <c r="B131" s="187"/>
      <c r="C131" s="188"/>
      <c r="D131" s="27"/>
      <c r="E131" s="776"/>
      <c r="F131" s="777"/>
      <c r="G131" s="790"/>
      <c r="H131" s="827"/>
      <c r="I131" s="748" t="s">
        <v>4511</v>
      </c>
      <c r="J131" s="749"/>
      <c r="K131" s="749"/>
      <c r="L131" s="749"/>
      <c r="M131" s="749"/>
      <c r="N131" s="749"/>
      <c r="O131" s="749"/>
      <c r="P131" s="750"/>
      <c r="Q131" s="712" t="str">
        <f>IF(OR(G121=0,G121="",N121=0,N121=""),"",'P1'!V20)</f>
        <v/>
      </c>
      <c r="R131" s="260" t="s">
        <v>106</v>
      </c>
      <c r="S131" s="31"/>
      <c r="T131" s="31"/>
      <c r="U131" s="200"/>
      <c r="V131" s="200"/>
      <c r="AD131" s="199"/>
      <c r="AG131" s="200"/>
      <c r="AH131" s="200"/>
      <c r="AI131" s="200"/>
      <c r="AJ131" s="200"/>
    </row>
    <row r="132" spans="1:37" s="191" customFormat="1" ht="53.75" customHeight="1">
      <c r="A132" s="187"/>
      <c r="B132" s="187"/>
      <c r="C132" s="188"/>
      <c r="D132" s="27"/>
      <c r="E132" s="24"/>
      <c r="F132" s="24"/>
      <c r="G132" s="24"/>
      <c r="H132" s="24"/>
      <c r="I132" s="24"/>
      <c r="J132" s="24"/>
      <c r="K132" s="24"/>
      <c r="L132" s="24"/>
      <c r="M132" s="24"/>
      <c r="N132" s="150"/>
      <c r="O132" s="24"/>
      <c r="P132" s="24"/>
      <c r="Q132" s="151"/>
      <c r="R132" s="26"/>
      <c r="S132" s="31"/>
      <c r="T132" s="31"/>
      <c r="U132" s="200"/>
      <c r="V132" s="200"/>
      <c r="W132" s="200"/>
      <c r="X132" s="200"/>
      <c r="Y132" s="200"/>
      <c r="Z132" s="200"/>
      <c r="AA132" s="199"/>
      <c r="AD132" s="200"/>
      <c r="AE132" s="200"/>
      <c r="AF132" s="200"/>
      <c r="AG132" s="200"/>
    </row>
    <row r="133" spans="1:37" s="191" customFormat="1" ht="18.75" customHeight="1">
      <c r="A133" s="187"/>
      <c r="B133" s="187"/>
      <c r="C133" s="188"/>
      <c r="D133" s="27"/>
      <c r="E133" s="24" t="str">
        <f>"上記の"&amp;$AB$1&amp;"年度の数値を基準として、"&amp;AB2&amp;"年度（目標年度）における削減目標を設定してください。目標値は自由に設定してください。"</f>
        <v>上記の0年度の数値を基準として、2028年度（目標年度）における削減目標を設定してください。目標値は自由に設定してください。</v>
      </c>
      <c r="F133" s="24"/>
      <c r="G133" s="24"/>
      <c r="H133" s="24"/>
      <c r="I133" s="24"/>
      <c r="J133" s="24"/>
      <c r="K133" s="24"/>
      <c r="L133" s="24"/>
      <c r="M133" s="24"/>
      <c r="N133" s="150"/>
      <c r="O133" s="24"/>
      <c r="P133" s="26"/>
      <c r="Q133" s="151"/>
      <c r="R133" s="26"/>
      <c r="S133" s="31"/>
      <c r="T133" s="31"/>
      <c r="U133" s="200"/>
      <c r="V133" s="200"/>
      <c r="W133" s="200"/>
      <c r="X133" s="200"/>
      <c r="Y133" s="200"/>
      <c r="Z133" s="200"/>
      <c r="AA133" s="199"/>
      <c r="AD133" s="200"/>
      <c r="AE133" s="200"/>
      <c r="AF133" s="200"/>
      <c r="AG133" s="200"/>
    </row>
    <row r="134" spans="1:37" s="191" customFormat="1" ht="36" customHeight="1">
      <c r="A134" s="187"/>
      <c r="B134" s="187"/>
      <c r="C134" s="188"/>
      <c r="D134" s="27"/>
      <c r="E134" s="772" t="s">
        <v>4037</v>
      </c>
      <c r="F134" s="773"/>
      <c r="G134" s="786" t="str">
        <f>IF($AB$1=0,"",$AB$2)</f>
        <v/>
      </c>
      <c r="H134" s="787"/>
      <c r="I134" s="764" t="s">
        <v>4277</v>
      </c>
      <c r="J134" s="765"/>
      <c r="K134" s="765"/>
      <c r="L134" s="766"/>
      <c r="M134" s="254" t="s">
        <v>3982</v>
      </c>
      <c r="N134" s="261"/>
      <c r="O134" s="258" t="s">
        <v>4499</v>
      </c>
      <c r="P134" s="254" t="s">
        <v>4404</v>
      </c>
      <c r="Q134" s="705"/>
      <c r="R134" s="259" t="str">
        <f>"t-CO₂/"&amp;$G$97</f>
        <v>t-CO₂/</v>
      </c>
      <c r="S134" s="31"/>
      <c r="T134" s="31"/>
      <c r="U134" s="200"/>
      <c r="V134" s="200"/>
      <c r="W134" s="200"/>
      <c r="X134" s="200"/>
      <c r="Y134" s="200"/>
      <c r="Z134" s="200"/>
      <c r="AA134" s="200"/>
      <c r="AB134" s="200"/>
      <c r="AC134" s="200"/>
      <c r="AD134" s="199"/>
      <c r="AG134" s="200"/>
      <c r="AH134" s="200"/>
      <c r="AI134" s="200"/>
      <c r="AJ134" s="200"/>
    </row>
    <row r="135" spans="1:37" s="191" customFormat="1" ht="36" customHeight="1">
      <c r="A135" s="187"/>
      <c r="B135" s="187"/>
      <c r="C135" s="188"/>
      <c r="D135" s="27"/>
      <c r="E135" s="774"/>
      <c r="F135" s="775"/>
      <c r="G135" s="788"/>
      <c r="H135" s="789"/>
      <c r="I135" s="781"/>
      <c r="J135" s="782"/>
      <c r="K135" s="782"/>
      <c r="L135" s="783"/>
      <c r="M135" s="254" t="s">
        <v>4233</v>
      </c>
      <c r="N135" s="262" t="str">
        <f>IFERROR((IF(N134="","",INT((N130-N134)/N130*10000)/100)),"")</f>
        <v/>
      </c>
      <c r="O135" s="258" t="s">
        <v>106</v>
      </c>
      <c r="P135" s="254" t="s">
        <v>4233</v>
      </c>
      <c r="Q135" s="262" t="str">
        <f>IFERROR((IF(Q134="","",INT((Q130-Q134)/Q130*10000)/100)),"")</f>
        <v/>
      </c>
      <c r="R135" s="258" t="s">
        <v>106</v>
      </c>
      <c r="S135" s="31"/>
      <c r="T135" s="79"/>
      <c r="U135" s="200"/>
      <c r="V135" s="200"/>
      <c r="W135" s="200"/>
      <c r="X135" s="200"/>
      <c r="Y135" s="200"/>
      <c r="Z135" s="200"/>
      <c r="AA135" s="200"/>
      <c r="AB135" s="200"/>
      <c r="AC135" s="200"/>
      <c r="AD135" s="199"/>
      <c r="AG135" s="200"/>
      <c r="AH135" s="200"/>
      <c r="AI135" s="200"/>
      <c r="AJ135" s="200"/>
    </row>
    <row r="136" spans="1:37" s="191" customFormat="1" ht="36" customHeight="1">
      <c r="A136" s="187"/>
      <c r="B136" s="187"/>
      <c r="C136" s="188"/>
      <c r="D136" s="27"/>
      <c r="E136" s="776"/>
      <c r="F136" s="777"/>
      <c r="G136" s="790"/>
      <c r="H136" s="791"/>
      <c r="I136" s="748" t="s">
        <v>4524</v>
      </c>
      <c r="J136" s="749"/>
      <c r="K136" s="749"/>
      <c r="L136" s="749"/>
      <c r="M136" s="749"/>
      <c r="N136" s="749"/>
      <c r="O136" s="749"/>
      <c r="P136" s="750"/>
      <c r="Q136" s="263"/>
      <c r="R136" s="260" t="s">
        <v>106</v>
      </c>
      <c r="S136" s="31"/>
      <c r="T136" s="31"/>
      <c r="U136" s="200"/>
      <c r="V136" s="200"/>
      <c r="W136" s="200"/>
      <c r="X136" s="200"/>
      <c r="Y136" s="200"/>
      <c r="Z136" s="200"/>
      <c r="AA136" s="200"/>
      <c r="AB136" s="200"/>
      <c r="AC136" s="200"/>
      <c r="AD136" s="199"/>
      <c r="AG136" s="200"/>
      <c r="AH136" s="200"/>
      <c r="AI136" s="200"/>
      <c r="AJ136" s="200"/>
    </row>
    <row r="137" spans="1:37" s="191" customFormat="1" ht="36" hidden="1" customHeight="1">
      <c r="A137" s="187"/>
      <c r="B137" s="187"/>
      <c r="C137" s="188"/>
      <c r="D137" s="27"/>
      <c r="E137" s="772" t="s">
        <v>4009</v>
      </c>
      <c r="F137" s="773"/>
      <c r="G137" s="786">
        <f>基本設定シート!C13-1</f>
        <v>1</v>
      </c>
      <c r="H137" s="787"/>
      <c r="I137" s="764" t="s">
        <v>4277</v>
      </c>
      <c r="J137" s="765"/>
      <c r="K137" s="765"/>
      <c r="L137" s="766"/>
      <c r="M137" s="254" t="s">
        <v>4023</v>
      </c>
      <c r="N137" s="271"/>
      <c r="O137" s="258" t="s">
        <v>4499</v>
      </c>
      <c r="P137" s="265" t="s">
        <v>3041</v>
      </c>
      <c r="Q137" s="272"/>
      <c r="R137" s="259" t="str">
        <f>"t-CO₂/"&amp;$G$97</f>
        <v>t-CO₂/</v>
      </c>
      <c r="S137" s="14"/>
      <c r="T137" s="31"/>
      <c r="U137" s="200"/>
      <c r="V137" s="200"/>
      <c r="W137" s="200"/>
      <c r="X137" s="200"/>
      <c r="Y137" s="200"/>
      <c r="Z137" s="200"/>
      <c r="AA137" s="200"/>
      <c r="AB137" s="200"/>
      <c r="AC137" s="200"/>
      <c r="AD137" s="201"/>
      <c r="AH137" s="200"/>
      <c r="AI137" s="200"/>
      <c r="AJ137" s="200"/>
      <c r="AK137" s="200"/>
    </row>
    <row r="138" spans="1:37" s="191" customFormat="1" ht="36" hidden="1" customHeight="1">
      <c r="A138" s="187"/>
      <c r="B138" s="187"/>
      <c r="C138" s="188"/>
      <c r="D138" s="27"/>
      <c r="E138" s="774"/>
      <c r="F138" s="775"/>
      <c r="G138" s="788"/>
      <c r="H138" s="789"/>
      <c r="I138" s="781"/>
      <c r="J138" s="782"/>
      <c r="K138" s="782"/>
      <c r="L138" s="783"/>
      <c r="M138" s="254" t="s">
        <v>4233</v>
      </c>
      <c r="N138" s="273"/>
      <c r="O138" s="258" t="s">
        <v>106</v>
      </c>
      <c r="P138" s="265" t="s">
        <v>4233</v>
      </c>
      <c r="Q138" s="273"/>
      <c r="R138" s="258" t="s">
        <v>106</v>
      </c>
      <c r="S138" s="31"/>
      <c r="T138" s="31"/>
      <c r="U138" s="200"/>
      <c r="V138" s="200"/>
      <c r="W138" s="200"/>
      <c r="AD138" s="199"/>
      <c r="AH138" s="200"/>
      <c r="AI138" s="200"/>
      <c r="AJ138" s="200"/>
      <c r="AK138" s="200"/>
    </row>
    <row r="139" spans="1:37" s="191" customFormat="1" ht="36" hidden="1" customHeight="1">
      <c r="A139" s="187"/>
      <c r="B139" s="187"/>
      <c r="C139" s="188"/>
      <c r="D139" s="27"/>
      <c r="E139" s="776"/>
      <c r="F139" s="777"/>
      <c r="G139" s="790"/>
      <c r="H139" s="791"/>
      <c r="I139" s="748" t="s">
        <v>4511</v>
      </c>
      <c r="J139" s="749"/>
      <c r="K139" s="749"/>
      <c r="L139" s="749"/>
      <c r="M139" s="749"/>
      <c r="N139" s="749"/>
      <c r="O139" s="749"/>
      <c r="P139" s="750"/>
      <c r="Q139" s="270">
        <f>'R1-1'!V20</f>
        <v>0</v>
      </c>
      <c r="R139" s="260" t="s">
        <v>106</v>
      </c>
      <c r="S139" s="28"/>
      <c r="T139" s="31"/>
      <c r="U139" s="200"/>
      <c r="V139" s="200"/>
      <c r="AD139" s="199"/>
      <c r="AG139" s="200"/>
      <c r="AH139" s="200"/>
      <c r="AI139" s="200"/>
      <c r="AJ139" s="200"/>
    </row>
    <row r="140" spans="1:37" s="191" customFormat="1" ht="36" hidden="1" customHeight="1">
      <c r="A140" s="187"/>
      <c r="B140" s="187"/>
      <c r="C140" s="188"/>
      <c r="D140" s="27"/>
      <c r="E140" s="772" t="s">
        <v>4014</v>
      </c>
      <c r="F140" s="773"/>
      <c r="G140" s="786">
        <f>IFERROR(基本設定シート!C14-1,"--------")</f>
        <v>2</v>
      </c>
      <c r="H140" s="787"/>
      <c r="I140" s="764" t="s">
        <v>4277</v>
      </c>
      <c r="J140" s="765"/>
      <c r="K140" s="765"/>
      <c r="L140" s="766"/>
      <c r="M140" s="254" t="s">
        <v>4023</v>
      </c>
      <c r="N140" s="271"/>
      <c r="O140" s="258" t="s">
        <v>4499</v>
      </c>
      <c r="P140" s="265" t="s">
        <v>3041</v>
      </c>
      <c r="Q140" s="272"/>
      <c r="R140" s="259" t="str">
        <f>"t-CO₂/"&amp;$G$97</f>
        <v>t-CO₂/</v>
      </c>
      <c r="S140" s="31"/>
      <c r="T140" s="31"/>
      <c r="U140" s="200"/>
      <c r="V140" s="200"/>
      <c r="AD140" s="199"/>
      <c r="AG140" s="200"/>
      <c r="AH140" s="200"/>
      <c r="AI140" s="200"/>
      <c r="AJ140" s="200"/>
    </row>
    <row r="141" spans="1:37" s="191" customFormat="1" ht="36" hidden="1" customHeight="1">
      <c r="A141" s="187"/>
      <c r="B141" s="187"/>
      <c r="C141" s="188"/>
      <c r="D141" s="27"/>
      <c r="E141" s="774"/>
      <c r="F141" s="775"/>
      <c r="G141" s="788"/>
      <c r="H141" s="789"/>
      <c r="I141" s="781"/>
      <c r="J141" s="782"/>
      <c r="K141" s="782"/>
      <c r="L141" s="783"/>
      <c r="M141" s="254" t="s">
        <v>4233</v>
      </c>
      <c r="N141" s="273"/>
      <c r="O141" s="258" t="s">
        <v>106</v>
      </c>
      <c r="P141" s="265" t="s">
        <v>4233</v>
      </c>
      <c r="Q141" s="273"/>
      <c r="R141" s="258" t="s">
        <v>106</v>
      </c>
      <c r="S141" s="26"/>
      <c r="T141" s="26"/>
      <c r="V141" s="200"/>
      <c r="AD141" s="199"/>
      <c r="AG141" s="200"/>
      <c r="AH141" s="200"/>
      <c r="AI141" s="200"/>
      <c r="AJ141" s="200"/>
    </row>
    <row r="142" spans="1:37" s="191" customFormat="1" ht="36" hidden="1" customHeight="1">
      <c r="A142" s="187"/>
      <c r="B142" s="187"/>
      <c r="C142" s="188"/>
      <c r="D142" s="27"/>
      <c r="E142" s="776"/>
      <c r="F142" s="777"/>
      <c r="G142" s="790"/>
      <c r="H142" s="791"/>
      <c r="I142" s="748" t="s">
        <v>4511</v>
      </c>
      <c r="J142" s="749"/>
      <c r="K142" s="749"/>
      <c r="L142" s="749"/>
      <c r="M142" s="749"/>
      <c r="N142" s="749"/>
      <c r="O142" s="749"/>
      <c r="P142" s="750"/>
      <c r="Q142" s="270">
        <f>'R1-2'!V20</f>
        <v>0</v>
      </c>
      <c r="R142" s="260" t="s">
        <v>106</v>
      </c>
      <c r="S142" s="26"/>
      <c r="T142" s="26"/>
      <c r="U142" s="200"/>
      <c r="V142" s="200"/>
      <c r="W142" s="200"/>
      <c r="X142" s="200"/>
      <c r="Y142" s="200"/>
      <c r="Z142" s="200"/>
      <c r="AA142" s="200"/>
      <c r="AB142" s="200"/>
      <c r="AC142" s="200"/>
      <c r="AD142" s="199"/>
      <c r="AG142" s="200"/>
      <c r="AH142" s="200"/>
      <c r="AI142" s="200"/>
      <c r="AJ142" s="200"/>
    </row>
    <row r="143" spans="1:37" s="191" customFormat="1" ht="36" hidden="1" customHeight="1">
      <c r="A143" s="187"/>
      <c r="B143" s="187"/>
      <c r="C143" s="188"/>
      <c r="D143" s="27"/>
      <c r="E143" s="772" t="s">
        <v>4015</v>
      </c>
      <c r="F143" s="773"/>
      <c r="G143" s="786">
        <f>IFERROR(基本設定シート!C15-1,"--------")</f>
        <v>3</v>
      </c>
      <c r="H143" s="787"/>
      <c r="I143" s="764" t="s">
        <v>4277</v>
      </c>
      <c r="J143" s="765"/>
      <c r="K143" s="765"/>
      <c r="L143" s="766"/>
      <c r="M143" s="254" t="s">
        <v>4023</v>
      </c>
      <c r="N143" s="271"/>
      <c r="O143" s="258" t="s">
        <v>4499</v>
      </c>
      <c r="P143" s="265" t="s">
        <v>3041</v>
      </c>
      <c r="Q143" s="272"/>
      <c r="R143" s="259" t="str">
        <f>"t-CO₂/"&amp;$G$97</f>
        <v>t-CO₂/</v>
      </c>
      <c r="S143" s="24"/>
      <c r="T143" s="26"/>
      <c r="U143" s="200"/>
      <c r="V143" s="200"/>
      <c r="W143" s="200"/>
      <c r="X143" s="200"/>
      <c r="Y143" s="200"/>
      <c r="Z143" s="200"/>
      <c r="AA143" s="200"/>
      <c r="AB143" s="200"/>
      <c r="AC143" s="200"/>
      <c r="AD143" s="201"/>
      <c r="AH143" s="200"/>
      <c r="AI143" s="200"/>
      <c r="AJ143" s="200"/>
      <c r="AK143" s="200"/>
    </row>
    <row r="144" spans="1:37" s="191" customFormat="1" ht="36" hidden="1" customHeight="1">
      <c r="A144" s="187"/>
      <c r="B144" s="187"/>
      <c r="C144" s="188"/>
      <c r="D144" s="27"/>
      <c r="E144" s="774"/>
      <c r="F144" s="775"/>
      <c r="G144" s="788"/>
      <c r="H144" s="789"/>
      <c r="I144" s="781"/>
      <c r="J144" s="782"/>
      <c r="K144" s="782"/>
      <c r="L144" s="783"/>
      <c r="M144" s="254" t="s">
        <v>4233</v>
      </c>
      <c r="N144" s="273"/>
      <c r="O144" s="258" t="s">
        <v>106</v>
      </c>
      <c r="P144" s="265" t="s">
        <v>4233</v>
      </c>
      <c r="Q144" s="273"/>
      <c r="R144" s="258" t="s">
        <v>106</v>
      </c>
      <c r="S144" s="24"/>
      <c r="T144" s="26"/>
      <c r="U144" s="200"/>
      <c r="V144" s="200"/>
      <c r="W144" s="200"/>
      <c r="X144" s="200"/>
      <c r="Y144" s="200"/>
      <c r="Z144" s="200"/>
      <c r="AA144" s="200"/>
      <c r="AB144" s="200"/>
      <c r="AC144" s="200"/>
      <c r="AD144" s="201"/>
      <c r="AH144" s="200"/>
      <c r="AI144" s="200"/>
      <c r="AJ144" s="200"/>
      <c r="AK144" s="200"/>
    </row>
    <row r="145" spans="1:40" s="191" customFormat="1" ht="36" hidden="1" customHeight="1">
      <c r="A145" s="187"/>
      <c r="B145" s="187"/>
      <c r="C145" s="188"/>
      <c r="D145" s="27"/>
      <c r="E145" s="776"/>
      <c r="F145" s="777"/>
      <c r="G145" s="790"/>
      <c r="H145" s="791"/>
      <c r="I145" s="748" t="s">
        <v>4511</v>
      </c>
      <c r="J145" s="749"/>
      <c r="K145" s="749"/>
      <c r="L145" s="749"/>
      <c r="M145" s="749"/>
      <c r="N145" s="749"/>
      <c r="O145" s="749"/>
      <c r="P145" s="750"/>
      <c r="Q145" s="270">
        <f>'R1-3'!V20</f>
        <v>0</v>
      </c>
      <c r="R145" s="260" t="s">
        <v>106</v>
      </c>
      <c r="S145" s="24"/>
      <c r="T145" s="26"/>
      <c r="U145" s="200"/>
      <c r="V145" s="200"/>
      <c r="W145" s="200"/>
      <c r="X145" s="200"/>
      <c r="Y145" s="200"/>
      <c r="Z145" s="200"/>
      <c r="AA145" s="200"/>
      <c r="AB145" s="200"/>
      <c r="AC145" s="200"/>
      <c r="AD145" s="201"/>
      <c r="AH145" s="200"/>
      <c r="AI145" s="200"/>
      <c r="AJ145" s="200"/>
      <c r="AK145" s="200"/>
    </row>
    <row r="146" spans="1:40" s="191" customFormat="1" ht="36" hidden="1" customHeight="1">
      <c r="A146" s="187"/>
      <c r="B146" s="187"/>
      <c r="C146" s="188"/>
      <c r="D146" s="27"/>
      <c r="E146" s="80"/>
      <c r="F146" s="80"/>
      <c r="G146" s="15"/>
      <c r="H146" s="80"/>
      <c r="I146" s="15"/>
      <c r="J146" s="15"/>
      <c r="K146" s="15"/>
      <c r="L146" s="15"/>
      <c r="M146" s="15"/>
      <c r="N146" s="15"/>
      <c r="O146" s="15"/>
      <c r="P146" s="15"/>
      <c r="Q146" s="15"/>
      <c r="R146" s="26"/>
      <c r="S146" s="26"/>
      <c r="T146" s="26"/>
      <c r="U146" s="200"/>
      <c r="V146" s="200"/>
      <c r="W146" s="200"/>
      <c r="X146" s="200"/>
      <c r="Y146" s="200"/>
      <c r="Z146" s="200"/>
      <c r="AA146" s="199"/>
      <c r="AD146" s="200"/>
      <c r="AE146" s="200"/>
      <c r="AF146" s="200"/>
      <c r="AG146" s="200"/>
    </row>
    <row r="147" spans="1:40" ht="18" customHeight="1">
      <c r="D147" s="10"/>
      <c r="E147" s="24"/>
      <c r="F147" s="24"/>
      <c r="G147" s="24"/>
      <c r="H147" s="26"/>
      <c r="I147" s="26"/>
      <c r="J147" s="26"/>
      <c r="K147" s="26"/>
      <c r="L147" s="26"/>
      <c r="M147" s="26"/>
      <c r="N147" s="26"/>
      <c r="O147" s="26"/>
      <c r="P147" s="10"/>
      <c r="Q147" s="10"/>
      <c r="R147" s="23"/>
      <c r="S147" s="23"/>
      <c r="T147" s="24"/>
    </row>
    <row r="148" spans="1:40" ht="18" customHeight="1">
      <c r="D148" s="10"/>
      <c r="E148" s="24" t="s">
        <v>4545</v>
      </c>
      <c r="F148" s="15"/>
      <c r="G148" s="15"/>
      <c r="H148" s="15"/>
      <c r="I148" s="15"/>
      <c r="J148" s="15"/>
      <c r="K148" s="15"/>
      <c r="L148" s="15"/>
      <c r="M148" s="15"/>
      <c r="N148" s="15"/>
      <c r="O148" s="26"/>
      <c r="P148" s="10"/>
      <c r="Q148" s="10"/>
      <c r="R148" s="24"/>
      <c r="S148" s="14"/>
      <c r="T148" s="14"/>
      <c r="AI148" s="191"/>
      <c r="AJ148" s="191"/>
      <c r="AK148" s="191"/>
      <c r="AL148" s="191"/>
      <c r="AM148" s="191"/>
      <c r="AN148" s="191"/>
    </row>
    <row r="149" spans="1:40" ht="200" customHeight="1">
      <c r="D149" s="10"/>
      <c r="E149" s="784" t="s">
        <v>4544</v>
      </c>
      <c r="F149" s="785"/>
      <c r="G149" s="778"/>
      <c r="H149" s="779"/>
      <c r="I149" s="779"/>
      <c r="J149" s="779"/>
      <c r="K149" s="779"/>
      <c r="L149" s="779"/>
      <c r="M149" s="779"/>
      <c r="N149" s="779"/>
      <c r="O149" s="779"/>
      <c r="P149" s="779"/>
      <c r="Q149" s="779"/>
      <c r="R149" s="780"/>
      <c r="S149" s="28"/>
      <c r="T149" s="14"/>
    </row>
    <row r="150" spans="1:40" ht="100.25" hidden="1" customHeight="1">
      <c r="D150" s="10"/>
      <c r="E150" s="801" t="s">
        <v>4239</v>
      </c>
      <c r="F150" s="802"/>
      <c r="G150" s="798"/>
      <c r="H150" s="799"/>
      <c r="I150" s="799"/>
      <c r="J150" s="799"/>
      <c r="K150" s="799"/>
      <c r="L150" s="799"/>
      <c r="M150" s="799"/>
      <c r="N150" s="799"/>
      <c r="O150" s="799"/>
      <c r="P150" s="799"/>
      <c r="Q150" s="799"/>
      <c r="R150" s="800"/>
      <c r="S150" s="28"/>
      <c r="T150" s="14"/>
    </row>
    <row r="151" spans="1:40" ht="100.25" hidden="1" customHeight="1">
      <c r="D151" s="10"/>
      <c r="E151" s="746" t="s">
        <v>4239</v>
      </c>
      <c r="F151" s="747"/>
      <c r="G151" s="798"/>
      <c r="H151" s="799"/>
      <c r="I151" s="799"/>
      <c r="J151" s="799"/>
      <c r="K151" s="799"/>
      <c r="L151" s="799"/>
      <c r="M151" s="799"/>
      <c r="N151" s="799"/>
      <c r="O151" s="799"/>
      <c r="P151" s="799"/>
      <c r="Q151" s="799"/>
      <c r="R151" s="800"/>
      <c r="S151" s="28"/>
      <c r="T151" s="14"/>
    </row>
    <row r="152" spans="1:40" ht="100.25" hidden="1" customHeight="1">
      <c r="D152" s="10"/>
      <c r="E152" s="746" t="s">
        <v>4239</v>
      </c>
      <c r="F152" s="747"/>
      <c r="G152" s="798"/>
      <c r="H152" s="799"/>
      <c r="I152" s="799"/>
      <c r="J152" s="799"/>
      <c r="K152" s="799"/>
      <c r="L152" s="799"/>
      <c r="M152" s="799"/>
      <c r="N152" s="799"/>
      <c r="O152" s="799"/>
      <c r="P152" s="799"/>
      <c r="Q152" s="799"/>
      <c r="R152" s="800"/>
      <c r="S152" s="28"/>
      <c r="T152" s="14"/>
    </row>
    <row r="153" spans="1:40" ht="18" customHeight="1">
      <c r="D153" s="10"/>
      <c r="E153" s="10"/>
      <c r="F153" s="10"/>
      <c r="G153" s="10"/>
      <c r="H153" s="10"/>
      <c r="I153" s="10"/>
      <c r="J153" s="10"/>
      <c r="K153" s="10"/>
      <c r="L153" s="10"/>
      <c r="M153" s="10"/>
      <c r="N153" s="10"/>
      <c r="O153" s="10"/>
      <c r="P153" s="10"/>
      <c r="Q153" s="10"/>
      <c r="R153" s="23"/>
      <c r="S153" s="28"/>
      <c r="T153" s="14"/>
    </row>
    <row r="154" spans="1:40" s="191" customFormat="1" ht="18" customHeight="1">
      <c r="A154" s="187"/>
      <c r="B154" s="187"/>
      <c r="C154" s="235"/>
      <c r="D154" s="24"/>
      <c r="E154" s="24"/>
      <c r="F154" s="24"/>
      <c r="G154" s="24"/>
      <c r="H154" s="24"/>
      <c r="I154" s="24"/>
      <c r="J154" s="24"/>
      <c r="K154" s="24"/>
      <c r="L154" s="48"/>
      <c r="M154" s="24"/>
      <c r="N154" s="24"/>
      <c r="O154" s="24"/>
      <c r="P154" s="24"/>
      <c r="Q154" s="24"/>
      <c r="R154" s="48"/>
      <c r="S154" s="14"/>
      <c r="T154" s="14"/>
      <c r="AA154" s="199"/>
    </row>
    <row r="155" spans="1:40" s="191" customFormat="1" ht="18" customHeight="1">
      <c r="A155" s="187"/>
      <c r="B155" s="187"/>
      <c r="C155" s="187"/>
      <c r="D155" s="52" t="s">
        <v>4436</v>
      </c>
      <c r="E155" s="24"/>
      <c r="F155" s="24"/>
      <c r="G155" s="24"/>
      <c r="H155" s="24"/>
      <c r="I155" s="24"/>
      <c r="J155" s="24"/>
      <c r="K155" s="24"/>
      <c r="L155" s="24"/>
      <c r="M155" s="24"/>
      <c r="N155" s="81"/>
      <c r="O155" s="24"/>
      <c r="P155" s="24"/>
      <c r="Q155" s="24"/>
      <c r="R155" s="48"/>
      <c r="S155" s="14"/>
      <c r="T155" s="14"/>
      <c r="AA155" s="199"/>
    </row>
    <row r="156" spans="1:40" s="191" customFormat="1" ht="18" customHeight="1">
      <c r="A156" s="187"/>
      <c r="B156" s="187"/>
      <c r="C156" s="187"/>
      <c r="D156" s="24"/>
      <c r="E156" s="42" t="s">
        <v>4437</v>
      </c>
      <c r="F156" s="24"/>
      <c r="G156" s="24"/>
      <c r="H156" s="24"/>
      <c r="I156" s="24"/>
      <c r="J156" s="24"/>
      <c r="K156" s="24"/>
      <c r="L156" s="146"/>
      <c r="M156" s="24"/>
      <c r="N156" s="24"/>
      <c r="O156" s="24"/>
      <c r="P156" s="24"/>
      <c r="Q156" s="24"/>
      <c r="R156" s="24"/>
      <c r="S156" s="14"/>
      <c r="T156" s="14"/>
      <c r="AA156" s="199"/>
    </row>
    <row r="157" spans="1:40" s="191" customFormat="1" ht="20" hidden="1" customHeight="1">
      <c r="A157" s="187"/>
      <c r="B157" s="187"/>
      <c r="C157" s="187"/>
      <c r="D157" s="82"/>
      <c r="E157" s="24"/>
      <c r="F157" s="44"/>
      <c r="G157" s="24"/>
      <c r="H157" s="24"/>
      <c r="I157" s="24"/>
      <c r="J157" s="24"/>
      <c r="K157" s="24"/>
      <c r="L157" s="146"/>
      <c r="M157" s="24"/>
      <c r="N157" s="24"/>
      <c r="O157" s="24"/>
      <c r="P157" s="24"/>
      <c r="Q157" s="24"/>
      <c r="R157" s="24"/>
      <c r="S157" s="14"/>
      <c r="T157" s="14"/>
      <c r="AA157" s="199"/>
    </row>
    <row r="158" spans="1:40" s="191" customFormat="1" ht="20" customHeight="1">
      <c r="A158" s="187"/>
      <c r="B158" s="187"/>
      <c r="C158" s="187"/>
      <c r="D158" s="82"/>
      <c r="E158" s="24"/>
      <c r="F158" s="83" t="str">
        <f>"実施状況：" &amp; $AB$1 &amp;"年度（基準年度）における実施状況をプルダウンから選択してください。"</f>
        <v>実施状況：0年度（基準年度）における実施状況をプルダウンから選択してください。</v>
      </c>
      <c r="G158" s="24"/>
      <c r="H158" s="24"/>
      <c r="I158" s="24"/>
      <c r="J158" s="24"/>
      <c r="K158" s="24"/>
      <c r="L158" s="146"/>
      <c r="M158" s="24"/>
      <c r="N158" s="24"/>
      <c r="O158" s="24"/>
      <c r="P158" s="24"/>
      <c r="Q158" s="24"/>
      <c r="R158" s="24"/>
      <c r="S158" s="14"/>
      <c r="T158" s="14"/>
      <c r="AA158" s="199"/>
    </row>
    <row r="159" spans="1:40" s="231" customFormat="1" ht="25.25" customHeight="1">
      <c r="A159" s="236"/>
      <c r="B159" s="236"/>
      <c r="C159" s="236"/>
      <c r="D159" s="82"/>
      <c r="E159" s="82"/>
      <c r="F159" s="84" t="s">
        <v>4279</v>
      </c>
      <c r="G159" s="82"/>
      <c r="H159" s="82"/>
      <c r="I159" s="82"/>
      <c r="J159" s="82"/>
      <c r="K159" s="82"/>
      <c r="L159" s="147"/>
      <c r="M159" s="82"/>
      <c r="N159" s="82"/>
      <c r="O159" s="82"/>
      <c r="P159" s="82"/>
      <c r="Q159" s="82"/>
      <c r="R159" s="82"/>
      <c r="S159" s="85"/>
      <c r="T159" s="85"/>
      <c r="AA159" s="232"/>
    </row>
    <row r="160" spans="1:40" s="191" customFormat="1" ht="20" customHeight="1">
      <c r="A160" s="187"/>
      <c r="B160" s="187"/>
      <c r="C160" s="187"/>
      <c r="D160" s="24"/>
      <c r="E160" s="746" t="str">
        <f>"基準年度："&amp;$AB$1&amp;"年度"</f>
        <v>基準年度：0年度</v>
      </c>
      <c r="F160" s="747"/>
      <c r="G160" s="770" t="s">
        <v>4236</v>
      </c>
      <c r="H160" s="771"/>
      <c r="I160" s="86" t="str">
        <f>IF($AB$2-$AB$1&gt;=1,$AB$1+1&amp;"年度","-------")</f>
        <v>1年度</v>
      </c>
      <c r="J160" s="30"/>
      <c r="K160" s="770" t="s">
        <v>4237</v>
      </c>
      <c r="L160" s="771"/>
      <c r="M160" s="86" t="str">
        <f>IF($AB$2-$AB$1&gt;=2,$AB$1+2&amp;"年度","-------")</f>
        <v>2年度</v>
      </c>
      <c r="N160" s="87" t="s">
        <v>4238</v>
      </c>
      <c r="O160" s="88" t="str">
        <f>IF($AB$2-$AB$1&gt;=3,$AB$1+3&amp;"年度","-------")</f>
        <v>3年度</v>
      </c>
      <c r="P160" s="24"/>
      <c r="Q160" s="24"/>
      <c r="R160" s="24"/>
      <c r="S160" s="14"/>
      <c r="T160" s="14"/>
      <c r="U160" s="197"/>
      <c r="AD160" s="199"/>
    </row>
    <row r="161" spans="1:42" s="191" customFormat="1" ht="25.25" customHeight="1">
      <c r="A161" s="187"/>
      <c r="B161" s="187"/>
      <c r="C161" s="187"/>
      <c r="D161" s="24"/>
      <c r="E161" s="248" t="s">
        <v>4242</v>
      </c>
      <c r="F161" s="24"/>
      <c r="G161" s="24"/>
      <c r="H161" s="24"/>
      <c r="I161" s="24"/>
      <c r="J161" s="24"/>
      <c r="K161" s="24"/>
      <c r="L161" s="24"/>
      <c r="M161" s="24"/>
      <c r="N161" s="24"/>
      <c r="O161" s="24"/>
      <c r="P161" s="24"/>
      <c r="Q161" s="24"/>
      <c r="R161" s="24"/>
      <c r="S161" s="14"/>
      <c r="T161" s="28"/>
      <c r="U161" s="197"/>
      <c r="V161" s="197"/>
      <c r="W161" s="191">
        <f>IF(基本設定シート!$H$4&gt;3,3,基本設定シート!$H$4)</f>
        <v>0</v>
      </c>
      <c r="AD161" s="199"/>
      <c r="AL161" s="197"/>
      <c r="AM161" s="197"/>
      <c r="AN161" s="197"/>
      <c r="AO161" s="197"/>
      <c r="AP161" s="197"/>
    </row>
    <row r="162" spans="1:42" ht="18" customHeight="1">
      <c r="D162" s="10"/>
      <c r="E162" s="745" t="s">
        <v>77</v>
      </c>
      <c r="F162" s="762" t="s">
        <v>78</v>
      </c>
      <c r="G162" s="792" t="s">
        <v>79</v>
      </c>
      <c r="H162" s="793"/>
      <c r="I162" s="793"/>
      <c r="J162" s="793"/>
      <c r="K162" s="793"/>
      <c r="L162" s="793"/>
      <c r="M162" s="794"/>
      <c r="N162" s="760" t="s">
        <v>4254</v>
      </c>
      <c r="O162" s="762" t="s">
        <v>80</v>
      </c>
      <c r="P162" s="10"/>
      <c r="Q162" s="10"/>
      <c r="R162" s="23"/>
      <c r="S162" s="77"/>
      <c r="T162" s="28"/>
      <c r="U162" s="197"/>
      <c r="V162" s="197"/>
      <c r="AA162" s="197">
        <f>$AB$1</f>
        <v>0</v>
      </c>
      <c r="AB162" s="195"/>
      <c r="AD162" s="199"/>
      <c r="AI162" s="191"/>
      <c r="AJ162" s="191"/>
      <c r="AK162" s="191"/>
      <c r="AO162" s="197"/>
      <c r="AP162" s="197"/>
    </row>
    <row r="163" spans="1:42" ht="18" customHeight="1">
      <c r="D163" s="10"/>
      <c r="E163" s="745"/>
      <c r="F163" s="763"/>
      <c r="G163" s="795"/>
      <c r="H163" s="796"/>
      <c r="I163" s="796"/>
      <c r="J163" s="796"/>
      <c r="K163" s="796"/>
      <c r="L163" s="796"/>
      <c r="M163" s="797"/>
      <c r="N163" s="761"/>
      <c r="O163" s="763"/>
      <c r="P163" s="145"/>
      <c r="Q163" s="10"/>
      <c r="R163" s="23"/>
      <c r="S163" s="28"/>
      <c r="T163" s="28"/>
      <c r="U163" s="197"/>
      <c r="V163" s="197"/>
      <c r="AA163" s="197">
        <f>AA162</f>
        <v>0</v>
      </c>
      <c r="AB163" s="197" t="str">
        <f>"取組年度リスト"&amp;IF(AA163=2025,1,IF(AA163=2026,2,IF(AA163=2027,3,0)))</f>
        <v>取組年度リスト0</v>
      </c>
      <c r="AD163" s="199"/>
      <c r="AI163" s="191"/>
      <c r="AJ163" s="191"/>
      <c r="AK163" s="191"/>
    </row>
    <row r="164" spans="1:42" ht="65" customHeight="1">
      <c r="D164" s="10"/>
      <c r="E164" s="89">
        <v>1</v>
      </c>
      <c r="F164" s="90" t="s">
        <v>3973</v>
      </c>
      <c r="G164" s="755" t="s">
        <v>4464</v>
      </c>
      <c r="H164" s="756"/>
      <c r="I164" s="756"/>
      <c r="J164" s="756"/>
      <c r="K164" s="756"/>
      <c r="L164" s="756"/>
      <c r="M164" s="757"/>
      <c r="N164" s="1"/>
      <c r="O164" s="1"/>
      <c r="P164" s="145"/>
      <c r="Q164" s="10"/>
      <c r="R164" s="23"/>
      <c r="S164" s="28"/>
      <c r="T164" s="28"/>
      <c r="U164" s="197"/>
      <c r="V164" s="197"/>
      <c r="AA164" s="233"/>
      <c r="AB164" s="197">
        <f>IF(AA163=2025,3,IF(AA163=2026,2,IF(AA163=2027,1,0)))</f>
        <v>0</v>
      </c>
      <c r="AD164" s="195"/>
      <c r="AE164" s="195"/>
      <c r="AF164" s="222" t="s">
        <v>73</v>
      </c>
      <c r="AI164" s="191"/>
      <c r="AJ164" s="191"/>
      <c r="AK164" s="191"/>
    </row>
    <row r="165" spans="1:42" ht="65" customHeight="1">
      <c r="D165" s="10"/>
      <c r="E165" s="89">
        <v>2</v>
      </c>
      <c r="F165" s="90" t="s">
        <v>3975</v>
      </c>
      <c r="G165" s="755" t="s">
        <v>4474</v>
      </c>
      <c r="H165" s="756"/>
      <c r="I165" s="756"/>
      <c r="J165" s="756"/>
      <c r="K165" s="756"/>
      <c r="L165" s="756"/>
      <c r="M165" s="757"/>
      <c r="N165" s="1"/>
      <c r="O165" s="1"/>
      <c r="P165" s="145"/>
      <c r="Q165" s="145"/>
      <c r="R165" s="23"/>
      <c r="S165" s="28"/>
      <c r="T165" s="28"/>
      <c r="U165" s="197"/>
      <c r="V165" s="197"/>
      <c r="AA165" s="206" t="s">
        <v>4395</v>
      </c>
      <c r="AB165" s="206" t="s">
        <v>4072</v>
      </c>
      <c r="AC165" s="191" t="s">
        <v>4073</v>
      </c>
      <c r="AD165" s="222" t="s">
        <v>80</v>
      </c>
      <c r="AE165" s="222" t="s">
        <v>4390</v>
      </c>
      <c r="AF165" s="699" t="s">
        <v>4331</v>
      </c>
      <c r="AI165" s="191"/>
      <c r="AJ165" s="191"/>
      <c r="AK165" s="191"/>
    </row>
    <row r="166" spans="1:42" ht="65" customHeight="1">
      <c r="D166" s="10"/>
      <c r="E166" s="89">
        <v>3</v>
      </c>
      <c r="F166" s="90" t="s">
        <v>3974</v>
      </c>
      <c r="G166" s="755" t="s">
        <v>4465</v>
      </c>
      <c r="H166" s="756"/>
      <c r="I166" s="756"/>
      <c r="J166" s="756"/>
      <c r="K166" s="756"/>
      <c r="L166" s="756"/>
      <c r="M166" s="757"/>
      <c r="N166" s="1"/>
      <c r="O166" s="1"/>
      <c r="P166" s="145"/>
      <c r="Q166" s="145"/>
      <c r="R166" s="23"/>
      <c r="S166" s="28"/>
      <c r="T166" s="28"/>
      <c r="U166" s="197"/>
      <c r="V166" s="197"/>
      <c r="AA166" s="206" t="s">
        <v>4047</v>
      </c>
      <c r="AB166" s="206">
        <f>IFERROR(COUNTIFS($N$164:$N$186,$AA166),"------")</f>
        <v>0</v>
      </c>
      <c r="AD166" s="223" t="s">
        <v>4391</v>
      </c>
      <c r="AE166" s="223">
        <f>SUM(AF166:AF166)</f>
        <v>0</v>
      </c>
      <c r="AF166" s="223">
        <f>COUNTIFS($N$164:$N$186,$AF$165,$O$164:$O$186,AD166)</f>
        <v>0</v>
      </c>
      <c r="AI166" s="191"/>
      <c r="AJ166" s="191"/>
      <c r="AK166" s="191"/>
    </row>
    <row r="167" spans="1:42" ht="65" customHeight="1">
      <c r="D167" s="10"/>
      <c r="E167" s="89">
        <v>4</v>
      </c>
      <c r="F167" s="90" t="s">
        <v>4466</v>
      </c>
      <c r="G167" s="755" t="s">
        <v>4467</v>
      </c>
      <c r="H167" s="756"/>
      <c r="I167" s="756"/>
      <c r="J167" s="756"/>
      <c r="K167" s="756"/>
      <c r="L167" s="756"/>
      <c r="M167" s="757"/>
      <c r="N167" s="1"/>
      <c r="O167" s="1"/>
      <c r="P167" s="145"/>
      <c r="Q167" s="145"/>
      <c r="R167" s="23"/>
      <c r="S167" s="28"/>
      <c r="T167" s="28"/>
      <c r="U167" s="197"/>
      <c r="V167" s="197"/>
      <c r="AA167" s="206" t="s">
        <v>4058</v>
      </c>
      <c r="AB167" s="206">
        <f t="shared" ref="AB167:AB168" si="0">IFERROR(COUNTIFS($N$164:$N$186,$AA167),"------")</f>
        <v>0</v>
      </c>
      <c r="AD167" s="223" t="s">
        <v>4392</v>
      </c>
      <c r="AE167" s="223">
        <f t="shared" ref="AE167:AE169" si="1">SUM(AF167:AF167)</f>
        <v>0</v>
      </c>
      <c r="AF167" s="223">
        <f t="shared" ref="AF167:AF169" si="2">COUNTIFS($N$164:$N$186,$AF$165,$O$164:$O$186,AD167)</f>
        <v>0</v>
      </c>
      <c r="AI167" s="191"/>
      <c r="AJ167" s="191"/>
      <c r="AK167" s="191"/>
    </row>
    <row r="168" spans="1:42" ht="65" customHeight="1">
      <c r="D168" s="10"/>
      <c r="E168" s="89">
        <v>5</v>
      </c>
      <c r="F168" s="90" t="s">
        <v>4442</v>
      </c>
      <c r="G168" s="755" t="s">
        <v>4443</v>
      </c>
      <c r="H168" s="756"/>
      <c r="I168" s="756"/>
      <c r="J168" s="756"/>
      <c r="K168" s="756"/>
      <c r="L168" s="756"/>
      <c r="M168" s="757"/>
      <c r="N168" s="1"/>
      <c r="O168" s="1"/>
      <c r="P168" s="145"/>
      <c r="Q168" s="145"/>
      <c r="R168" s="23"/>
      <c r="S168" s="23"/>
      <c r="T168" s="23"/>
      <c r="U168" s="197"/>
      <c r="V168" s="197"/>
      <c r="AA168" s="206" t="s">
        <v>4075</v>
      </c>
      <c r="AB168" s="206">
        <f t="shared" si="0"/>
        <v>0</v>
      </c>
      <c r="AD168" s="223" t="s">
        <v>4393</v>
      </c>
      <c r="AE168" s="223">
        <f t="shared" si="1"/>
        <v>0</v>
      </c>
      <c r="AF168" s="223">
        <f t="shared" si="2"/>
        <v>0</v>
      </c>
      <c r="AI168" s="191"/>
      <c r="AJ168" s="191"/>
      <c r="AK168" s="191"/>
    </row>
    <row r="169" spans="1:42" ht="65" customHeight="1">
      <c r="D169" s="10"/>
      <c r="E169" s="89">
        <v>6</v>
      </c>
      <c r="F169" s="90" t="s">
        <v>4444</v>
      </c>
      <c r="G169" s="755" t="s">
        <v>4468</v>
      </c>
      <c r="H169" s="756"/>
      <c r="I169" s="756"/>
      <c r="J169" s="756"/>
      <c r="K169" s="756"/>
      <c r="L169" s="756"/>
      <c r="M169" s="757"/>
      <c r="N169" s="1"/>
      <c r="O169" s="1"/>
      <c r="P169" s="145"/>
      <c r="Q169" s="145"/>
      <c r="R169" s="23"/>
      <c r="S169" s="23"/>
      <c r="T169" s="23"/>
      <c r="U169" s="197"/>
      <c r="V169" s="197"/>
      <c r="AA169" s="206" t="s">
        <v>4076</v>
      </c>
      <c r="AB169" s="206">
        <f>MAX($E$164:$E$186)</f>
        <v>18</v>
      </c>
      <c r="AD169" s="223" t="s">
        <v>4394</v>
      </c>
      <c r="AE169" s="223">
        <f t="shared" si="1"/>
        <v>0</v>
      </c>
      <c r="AF169" s="223">
        <f t="shared" si="2"/>
        <v>0</v>
      </c>
      <c r="AI169" s="191"/>
      <c r="AJ169" s="191"/>
      <c r="AK169" s="191"/>
    </row>
    <row r="170" spans="1:42" ht="65" customHeight="1">
      <c r="D170" s="10"/>
      <c r="E170" s="89">
        <v>7</v>
      </c>
      <c r="F170" s="90" t="s">
        <v>3977</v>
      </c>
      <c r="G170" s="755" t="s">
        <v>4475</v>
      </c>
      <c r="H170" s="756"/>
      <c r="I170" s="756"/>
      <c r="J170" s="756"/>
      <c r="K170" s="756"/>
      <c r="L170" s="756"/>
      <c r="M170" s="757"/>
      <c r="N170" s="1"/>
      <c r="O170" s="1"/>
      <c r="P170" s="145"/>
      <c r="Q170" s="145"/>
      <c r="R170" s="23"/>
      <c r="S170" s="23"/>
      <c r="T170" s="23"/>
      <c r="U170" s="197"/>
      <c r="V170" s="197"/>
      <c r="AA170" s="700" t="s">
        <v>73</v>
      </c>
      <c r="AB170" s="191" t="str">
        <f>IF(AA163&gt;0,ROUNDUP(AB166/(AB169-AB168),2),"")</f>
        <v/>
      </c>
      <c r="AD170" s="223" t="s">
        <v>81</v>
      </c>
      <c r="AE170" s="223">
        <f>SUM(AE166:AE169)</f>
        <v>0</v>
      </c>
      <c r="AF170" s="223">
        <f>SUM(AF166:AF169)</f>
        <v>0</v>
      </c>
      <c r="AI170" s="191"/>
      <c r="AJ170" s="191"/>
      <c r="AK170" s="191"/>
    </row>
    <row r="171" spans="1:42" ht="65" customHeight="1">
      <c r="D171" s="10"/>
      <c r="E171" s="89">
        <v>8</v>
      </c>
      <c r="F171" s="90" t="s">
        <v>4469</v>
      </c>
      <c r="G171" s="755" t="s">
        <v>4470</v>
      </c>
      <c r="H171" s="756"/>
      <c r="I171" s="756"/>
      <c r="J171" s="756"/>
      <c r="K171" s="756"/>
      <c r="L171" s="756"/>
      <c r="M171" s="757"/>
      <c r="N171" s="1"/>
      <c r="O171" s="1"/>
      <c r="P171" s="145"/>
      <c r="Q171" s="145"/>
      <c r="R171" s="23"/>
      <c r="S171" s="23"/>
      <c r="T171" s="23"/>
      <c r="U171" s="197"/>
      <c r="V171" s="197"/>
      <c r="AA171" s="700" t="s">
        <v>4396</v>
      </c>
      <c r="AB171" s="191" t="str">
        <f>IF(SUM(AB166,AF166,AF167,AF168)=0,"",SUM(AB166,AF166,AF167,AF168)/(AB169-AB168))</f>
        <v/>
      </c>
      <c r="AD171" s="199"/>
      <c r="AI171" s="191"/>
      <c r="AJ171" s="191"/>
      <c r="AK171" s="191"/>
    </row>
    <row r="172" spans="1:42" ht="65" customHeight="1">
      <c r="D172" s="10"/>
      <c r="E172" s="89">
        <v>9</v>
      </c>
      <c r="F172" s="90" t="s">
        <v>4461</v>
      </c>
      <c r="G172" s="755" t="s">
        <v>4462</v>
      </c>
      <c r="H172" s="756"/>
      <c r="I172" s="756"/>
      <c r="J172" s="756"/>
      <c r="K172" s="756"/>
      <c r="L172" s="756"/>
      <c r="M172" s="757"/>
      <c r="N172" s="1"/>
      <c r="O172" s="1"/>
      <c r="P172" s="145"/>
      <c r="Q172" s="145"/>
      <c r="R172" s="23"/>
      <c r="S172" s="23"/>
      <c r="T172" s="23"/>
      <c r="U172" s="197"/>
      <c r="V172" s="197"/>
      <c r="AA172" s="191"/>
      <c r="AD172" s="199"/>
      <c r="AI172" s="191"/>
      <c r="AJ172" s="191"/>
      <c r="AK172" s="191"/>
    </row>
    <row r="173" spans="1:42" ht="65" customHeight="1">
      <c r="D173" s="10"/>
      <c r="E173" s="89">
        <v>10</v>
      </c>
      <c r="F173" s="90" t="s">
        <v>4476</v>
      </c>
      <c r="G173" s="755" t="s">
        <v>4445</v>
      </c>
      <c r="H173" s="756"/>
      <c r="I173" s="756"/>
      <c r="J173" s="756"/>
      <c r="K173" s="756"/>
      <c r="L173" s="756"/>
      <c r="M173" s="757"/>
      <c r="N173" s="1"/>
      <c r="O173" s="1"/>
      <c r="P173" s="145"/>
      <c r="Q173" s="145"/>
      <c r="R173" s="23"/>
      <c r="S173" s="23"/>
      <c r="T173" s="23"/>
      <c r="U173" s="197"/>
      <c r="V173" s="197"/>
      <c r="AA173" s="191"/>
      <c r="AD173" s="199"/>
      <c r="AI173" s="191"/>
      <c r="AJ173" s="191"/>
      <c r="AK173" s="191"/>
    </row>
    <row r="174" spans="1:42" ht="65" customHeight="1">
      <c r="D174" s="10"/>
      <c r="E174" s="89">
        <v>11</v>
      </c>
      <c r="F174" s="90" t="s">
        <v>4477</v>
      </c>
      <c r="G174" s="755" t="s">
        <v>4446</v>
      </c>
      <c r="H174" s="756"/>
      <c r="I174" s="756"/>
      <c r="J174" s="756"/>
      <c r="K174" s="756"/>
      <c r="L174" s="756"/>
      <c r="M174" s="757"/>
      <c r="N174" s="1"/>
      <c r="O174" s="1"/>
      <c r="P174" s="145"/>
      <c r="Q174" s="145"/>
      <c r="R174" s="23"/>
      <c r="S174" s="23"/>
      <c r="T174" s="23"/>
      <c r="U174" s="197"/>
      <c r="V174" s="197"/>
      <c r="AA174" s="191"/>
      <c r="AD174" s="199"/>
      <c r="AI174" s="191"/>
      <c r="AJ174" s="191"/>
      <c r="AK174" s="191"/>
    </row>
    <row r="175" spans="1:42" ht="65" customHeight="1">
      <c r="D175" s="10"/>
      <c r="E175" s="89">
        <v>12</v>
      </c>
      <c r="F175" s="90" t="s">
        <v>4447</v>
      </c>
      <c r="G175" s="755" t="s">
        <v>4448</v>
      </c>
      <c r="H175" s="756"/>
      <c r="I175" s="756"/>
      <c r="J175" s="756"/>
      <c r="K175" s="756"/>
      <c r="L175" s="756"/>
      <c r="M175" s="757"/>
      <c r="N175" s="1"/>
      <c r="O175" s="1"/>
      <c r="P175" s="145"/>
      <c r="Q175" s="145"/>
      <c r="R175" s="23"/>
      <c r="S175" s="23"/>
      <c r="T175" s="23"/>
      <c r="U175" s="197"/>
      <c r="V175" s="197"/>
      <c r="AA175" s="191"/>
      <c r="AD175" s="199"/>
      <c r="AI175" s="191"/>
      <c r="AJ175" s="191"/>
      <c r="AK175" s="191"/>
    </row>
    <row r="176" spans="1:42" ht="65" customHeight="1">
      <c r="D176" s="10"/>
      <c r="E176" s="89">
        <v>13</v>
      </c>
      <c r="F176" s="90" t="s">
        <v>4478</v>
      </c>
      <c r="G176" s="755" t="s">
        <v>4479</v>
      </c>
      <c r="H176" s="756"/>
      <c r="I176" s="756"/>
      <c r="J176" s="756"/>
      <c r="K176" s="756"/>
      <c r="L176" s="756"/>
      <c r="M176" s="757"/>
      <c r="N176" s="1"/>
      <c r="O176" s="1"/>
      <c r="P176" s="145"/>
      <c r="Q176" s="145"/>
      <c r="R176" s="23"/>
      <c r="S176" s="23"/>
      <c r="T176" s="23"/>
      <c r="U176" s="197"/>
      <c r="V176" s="197"/>
      <c r="AA176" s="191"/>
      <c r="AD176" s="199"/>
      <c r="AI176" s="191"/>
      <c r="AJ176" s="191"/>
      <c r="AK176" s="191"/>
    </row>
    <row r="177" spans="4:37" ht="65" customHeight="1">
      <c r="D177" s="10"/>
      <c r="E177" s="89">
        <v>14</v>
      </c>
      <c r="F177" s="90" t="s">
        <v>4451</v>
      </c>
      <c r="G177" s="755" t="s">
        <v>4452</v>
      </c>
      <c r="H177" s="756"/>
      <c r="I177" s="756"/>
      <c r="J177" s="756"/>
      <c r="K177" s="756"/>
      <c r="L177" s="756"/>
      <c r="M177" s="757"/>
      <c r="N177" s="1"/>
      <c r="O177" s="1"/>
      <c r="P177" s="145"/>
      <c r="Q177" s="145"/>
      <c r="R177" s="23"/>
      <c r="S177" s="23"/>
      <c r="T177" s="23"/>
      <c r="U177" s="197"/>
      <c r="V177" s="197"/>
      <c r="AA177" s="191"/>
      <c r="AD177" s="199"/>
      <c r="AI177" s="191"/>
      <c r="AJ177" s="191"/>
      <c r="AK177" s="191"/>
    </row>
    <row r="178" spans="4:37" ht="65" customHeight="1">
      <c r="D178" s="10"/>
      <c r="E178" s="89">
        <v>15</v>
      </c>
      <c r="F178" s="90" t="s">
        <v>4450</v>
      </c>
      <c r="G178" s="755" t="s">
        <v>4471</v>
      </c>
      <c r="H178" s="756"/>
      <c r="I178" s="756"/>
      <c r="J178" s="756"/>
      <c r="K178" s="756"/>
      <c r="L178" s="756"/>
      <c r="M178" s="757"/>
      <c r="N178" s="1"/>
      <c r="O178" s="1"/>
      <c r="P178" s="145"/>
      <c r="Q178" s="145"/>
      <c r="R178" s="23"/>
      <c r="S178" s="23"/>
      <c r="T178" s="23"/>
      <c r="U178" s="197"/>
      <c r="V178" s="197"/>
      <c r="AA178" s="191"/>
      <c r="AD178" s="199"/>
      <c r="AI178" s="191"/>
      <c r="AJ178" s="191"/>
      <c r="AK178" s="191"/>
    </row>
    <row r="179" spans="4:37" ht="65" customHeight="1">
      <c r="D179" s="10"/>
      <c r="E179" s="89">
        <v>16</v>
      </c>
      <c r="F179" s="90" t="s">
        <v>3976</v>
      </c>
      <c r="G179" s="755" t="s">
        <v>4472</v>
      </c>
      <c r="H179" s="756"/>
      <c r="I179" s="756"/>
      <c r="J179" s="756"/>
      <c r="K179" s="756"/>
      <c r="L179" s="756"/>
      <c r="M179" s="757"/>
      <c r="N179" s="1"/>
      <c r="O179" s="1"/>
      <c r="P179" s="145"/>
      <c r="Q179" s="145"/>
      <c r="R179" s="23"/>
      <c r="S179" s="23"/>
      <c r="T179" s="23"/>
      <c r="U179" s="197"/>
      <c r="V179" s="197"/>
      <c r="AA179" s="191"/>
      <c r="AD179" s="199"/>
      <c r="AI179" s="191"/>
      <c r="AJ179" s="191"/>
      <c r="AK179" s="191"/>
    </row>
    <row r="180" spans="4:37" ht="65" customHeight="1">
      <c r="D180" s="10"/>
      <c r="E180" s="89">
        <v>17</v>
      </c>
      <c r="F180" s="90" t="s">
        <v>4449</v>
      </c>
      <c r="G180" s="755" t="s">
        <v>4480</v>
      </c>
      <c r="H180" s="756"/>
      <c r="I180" s="756"/>
      <c r="J180" s="756"/>
      <c r="K180" s="756"/>
      <c r="L180" s="756"/>
      <c r="M180" s="757"/>
      <c r="N180" s="1"/>
      <c r="O180" s="1"/>
      <c r="P180" s="145"/>
      <c r="Q180" s="145"/>
      <c r="R180" s="23"/>
      <c r="S180" s="23"/>
      <c r="T180" s="23"/>
      <c r="U180" s="197"/>
      <c r="V180" s="197"/>
      <c r="AA180" s="191"/>
      <c r="AD180" s="199"/>
      <c r="AI180" s="191"/>
      <c r="AJ180" s="191"/>
      <c r="AK180" s="191"/>
    </row>
    <row r="181" spans="4:37" ht="65" customHeight="1">
      <c r="D181" s="10"/>
      <c r="E181" s="89">
        <v>18</v>
      </c>
      <c r="F181" s="90" t="s">
        <v>4342</v>
      </c>
      <c r="G181" s="755" t="s">
        <v>4473</v>
      </c>
      <c r="H181" s="756"/>
      <c r="I181" s="756"/>
      <c r="J181" s="756"/>
      <c r="K181" s="756"/>
      <c r="L181" s="756"/>
      <c r="M181" s="757"/>
      <c r="N181" s="1"/>
      <c r="O181" s="1"/>
      <c r="P181" s="145"/>
      <c r="Q181" s="145"/>
      <c r="R181" s="23"/>
      <c r="S181" s="23"/>
      <c r="T181" s="23"/>
      <c r="U181" s="197"/>
      <c r="V181" s="197"/>
      <c r="AA181" s="191"/>
      <c r="AD181" s="199"/>
      <c r="AI181" s="191"/>
      <c r="AJ181" s="191"/>
      <c r="AK181" s="191"/>
    </row>
    <row r="182" spans="4:37" ht="65" hidden="1" customHeight="1">
      <c r="D182" s="10"/>
      <c r="E182"/>
      <c r="F182"/>
      <c r="G182"/>
      <c r="H182"/>
      <c r="I182"/>
      <c r="J182"/>
      <c r="K182"/>
      <c r="L182"/>
      <c r="M182"/>
      <c r="N182"/>
      <c r="O182"/>
      <c r="P182" s="23"/>
      <c r="Q182" s="23"/>
      <c r="R182" s="23"/>
      <c r="S182" s="23"/>
      <c r="T182" s="23"/>
      <c r="U182" s="197"/>
      <c r="V182" s="197"/>
      <c r="AA182" s="191"/>
      <c r="AD182" s="199"/>
      <c r="AI182" s="191"/>
      <c r="AJ182" s="191"/>
      <c r="AK182" s="191"/>
    </row>
    <row r="183" spans="4:37" ht="65" hidden="1" customHeight="1">
      <c r="D183" s="10"/>
      <c r="E183"/>
      <c r="F183"/>
      <c r="G183"/>
      <c r="H183"/>
      <c r="I183"/>
      <c r="J183"/>
      <c r="K183"/>
      <c r="L183"/>
      <c r="M183"/>
      <c r="N183"/>
      <c r="O183"/>
      <c r="P183" s="23"/>
      <c r="Q183" s="23"/>
      <c r="R183" s="23"/>
      <c r="S183" s="23"/>
      <c r="T183" s="23"/>
      <c r="U183" s="197"/>
      <c r="V183" s="197"/>
      <c r="AA183" s="191"/>
      <c r="AD183" s="199"/>
      <c r="AI183" s="191"/>
      <c r="AJ183" s="191"/>
      <c r="AK183" s="191"/>
    </row>
    <row r="184" spans="4:37" ht="65" hidden="1" customHeight="1">
      <c r="D184" s="10"/>
      <c r="E184"/>
      <c r="F184"/>
      <c r="G184"/>
      <c r="H184"/>
      <c r="I184"/>
      <c r="J184"/>
      <c r="K184"/>
      <c r="L184"/>
      <c r="M184"/>
      <c r="N184"/>
      <c r="O184"/>
      <c r="P184" s="23"/>
      <c r="Q184" s="23"/>
      <c r="R184" s="23"/>
      <c r="S184" s="23"/>
      <c r="T184" s="23"/>
      <c r="U184" s="197"/>
      <c r="V184" s="197"/>
      <c r="AA184" s="191"/>
      <c r="AD184" s="199"/>
      <c r="AI184" s="191"/>
      <c r="AJ184" s="191"/>
      <c r="AK184" s="191"/>
    </row>
    <row r="185" spans="4:37" ht="65" hidden="1" customHeight="1">
      <c r="D185" s="10"/>
      <c r="E185"/>
      <c r="F185"/>
      <c r="G185"/>
      <c r="H185"/>
      <c r="I185"/>
      <c r="J185"/>
      <c r="K185"/>
      <c r="L185"/>
      <c r="M185"/>
      <c r="N185"/>
      <c r="O185"/>
      <c r="P185" s="23"/>
      <c r="Q185" s="23"/>
      <c r="R185" s="23"/>
      <c r="S185" s="23"/>
      <c r="T185" s="23"/>
      <c r="U185" s="197"/>
      <c r="V185" s="197"/>
      <c r="AA185" s="191"/>
      <c r="AD185" s="199"/>
      <c r="AI185" s="191"/>
      <c r="AJ185" s="191"/>
      <c r="AK185" s="191"/>
    </row>
    <row r="186" spans="4:37" ht="65" hidden="1" customHeight="1">
      <c r="D186" s="10"/>
      <c r="E186"/>
      <c r="F186"/>
      <c r="G186"/>
      <c r="H186"/>
      <c r="I186"/>
      <c r="J186"/>
      <c r="K186"/>
      <c r="L186"/>
      <c r="M186"/>
      <c r="N186"/>
      <c r="O186"/>
      <c r="P186" s="23"/>
      <c r="Q186" s="23"/>
      <c r="R186" s="23"/>
      <c r="S186" s="23"/>
      <c r="T186" s="23"/>
      <c r="U186" s="197"/>
      <c r="V186" s="197"/>
      <c r="AA186" s="191"/>
      <c r="AD186" s="199"/>
      <c r="AI186" s="191"/>
      <c r="AJ186" s="191"/>
      <c r="AK186" s="191"/>
    </row>
    <row r="187" spans="4:37" ht="18" customHeight="1">
      <c r="D187" s="77"/>
      <c r="E187" s="28"/>
      <c r="F187" s="28"/>
      <c r="G187" s="28"/>
      <c r="H187" s="28"/>
      <c r="I187" s="28"/>
      <c r="J187" s="28"/>
      <c r="K187" s="28"/>
      <c r="L187" s="28"/>
      <c r="M187" s="28"/>
      <c r="N187" s="28"/>
      <c r="O187" s="28"/>
      <c r="P187" s="28"/>
      <c r="Q187" s="28"/>
      <c r="R187" s="28"/>
      <c r="S187" s="28"/>
      <c r="T187" s="28"/>
      <c r="U187" s="197"/>
      <c r="V187" s="197"/>
      <c r="AA187" s="191"/>
      <c r="AD187" s="199"/>
      <c r="AI187" s="191"/>
      <c r="AJ187" s="191"/>
      <c r="AK187" s="191"/>
    </row>
    <row r="188" spans="4:37" ht="18.649999999999999" hidden="1" customHeight="1">
      <c r="D188" s="77"/>
      <c r="E188" s="28"/>
      <c r="F188" s="28"/>
      <c r="G188" s="28"/>
      <c r="H188" s="28"/>
      <c r="I188" s="28"/>
      <c r="J188" s="28"/>
      <c r="K188" s="28"/>
      <c r="L188" s="28"/>
      <c r="M188" s="28"/>
      <c r="N188" s="28"/>
      <c r="O188" s="28"/>
      <c r="P188" s="28"/>
      <c r="Q188" s="28"/>
      <c r="R188" s="28"/>
      <c r="S188" s="28"/>
      <c r="T188" s="28"/>
      <c r="U188" s="197"/>
      <c r="V188" s="197"/>
      <c r="AA188" s="191"/>
      <c r="AD188" s="199"/>
      <c r="AI188" s="191"/>
      <c r="AJ188" s="191"/>
      <c r="AK188" s="191"/>
    </row>
    <row r="189" spans="4:37" ht="18.649999999999999" hidden="1" customHeight="1">
      <c r="D189" s="77"/>
      <c r="E189" s="28"/>
      <c r="F189" s="28"/>
      <c r="G189" s="28"/>
      <c r="H189" s="28"/>
      <c r="I189" s="28"/>
      <c r="J189" s="28"/>
      <c r="K189" s="28"/>
      <c r="L189" s="28"/>
      <c r="M189" s="28"/>
      <c r="N189" s="28"/>
      <c r="O189" s="28"/>
      <c r="P189" s="28"/>
      <c r="Q189" s="28"/>
      <c r="R189" s="28"/>
      <c r="S189" s="28"/>
      <c r="T189" s="28"/>
      <c r="U189" s="197"/>
      <c r="V189" s="197"/>
      <c r="AA189" s="191"/>
      <c r="AD189" s="199"/>
      <c r="AI189" s="191"/>
      <c r="AJ189" s="191"/>
      <c r="AK189" s="191"/>
    </row>
    <row r="190" spans="4:37" ht="18.649999999999999" hidden="1" customHeight="1">
      <c r="D190" s="77"/>
      <c r="E190" s="28"/>
      <c r="F190" s="28"/>
      <c r="G190" s="28"/>
      <c r="H190" s="28"/>
      <c r="I190" s="28"/>
      <c r="J190" s="28"/>
      <c r="K190" s="28"/>
      <c r="L190" s="28"/>
      <c r="M190" s="28"/>
      <c r="N190" s="28"/>
      <c r="O190" s="28"/>
      <c r="P190" s="28"/>
      <c r="Q190" s="28"/>
      <c r="R190" s="28"/>
      <c r="S190" s="28"/>
      <c r="T190" s="28"/>
      <c r="U190" s="197"/>
      <c r="V190" s="197"/>
      <c r="AA190" s="191"/>
      <c r="AD190" s="199"/>
      <c r="AI190" s="191"/>
      <c r="AJ190" s="191"/>
      <c r="AK190" s="191"/>
    </row>
    <row r="191" spans="4:37" ht="18.649999999999999" hidden="1" customHeight="1">
      <c r="D191" s="77"/>
      <c r="E191" s="28"/>
      <c r="F191" s="28"/>
      <c r="G191" s="28"/>
      <c r="H191" s="28"/>
      <c r="I191" s="28"/>
      <c r="J191" s="28"/>
      <c r="K191" s="28"/>
      <c r="L191" s="28"/>
      <c r="M191" s="28"/>
      <c r="N191" s="28"/>
      <c r="O191" s="28"/>
      <c r="P191" s="28"/>
      <c r="Q191" s="28"/>
      <c r="R191" s="28"/>
      <c r="S191" s="28"/>
      <c r="T191" s="28"/>
      <c r="U191" s="197"/>
      <c r="V191" s="197"/>
      <c r="AA191" s="191"/>
      <c r="AD191" s="199"/>
      <c r="AI191" s="191"/>
      <c r="AJ191" s="191"/>
      <c r="AK191" s="191"/>
    </row>
    <row r="192" spans="4:37" ht="18.649999999999999" hidden="1" customHeight="1">
      <c r="D192" s="77"/>
      <c r="E192" s="28"/>
      <c r="F192" s="28"/>
      <c r="G192" s="28"/>
      <c r="H192" s="28"/>
      <c r="I192" s="28"/>
      <c r="J192" s="28"/>
      <c r="K192" s="28"/>
      <c r="L192" s="28"/>
      <c r="M192" s="28"/>
      <c r="N192" s="28"/>
      <c r="O192" s="28"/>
      <c r="P192" s="28"/>
      <c r="Q192" s="28"/>
      <c r="R192" s="28"/>
      <c r="S192" s="28"/>
      <c r="T192" s="28"/>
      <c r="U192" s="197"/>
      <c r="V192" s="197"/>
      <c r="AA192" s="191"/>
      <c r="AD192" s="199"/>
      <c r="AI192" s="191"/>
      <c r="AJ192" s="191"/>
      <c r="AK192" s="191"/>
    </row>
    <row r="193" spans="1:49" ht="65" hidden="1" customHeight="1">
      <c r="D193" s="77"/>
      <c r="E193" s="28"/>
      <c r="F193" s="28"/>
      <c r="G193" s="28"/>
      <c r="H193" s="28"/>
      <c r="I193" s="28"/>
      <c r="J193" s="28"/>
      <c r="K193" s="28"/>
      <c r="L193" s="28"/>
      <c r="M193" s="28"/>
      <c r="N193" s="28"/>
      <c r="O193" s="28"/>
      <c r="P193" s="28"/>
      <c r="Q193" s="28"/>
      <c r="R193" s="28"/>
      <c r="S193" s="28"/>
      <c r="T193" s="28"/>
      <c r="U193" s="197"/>
      <c r="V193" s="197"/>
      <c r="AA193" s="191"/>
      <c r="AD193" s="199"/>
      <c r="AI193" s="191"/>
      <c r="AJ193" s="191"/>
      <c r="AK193" s="191"/>
    </row>
    <row r="194" spans="1:49" ht="16.5" hidden="1" customHeight="1">
      <c r="D194" s="77"/>
      <c r="E194" s="77"/>
      <c r="F194" s="77"/>
      <c r="G194" s="77"/>
      <c r="H194" s="77"/>
      <c r="I194" s="77"/>
      <c r="J194" s="77"/>
      <c r="K194" s="77"/>
      <c r="L194" s="77"/>
      <c r="M194" s="77"/>
      <c r="N194" s="77"/>
      <c r="O194" s="77"/>
      <c r="P194" s="91"/>
      <c r="Q194" s="28"/>
      <c r="R194" s="28"/>
      <c r="S194" s="28"/>
      <c r="T194" s="28"/>
      <c r="U194" s="197"/>
      <c r="V194" s="197"/>
      <c r="AA194" s="191"/>
      <c r="AD194" s="199"/>
      <c r="AI194" s="191"/>
      <c r="AJ194" s="191"/>
      <c r="AK194" s="191"/>
      <c r="AO194" s="197"/>
    </row>
    <row r="195" spans="1:49" s="191" customFormat="1" ht="18" customHeight="1">
      <c r="A195" s="187"/>
      <c r="B195" s="187"/>
      <c r="C195" s="187"/>
      <c r="D195" s="24"/>
      <c r="E195" s="42" t="s">
        <v>4439</v>
      </c>
      <c r="F195" s="24"/>
      <c r="G195" s="24"/>
      <c r="H195" s="24"/>
      <c r="I195" s="24"/>
      <c r="J195" s="24"/>
      <c r="K195" s="24"/>
      <c r="L195" s="24"/>
      <c r="M195" s="24"/>
      <c r="N195" s="48"/>
      <c r="O195" s="24"/>
      <c r="P195" s="24"/>
      <c r="Q195" s="24"/>
      <c r="R195" s="24"/>
      <c r="S195" s="48"/>
      <c r="T195" s="24"/>
      <c r="AD195" s="199"/>
    </row>
    <row r="196" spans="1:49" s="191" customFormat="1" ht="20" customHeight="1">
      <c r="A196" s="187"/>
      <c r="B196" s="187"/>
      <c r="C196" s="187"/>
      <c r="D196" s="24"/>
      <c r="E196" s="24"/>
      <c r="F196" s="83" t="s">
        <v>4346</v>
      </c>
      <c r="G196" s="24"/>
      <c r="H196" s="24"/>
      <c r="I196" s="24"/>
      <c r="J196" s="24"/>
      <c r="K196" s="24"/>
      <c r="L196" s="24"/>
      <c r="M196" s="24"/>
      <c r="N196" s="146"/>
      <c r="O196" s="24"/>
      <c r="P196" s="24"/>
      <c r="Q196" s="24"/>
      <c r="R196" s="24"/>
      <c r="S196" s="24"/>
      <c r="T196" s="146"/>
      <c r="AD196" s="199"/>
    </row>
    <row r="197" spans="1:49" s="191" customFormat="1" ht="20" customHeight="1">
      <c r="A197" s="187"/>
      <c r="B197" s="187"/>
      <c r="C197" s="187"/>
      <c r="D197" s="24"/>
      <c r="E197" s="24"/>
      <c r="F197" s="83" t="str">
        <f>"実施状況：" &amp; $AB$1 &amp;"年度（基準年度）における実施状況をプルダウンから選択してください。"</f>
        <v>実施状況：0年度（基準年度）における実施状況をプルダウンから選択してください。</v>
      </c>
      <c r="G197" s="24"/>
      <c r="H197" s="24"/>
      <c r="I197" s="24"/>
      <c r="J197" s="24"/>
      <c r="K197" s="24"/>
      <c r="L197" s="24"/>
      <c r="M197" s="24"/>
      <c r="N197" s="146"/>
      <c r="O197" s="24"/>
      <c r="P197" s="24"/>
      <c r="Q197" s="24"/>
      <c r="R197" s="24"/>
      <c r="S197" s="24"/>
      <c r="T197" s="146"/>
      <c r="AD197" s="199"/>
    </row>
    <row r="198" spans="1:49" s="191" customFormat="1" ht="25.25" customHeight="1">
      <c r="A198" s="187"/>
      <c r="B198" s="187"/>
      <c r="C198" s="187"/>
      <c r="D198" s="24"/>
      <c r="E198" s="24"/>
      <c r="F198" s="84" t="s">
        <v>4282</v>
      </c>
      <c r="G198" s="24"/>
      <c r="H198" s="24"/>
      <c r="I198" s="24"/>
      <c r="J198" s="24"/>
      <c r="K198" s="24"/>
      <c r="L198" s="24"/>
      <c r="M198" s="24"/>
      <c r="N198" s="146"/>
      <c r="O198" s="24"/>
      <c r="P198" s="24"/>
      <c r="Q198" s="24"/>
      <c r="R198" s="24"/>
      <c r="S198" s="24"/>
      <c r="T198" s="146"/>
      <c r="AD198" s="199"/>
    </row>
    <row r="199" spans="1:49" s="191" customFormat="1" ht="20" customHeight="1">
      <c r="A199" s="187"/>
      <c r="B199" s="187"/>
      <c r="C199" s="187"/>
      <c r="D199" s="24"/>
      <c r="E199" s="746" t="str">
        <f>"基準年度："&amp;$AB$1&amp;"年度"</f>
        <v>基準年度：0年度</v>
      </c>
      <c r="F199" s="747"/>
      <c r="G199" s="770" t="s">
        <v>4236</v>
      </c>
      <c r="H199" s="771"/>
      <c r="I199" s="759" t="str">
        <f>IF($AB$2-$AB$1&gt;=1,$AB$1+1&amp;"年度","-------")</f>
        <v>1年度</v>
      </c>
      <c r="J199" s="808"/>
      <c r="K199" s="807" t="s">
        <v>4237</v>
      </c>
      <c r="L199" s="770"/>
      <c r="M199" s="86" t="str">
        <f>IF($AB$2-$AB$1&gt;=2,$AB$1+2&amp;"年度","-------")</f>
        <v>2年度</v>
      </c>
      <c r="N199" s="87" t="s">
        <v>4238</v>
      </c>
      <c r="O199" s="88" t="str">
        <f>IF($AB$2-$AB$1&gt;=3,$AB$1+3&amp;"年度","-------")</f>
        <v>3年度</v>
      </c>
      <c r="P199" s="24"/>
      <c r="Q199" s="24"/>
      <c r="R199" s="24"/>
      <c r="S199" s="24"/>
      <c r="T199" s="24"/>
      <c r="AD199" s="199"/>
    </row>
    <row r="200" spans="1:49" s="191" customFormat="1" ht="25.25" customHeight="1">
      <c r="A200" s="187"/>
      <c r="B200" s="187"/>
      <c r="C200" s="187"/>
      <c r="D200" s="24"/>
      <c r="E200" s="248" t="s">
        <v>4241</v>
      </c>
      <c r="F200" s="24"/>
      <c r="G200" s="24"/>
      <c r="H200" s="24"/>
      <c r="I200" s="24"/>
      <c r="J200" s="24"/>
      <c r="K200" s="24"/>
      <c r="L200" s="24"/>
      <c r="M200" s="24"/>
      <c r="N200" s="24"/>
      <c r="O200" s="24"/>
      <c r="P200" s="24"/>
      <c r="Q200" s="24"/>
      <c r="R200" s="24"/>
      <c r="S200" s="24"/>
      <c r="T200" s="24"/>
      <c r="U200" s="197"/>
      <c r="V200" s="197"/>
      <c r="AD200" s="199"/>
      <c r="AL200" s="197"/>
      <c r="AM200" s="197"/>
      <c r="AN200" s="197"/>
    </row>
    <row r="201" spans="1:49" ht="18" customHeight="1">
      <c r="D201" s="10"/>
      <c r="E201" s="745" t="s">
        <v>77</v>
      </c>
      <c r="F201" s="762" t="s">
        <v>78</v>
      </c>
      <c r="G201" s="792" t="s">
        <v>79</v>
      </c>
      <c r="H201" s="793"/>
      <c r="I201" s="793"/>
      <c r="J201" s="793"/>
      <c r="K201" s="793"/>
      <c r="L201" s="793"/>
      <c r="M201" s="794"/>
      <c r="N201" s="760" t="s">
        <v>4254</v>
      </c>
      <c r="O201" s="762" t="s">
        <v>80</v>
      </c>
      <c r="P201" s="145"/>
      <c r="Q201" s="145"/>
      <c r="R201" s="23"/>
      <c r="S201" s="23"/>
      <c r="T201" s="23"/>
      <c r="U201" s="197"/>
      <c r="V201" s="197"/>
      <c r="AA201" s="191"/>
      <c r="AD201" s="199"/>
      <c r="AI201" s="191"/>
      <c r="AJ201" s="191"/>
      <c r="AK201" s="191"/>
    </row>
    <row r="202" spans="1:49" ht="18" customHeight="1">
      <c r="D202" s="10"/>
      <c r="E202" s="745"/>
      <c r="F202" s="763"/>
      <c r="G202" s="795"/>
      <c r="H202" s="796"/>
      <c r="I202" s="796"/>
      <c r="J202" s="796"/>
      <c r="K202" s="796"/>
      <c r="L202" s="796"/>
      <c r="M202" s="797"/>
      <c r="N202" s="761"/>
      <c r="O202" s="763"/>
      <c r="P202" s="145"/>
      <c r="Q202" s="145"/>
      <c r="R202" s="23"/>
      <c r="S202" s="23"/>
      <c r="T202" s="23"/>
      <c r="U202" s="197"/>
      <c r="V202" s="197"/>
      <c r="AA202" s="191"/>
      <c r="AD202" s="199"/>
      <c r="AI202" s="191"/>
      <c r="AJ202" s="191"/>
      <c r="AK202" s="191"/>
      <c r="AW202" s="189"/>
    </row>
    <row r="203" spans="1:49" ht="70.25" customHeight="1">
      <c r="D203" s="10"/>
      <c r="E203" s="89">
        <v>1</v>
      </c>
      <c r="F203" s="6"/>
      <c r="G203" s="755" t="str">
        <f>IF(W203&lt;2,IFERROR(VLOOKUP(F203,選択対策,2,0),""),
    "同じ項目がすでに選択されています。"&amp;CHAR(10)&amp;"別の項目を選択するか、どちらかの項目を削除してください。")</f>
        <v/>
      </c>
      <c r="H203" s="756"/>
      <c r="I203" s="756"/>
      <c r="J203" s="756"/>
      <c r="K203" s="756"/>
      <c r="L203" s="756"/>
      <c r="M203" s="757"/>
      <c r="N203" s="1"/>
      <c r="O203" s="1"/>
      <c r="P203" s="145"/>
      <c r="Q203" s="145"/>
      <c r="R203" s="23"/>
      <c r="S203" s="23"/>
      <c r="T203" s="23"/>
      <c r="U203" s="197"/>
      <c r="V203" s="197"/>
      <c r="W203" s="191">
        <f t="shared" ref="W203:W211" si="3">COUNTIF($F$203:$F$211,F203)</f>
        <v>0</v>
      </c>
      <c r="X203" s="191" t="str">
        <f>IFERROR(CHOOSE($W$200,COUNTIFS($O$203:$O$211,$W203),COUNTIFS($P$203:$P$211,$W203),COUNTIFS($Q$203:$Q$211,$W203)),"------")</f>
        <v>------</v>
      </c>
      <c r="AA203" s="191"/>
      <c r="AD203" s="199"/>
      <c r="AI203" s="191"/>
      <c r="AJ203" s="191"/>
      <c r="AK203" s="191"/>
      <c r="AO203" s="197"/>
      <c r="AP203" s="197"/>
      <c r="AQ203" s="197"/>
      <c r="AR203" s="197"/>
    </row>
    <row r="204" spans="1:49" ht="70.25" customHeight="1">
      <c r="D204" s="10"/>
      <c r="E204" s="89">
        <v>2</v>
      </c>
      <c r="F204" s="6"/>
      <c r="G204" s="755" t="str">
        <f t="shared" ref="G204:G211" si="4">IF(W204&lt;2,IFERROR(VLOOKUP(F204,選択対策,2,0),""),
    "同じ項目がすでに選択されています。"&amp;CHAR(10)&amp;"別の項目を選択するか、どちらかの項目を削除してください。")</f>
        <v/>
      </c>
      <c r="H204" s="756"/>
      <c r="I204" s="756"/>
      <c r="J204" s="756"/>
      <c r="K204" s="756"/>
      <c r="L204" s="756"/>
      <c r="M204" s="757"/>
      <c r="N204" s="1"/>
      <c r="O204" s="1"/>
      <c r="P204" s="145"/>
      <c r="Q204" s="145"/>
      <c r="R204" s="23"/>
      <c r="S204" s="23"/>
      <c r="T204" s="23"/>
      <c r="U204" s="197"/>
      <c r="V204" s="197"/>
      <c r="W204" s="191">
        <f t="shared" si="3"/>
        <v>0</v>
      </c>
      <c r="X204" s="191" t="str">
        <f>IFERROR(CHOOSE($W$200,COUNTIFS($O$203:$O$211,$W204),COUNTIFS($P$203:$P$211,$W204),COUNTIFS($Q$203:$Q$211,$W204)),"------")</f>
        <v>------</v>
      </c>
      <c r="AA204" s="191"/>
      <c r="AD204" s="199"/>
      <c r="AI204" s="191"/>
      <c r="AJ204" s="191"/>
      <c r="AK204" s="191"/>
      <c r="AO204" s="197"/>
      <c r="AP204" s="197"/>
      <c r="AQ204" s="197"/>
      <c r="AR204" s="197"/>
    </row>
    <row r="205" spans="1:49" ht="70.25" customHeight="1">
      <c r="D205" s="10"/>
      <c r="E205" s="89">
        <v>3</v>
      </c>
      <c r="F205" s="6"/>
      <c r="G205" s="755" t="str">
        <f t="shared" si="4"/>
        <v/>
      </c>
      <c r="H205" s="756"/>
      <c r="I205" s="756"/>
      <c r="J205" s="756"/>
      <c r="K205" s="756"/>
      <c r="L205" s="756"/>
      <c r="M205" s="757"/>
      <c r="N205" s="1"/>
      <c r="O205" s="1"/>
      <c r="P205" s="145"/>
      <c r="Q205" s="145"/>
      <c r="R205" s="23"/>
      <c r="S205" s="23"/>
      <c r="T205" s="23"/>
      <c r="U205" s="197"/>
      <c r="V205" s="197"/>
      <c r="W205" s="191">
        <f t="shared" si="3"/>
        <v>0</v>
      </c>
      <c r="X205" s="191" t="str">
        <f>IFERROR(CHOOSE($W$200,COUNTIFS($O$203:$O$211,$W205),COUNTIFS($P$203:$P$211,$W205),COUNTIFS($Q$203:$Q$211,$W205)),"------")</f>
        <v>------</v>
      </c>
      <c r="AA205" s="191"/>
      <c r="AD205" s="199"/>
      <c r="AI205" s="191"/>
      <c r="AJ205" s="191"/>
      <c r="AK205" s="191"/>
      <c r="AO205" s="197"/>
      <c r="AP205" s="197"/>
      <c r="AQ205" s="197"/>
      <c r="AR205" s="197"/>
    </row>
    <row r="206" spans="1:49" ht="70.25" customHeight="1">
      <c r="D206" s="10"/>
      <c r="E206" s="89">
        <v>4</v>
      </c>
      <c r="F206" s="6"/>
      <c r="G206" s="755" t="str">
        <f t="shared" si="4"/>
        <v/>
      </c>
      <c r="H206" s="756"/>
      <c r="I206" s="756"/>
      <c r="J206" s="756"/>
      <c r="K206" s="756"/>
      <c r="L206" s="756"/>
      <c r="M206" s="757"/>
      <c r="N206" s="1"/>
      <c r="O206" s="1"/>
      <c r="P206" s="145"/>
      <c r="Q206" s="145"/>
      <c r="R206" s="23"/>
      <c r="S206" s="23"/>
      <c r="T206" s="23"/>
      <c r="U206" s="197"/>
      <c r="V206" s="197"/>
      <c r="W206" s="191">
        <f t="shared" si="3"/>
        <v>0</v>
      </c>
      <c r="AA206" s="191"/>
      <c r="AD206" s="199"/>
      <c r="AI206" s="191"/>
      <c r="AJ206" s="191"/>
      <c r="AK206" s="191"/>
      <c r="AO206" s="197"/>
      <c r="AP206" s="197"/>
      <c r="AQ206" s="197"/>
      <c r="AR206" s="197"/>
    </row>
    <row r="207" spans="1:49" ht="70.25" customHeight="1">
      <c r="D207" s="10"/>
      <c r="E207" s="89">
        <v>5</v>
      </c>
      <c r="F207" s="6"/>
      <c r="G207" s="755" t="str">
        <f>IF(W207&lt;2,IFERROR(VLOOKUP(F207,選択対策,2,0),""),
    "同じ項目がすでに選択されています。"&amp;CHAR(10)&amp;"別の項目を選択するか、どちらかの項目を削除してください。")</f>
        <v/>
      </c>
      <c r="H207" s="756"/>
      <c r="I207" s="756"/>
      <c r="J207" s="756"/>
      <c r="K207" s="756"/>
      <c r="L207" s="756"/>
      <c r="M207" s="757"/>
      <c r="N207" s="1"/>
      <c r="O207" s="1"/>
      <c r="P207" s="145"/>
      <c r="Q207" s="145"/>
      <c r="R207" s="23"/>
      <c r="S207" s="23"/>
      <c r="T207" s="23"/>
      <c r="U207" s="197"/>
      <c r="V207" s="197"/>
      <c r="W207" s="191">
        <f t="shared" si="3"/>
        <v>0</v>
      </c>
      <c r="X207" s="191" t="e">
        <f>IF(X203*Y203+X204*Y204&gt;Y206,Y206,X203*Y203+X204*Y204)</f>
        <v>#VALUE!</v>
      </c>
      <c r="AA207" s="191"/>
      <c r="AD207" s="199"/>
      <c r="AI207" s="191"/>
      <c r="AJ207" s="191"/>
      <c r="AK207" s="191"/>
      <c r="AO207" s="197"/>
      <c r="AP207" s="197"/>
      <c r="AQ207" s="197"/>
      <c r="AR207" s="197"/>
    </row>
    <row r="208" spans="1:49" ht="70.25" customHeight="1">
      <c r="D208" s="10"/>
      <c r="E208" s="89">
        <v>6</v>
      </c>
      <c r="F208" s="6"/>
      <c r="G208" s="755" t="str">
        <f t="shared" si="4"/>
        <v/>
      </c>
      <c r="H208" s="756"/>
      <c r="I208" s="756"/>
      <c r="J208" s="756"/>
      <c r="K208" s="756"/>
      <c r="L208" s="756"/>
      <c r="M208" s="757"/>
      <c r="N208" s="1"/>
      <c r="O208" s="1"/>
      <c r="P208" s="145"/>
      <c r="Q208" s="145"/>
      <c r="R208" s="23"/>
      <c r="S208" s="23"/>
      <c r="T208" s="23"/>
      <c r="U208" s="197"/>
      <c r="V208" s="197"/>
      <c r="W208" s="191">
        <f t="shared" si="3"/>
        <v>0</v>
      </c>
      <c r="AA208" s="191"/>
      <c r="AD208" s="199"/>
      <c r="AI208" s="191"/>
      <c r="AJ208" s="191"/>
      <c r="AK208" s="191"/>
      <c r="AO208" s="197"/>
      <c r="AP208" s="197"/>
      <c r="AQ208" s="197"/>
      <c r="AR208" s="197"/>
    </row>
    <row r="209" spans="1:49" ht="70.25" customHeight="1">
      <c r="D209" s="10"/>
      <c r="E209" s="89">
        <v>7</v>
      </c>
      <c r="F209" s="6"/>
      <c r="G209" s="755" t="str">
        <f t="shared" si="4"/>
        <v/>
      </c>
      <c r="H209" s="756"/>
      <c r="I209" s="756"/>
      <c r="J209" s="756"/>
      <c r="K209" s="756"/>
      <c r="L209" s="756"/>
      <c r="M209" s="757"/>
      <c r="N209" s="1"/>
      <c r="O209" s="1"/>
      <c r="P209" s="145"/>
      <c r="Q209" s="145"/>
      <c r="R209" s="23"/>
      <c r="S209" s="23"/>
      <c r="T209" s="23"/>
      <c r="U209" s="197"/>
      <c r="V209" s="197"/>
      <c r="W209" s="191">
        <f t="shared" si="3"/>
        <v>0</v>
      </c>
      <c r="AA209" s="191"/>
      <c r="AD209" s="199"/>
      <c r="AI209" s="191"/>
      <c r="AJ209" s="191"/>
      <c r="AK209" s="191"/>
      <c r="AO209" s="197"/>
      <c r="AP209" s="197"/>
      <c r="AQ209" s="197"/>
      <c r="AR209" s="197"/>
    </row>
    <row r="210" spans="1:49" ht="70.25" customHeight="1">
      <c r="D210" s="10"/>
      <c r="E210" s="89">
        <v>8</v>
      </c>
      <c r="F210" s="6"/>
      <c r="G210" s="755" t="str">
        <f t="shared" si="4"/>
        <v/>
      </c>
      <c r="H210" s="756"/>
      <c r="I210" s="756"/>
      <c r="J210" s="756"/>
      <c r="K210" s="756"/>
      <c r="L210" s="756"/>
      <c r="M210" s="757"/>
      <c r="N210" s="1"/>
      <c r="O210" s="1"/>
      <c r="P210" s="145"/>
      <c r="Q210" s="145"/>
      <c r="R210" s="23"/>
      <c r="S210" s="23"/>
      <c r="T210" s="23"/>
      <c r="U210" s="197"/>
      <c r="V210" s="197"/>
      <c r="W210" s="191">
        <f t="shared" si="3"/>
        <v>0</v>
      </c>
      <c r="AA210" s="191"/>
      <c r="AD210" s="199"/>
      <c r="AI210" s="191"/>
      <c r="AJ210" s="191"/>
      <c r="AK210" s="191"/>
      <c r="AO210" s="197"/>
      <c r="AP210" s="197"/>
      <c r="AQ210" s="197"/>
      <c r="AR210" s="197"/>
    </row>
    <row r="211" spans="1:49" ht="70.25" customHeight="1">
      <c r="D211" s="10"/>
      <c r="E211" s="89">
        <v>9</v>
      </c>
      <c r="F211" s="6"/>
      <c r="G211" s="755" t="str">
        <f t="shared" si="4"/>
        <v/>
      </c>
      <c r="H211" s="756"/>
      <c r="I211" s="756"/>
      <c r="J211" s="756"/>
      <c r="K211" s="756"/>
      <c r="L211" s="756"/>
      <c r="M211" s="757"/>
      <c r="N211" s="1"/>
      <c r="O211" s="1"/>
      <c r="P211" s="145"/>
      <c r="Q211" s="145"/>
      <c r="R211" s="23"/>
      <c r="S211" s="23"/>
      <c r="T211" s="23"/>
      <c r="U211" s="197"/>
      <c r="V211" s="197"/>
      <c r="W211" s="191">
        <f t="shared" si="3"/>
        <v>0</v>
      </c>
      <c r="AA211" s="191"/>
      <c r="AD211" s="199"/>
      <c r="AI211" s="191"/>
      <c r="AJ211" s="191"/>
      <c r="AK211" s="191"/>
      <c r="AO211" s="197"/>
      <c r="AP211" s="197"/>
      <c r="AQ211" s="197"/>
      <c r="AR211" s="197"/>
    </row>
    <row r="212" spans="1:49" ht="18" customHeight="1">
      <c r="D212" s="10"/>
      <c r="E212" s="10"/>
      <c r="F212" s="10"/>
      <c r="G212" s="10"/>
      <c r="H212" s="10"/>
      <c r="I212" s="10"/>
      <c r="J212" s="10"/>
      <c r="K212" s="10"/>
      <c r="L212" s="10"/>
      <c r="M212" s="10"/>
      <c r="N212" s="10"/>
      <c r="O212" s="10"/>
      <c r="P212" s="10"/>
      <c r="Q212" s="23"/>
      <c r="R212" s="23"/>
      <c r="S212" s="23"/>
      <c r="T212" s="23"/>
      <c r="U212" s="197"/>
      <c r="V212" s="197"/>
      <c r="AA212" s="191"/>
      <c r="AD212" s="199"/>
      <c r="AI212" s="191"/>
      <c r="AJ212" s="191"/>
      <c r="AK212" s="191"/>
      <c r="AO212" s="197"/>
    </row>
    <row r="213" spans="1:49" ht="18" customHeight="1">
      <c r="D213" s="698"/>
      <c r="E213" s="92" t="s">
        <v>4440</v>
      </c>
      <c r="F213" s="24"/>
      <c r="G213" s="24"/>
      <c r="H213" s="24"/>
      <c r="I213" s="10"/>
      <c r="J213" s="10"/>
      <c r="K213" s="10"/>
      <c r="L213" s="10"/>
      <c r="M213" s="10"/>
      <c r="N213" s="10"/>
      <c r="O213" s="10"/>
      <c r="P213" s="10"/>
      <c r="Q213" s="23"/>
      <c r="R213" s="23"/>
      <c r="S213" s="23"/>
      <c r="T213" s="23"/>
      <c r="U213" s="197"/>
      <c r="V213" s="197"/>
      <c r="AA213" s="191"/>
      <c r="AD213" s="199"/>
      <c r="AI213" s="191"/>
      <c r="AJ213" s="191"/>
      <c r="AK213" s="191"/>
      <c r="AO213" s="197"/>
    </row>
    <row r="214" spans="1:49" s="191" customFormat="1" ht="20" customHeight="1">
      <c r="A214" s="187"/>
      <c r="B214" s="187"/>
      <c r="C214" s="187"/>
      <c r="D214" s="24"/>
      <c r="E214" s="24"/>
      <c r="F214" s="83" t="s">
        <v>4280</v>
      </c>
      <c r="G214" s="24"/>
      <c r="H214" s="24"/>
      <c r="I214" s="24"/>
      <c r="J214" s="24"/>
      <c r="K214" s="24"/>
      <c r="L214" s="24"/>
      <c r="M214" s="24"/>
      <c r="N214" s="24"/>
      <c r="O214" s="24"/>
      <c r="P214" s="24"/>
      <c r="Q214" s="23"/>
      <c r="R214" s="23"/>
      <c r="S214" s="23"/>
      <c r="T214" s="23"/>
      <c r="U214" s="197"/>
      <c r="V214" s="197"/>
      <c r="AD214" s="199"/>
      <c r="AL214" s="197"/>
      <c r="AM214" s="197"/>
      <c r="AN214" s="197"/>
      <c r="AO214" s="197"/>
    </row>
    <row r="215" spans="1:49" s="191" customFormat="1" ht="20" customHeight="1">
      <c r="A215" s="187"/>
      <c r="B215" s="187"/>
      <c r="C215" s="187"/>
      <c r="D215" s="24"/>
      <c r="E215" s="24"/>
      <c r="F215" s="83" t="s">
        <v>4281</v>
      </c>
      <c r="G215" s="24"/>
      <c r="H215" s="24"/>
      <c r="I215" s="24"/>
      <c r="J215" s="24"/>
      <c r="K215" s="24"/>
      <c r="L215" s="24"/>
      <c r="M215" s="24"/>
      <c r="N215" s="24"/>
      <c r="O215" s="24"/>
      <c r="P215" s="24"/>
      <c r="Q215" s="23"/>
      <c r="R215" s="23"/>
      <c r="S215" s="23"/>
      <c r="T215" s="23"/>
      <c r="U215" s="197"/>
      <c r="V215" s="197"/>
      <c r="AD215" s="199"/>
      <c r="AL215" s="197"/>
      <c r="AM215" s="197"/>
      <c r="AN215" s="197"/>
      <c r="AO215" s="197"/>
    </row>
    <row r="216" spans="1:49" s="191" customFormat="1" ht="20" customHeight="1">
      <c r="A216" s="187"/>
      <c r="B216" s="187"/>
      <c r="C216" s="187"/>
      <c r="D216" s="24"/>
      <c r="E216" s="83"/>
      <c r="F216" s="83" t="str">
        <f>"実施状況："&amp;$AB$1&amp;"年度（基準年度）における実施状況をプルダウンから選択してください。"</f>
        <v>実施状況：0年度（基準年度）における実施状況をプルダウンから選択してください。</v>
      </c>
      <c r="G216" s="24"/>
      <c r="H216" s="24"/>
      <c r="I216" s="24"/>
      <c r="J216" s="24"/>
      <c r="K216" s="24"/>
      <c r="L216" s="24"/>
      <c r="M216" s="24"/>
      <c r="N216" s="24"/>
      <c r="O216" s="24"/>
      <c r="P216" s="24"/>
      <c r="Q216" s="23"/>
      <c r="R216" s="23"/>
      <c r="S216" s="23"/>
      <c r="T216" s="23"/>
      <c r="U216" s="197"/>
      <c r="V216" s="197"/>
      <c r="AD216" s="199"/>
      <c r="AL216" s="197"/>
      <c r="AM216" s="197"/>
      <c r="AN216" s="197"/>
      <c r="AO216" s="197"/>
    </row>
    <row r="217" spans="1:49" s="191" customFormat="1" ht="20" customHeight="1">
      <c r="A217" s="187"/>
      <c r="B217" s="187"/>
      <c r="C217" s="187"/>
      <c r="D217" s="24"/>
      <c r="E217" s="83"/>
      <c r="F217" s="83" t="s">
        <v>4279</v>
      </c>
      <c r="G217" s="23"/>
      <c r="H217" s="23"/>
      <c r="I217" s="24"/>
      <c r="J217" s="24"/>
      <c r="K217" s="24"/>
      <c r="L217" s="24"/>
      <c r="M217" s="24"/>
      <c r="N217" s="24"/>
      <c r="O217" s="24"/>
      <c r="P217" s="24"/>
      <c r="Q217" s="23"/>
      <c r="R217" s="23"/>
      <c r="S217" s="23"/>
      <c r="T217" s="23"/>
      <c r="V217" s="197"/>
      <c r="AD217" s="199"/>
      <c r="AL217" s="197"/>
      <c r="AM217" s="197"/>
      <c r="AN217" s="197"/>
      <c r="AO217" s="197"/>
    </row>
    <row r="218" spans="1:49" s="191" customFormat="1" ht="31.25" hidden="1" customHeight="1">
      <c r="A218" s="187"/>
      <c r="B218" s="187"/>
      <c r="C218" s="187"/>
      <c r="D218" s="24"/>
      <c r="E218" s="24"/>
      <c r="F218" s="24"/>
      <c r="G218" s="24"/>
      <c r="H218" s="24"/>
      <c r="I218" s="24"/>
      <c r="J218" s="24"/>
      <c r="K218" s="24"/>
      <c r="L218" s="24"/>
      <c r="M218" s="24"/>
      <c r="N218" s="24"/>
      <c r="O218" s="146"/>
      <c r="P218" s="24"/>
      <c r="Q218" s="24"/>
      <c r="R218" s="24"/>
      <c r="S218" s="24"/>
      <c r="T218" s="24"/>
      <c r="AD218" s="199"/>
    </row>
    <row r="219" spans="1:49" s="191" customFormat="1" ht="20" customHeight="1">
      <c r="A219" s="187"/>
      <c r="B219" s="187"/>
      <c r="C219" s="187"/>
      <c r="D219" s="24"/>
      <c r="E219" s="746" t="str">
        <f>"基準年度："&amp;$AB$1&amp;"年度"</f>
        <v>基準年度：0年度</v>
      </c>
      <c r="F219" s="747"/>
      <c r="G219" s="770" t="s">
        <v>4236</v>
      </c>
      <c r="H219" s="771"/>
      <c r="I219" s="758" t="str">
        <f>IF($AB$2-$AB$1&gt;=1,$AB$1+1&amp;"年度","-------")</f>
        <v>1年度</v>
      </c>
      <c r="J219" s="759"/>
      <c r="K219" s="770" t="s">
        <v>4237</v>
      </c>
      <c r="L219" s="771"/>
      <c r="M219" s="86" t="str">
        <f>IF($AB$2-$AB$1&gt;=2,$AB$1+2&amp;"年度","-------")</f>
        <v>2年度</v>
      </c>
      <c r="N219" s="87" t="s">
        <v>4238</v>
      </c>
      <c r="O219" s="88" t="str">
        <f>IF($AB$2-$AB$1&gt;=3,$AB$1+3&amp;"年度","-------")</f>
        <v>3年度</v>
      </c>
      <c r="P219" s="24"/>
      <c r="Q219" s="24"/>
      <c r="R219" s="24"/>
      <c r="S219" s="24"/>
      <c r="T219" s="24"/>
      <c r="AD219" s="199"/>
    </row>
    <row r="220" spans="1:49" s="191" customFormat="1" ht="25.25" customHeight="1">
      <c r="A220" s="187"/>
      <c r="B220" s="187"/>
      <c r="C220" s="187"/>
      <c r="D220" s="24"/>
      <c r="E220" s="248" t="s">
        <v>4245</v>
      </c>
      <c r="F220" s="24"/>
      <c r="G220" s="24"/>
      <c r="H220" s="24"/>
      <c r="I220" s="24"/>
      <c r="J220" s="24"/>
      <c r="K220" s="24"/>
      <c r="L220" s="24"/>
      <c r="M220" s="24"/>
      <c r="N220" s="24"/>
      <c r="O220" s="24"/>
      <c r="P220" s="803"/>
      <c r="Q220" s="803"/>
      <c r="R220" s="803"/>
      <c r="S220" s="803"/>
      <c r="T220" s="803"/>
      <c r="U220" s="197"/>
      <c r="V220" s="197"/>
      <c r="AD220" s="199"/>
      <c r="AL220" s="197"/>
      <c r="AM220" s="197"/>
      <c r="AN220" s="197"/>
    </row>
    <row r="221" spans="1:49" ht="18" customHeight="1">
      <c r="D221" s="10"/>
      <c r="E221" s="745" t="s">
        <v>77</v>
      </c>
      <c r="F221" s="762" t="s">
        <v>78</v>
      </c>
      <c r="G221" s="764" t="s">
        <v>4093</v>
      </c>
      <c r="H221" s="765"/>
      <c r="I221" s="765"/>
      <c r="J221" s="765"/>
      <c r="K221" s="765"/>
      <c r="L221" s="765"/>
      <c r="M221" s="766"/>
      <c r="N221" s="760" t="s">
        <v>4254</v>
      </c>
      <c r="O221" s="762" t="s">
        <v>80</v>
      </c>
      <c r="P221" s="145"/>
      <c r="Q221" s="145"/>
      <c r="R221" s="23"/>
      <c r="S221" s="23"/>
      <c r="T221" s="23"/>
      <c r="U221" s="197"/>
      <c r="V221" s="197"/>
      <c r="AA221" s="191"/>
      <c r="AD221" s="199"/>
      <c r="AI221" s="191"/>
      <c r="AJ221" s="191"/>
      <c r="AK221" s="191"/>
    </row>
    <row r="222" spans="1:49" ht="18" customHeight="1">
      <c r="D222" s="10"/>
      <c r="E222" s="745"/>
      <c r="F222" s="763"/>
      <c r="G222" s="767"/>
      <c r="H222" s="768"/>
      <c r="I222" s="768"/>
      <c r="J222" s="768"/>
      <c r="K222" s="768"/>
      <c r="L222" s="768"/>
      <c r="M222" s="769"/>
      <c r="N222" s="761"/>
      <c r="O222" s="763"/>
      <c r="P222" s="145"/>
      <c r="Q222" s="145"/>
      <c r="R222" s="23"/>
      <c r="S222" s="23"/>
      <c r="T222" s="23"/>
      <c r="U222" s="197"/>
      <c r="V222" s="197"/>
      <c r="AA222" s="191"/>
      <c r="AD222" s="199"/>
      <c r="AI222" s="191"/>
      <c r="AJ222" s="191"/>
      <c r="AK222" s="191"/>
      <c r="AW222" s="189"/>
    </row>
    <row r="223" spans="1:49" ht="90" customHeight="1">
      <c r="D223" s="10"/>
      <c r="E223" s="89">
        <v>1</v>
      </c>
      <c r="F223" s="5"/>
      <c r="G223" s="752"/>
      <c r="H223" s="753"/>
      <c r="I223" s="753"/>
      <c r="J223" s="753"/>
      <c r="K223" s="753"/>
      <c r="L223" s="753"/>
      <c r="M223" s="754"/>
      <c r="N223" s="2"/>
      <c r="O223" s="1"/>
      <c r="P223" s="275"/>
      <c r="Q223" s="275"/>
      <c r="R223" s="93"/>
      <c r="S223" s="23"/>
      <c r="T223" s="23"/>
      <c r="U223" s="197"/>
      <c r="V223" s="197"/>
      <c r="X223" s="191" t="str">
        <f>IFERROR(CHOOSE($W$220,COUNTIFS($O$223:$O$232,$W223),COUNTIFS($P$223:$P$232,$W223),COUNTIFS($Q$223:$Q$232,$W223)),"------")</f>
        <v>------</v>
      </c>
      <c r="AA223" s="191"/>
      <c r="AC223" s="191" t="str">
        <f>IF($W$220&gt;1,COUNTIF($P$223:$P$232,AC$222),"")</f>
        <v/>
      </c>
      <c r="AD223" s="199"/>
      <c r="AI223" s="191"/>
      <c r="AJ223" s="191"/>
      <c r="AK223" s="191"/>
    </row>
    <row r="224" spans="1:49" ht="90" customHeight="1">
      <c r="D224" s="10"/>
      <c r="E224" s="89">
        <v>2</v>
      </c>
      <c r="F224" s="5"/>
      <c r="G224" s="752"/>
      <c r="H224" s="753"/>
      <c r="I224" s="753"/>
      <c r="J224" s="753"/>
      <c r="K224" s="753"/>
      <c r="L224" s="753"/>
      <c r="M224" s="754"/>
      <c r="N224" s="2"/>
      <c r="O224" s="1"/>
      <c r="P224" s="275"/>
      <c r="Q224" s="275"/>
      <c r="R224" s="93"/>
      <c r="S224" s="23"/>
      <c r="T224" s="23"/>
      <c r="U224" s="197"/>
      <c r="V224" s="197"/>
      <c r="X224" s="191" t="e">
        <f>IF(#REF!*#REF!&gt;#REF!,#REF!,#REF!*#REF!)</f>
        <v>#REF!</v>
      </c>
      <c r="AA224" s="191"/>
      <c r="AD224" s="199"/>
      <c r="AI224" s="191"/>
      <c r="AJ224" s="191"/>
      <c r="AK224" s="191"/>
    </row>
    <row r="225" spans="1:40" ht="90" customHeight="1">
      <c r="D225" s="10"/>
      <c r="E225" s="89">
        <v>3</v>
      </c>
      <c r="F225" s="5"/>
      <c r="G225" s="752"/>
      <c r="H225" s="753"/>
      <c r="I225" s="753"/>
      <c r="J225" s="753"/>
      <c r="K225" s="753"/>
      <c r="L225" s="753"/>
      <c r="M225" s="754"/>
      <c r="N225" s="2"/>
      <c r="O225" s="1"/>
      <c r="P225" s="275"/>
      <c r="Q225" s="275"/>
      <c r="R225" s="93"/>
      <c r="S225" s="23"/>
      <c r="T225" s="23"/>
      <c r="U225" s="197"/>
      <c r="V225" s="197"/>
      <c r="AA225" s="191"/>
      <c r="AD225" s="199"/>
      <c r="AI225" s="191"/>
      <c r="AJ225" s="191"/>
      <c r="AK225" s="191"/>
    </row>
    <row r="226" spans="1:40" ht="90" customHeight="1">
      <c r="D226" s="10"/>
      <c r="E226" s="89">
        <v>4</v>
      </c>
      <c r="F226" s="5"/>
      <c r="G226" s="752"/>
      <c r="H226" s="753"/>
      <c r="I226" s="753"/>
      <c r="J226" s="753"/>
      <c r="K226" s="753"/>
      <c r="L226" s="753"/>
      <c r="M226" s="754"/>
      <c r="N226" s="2"/>
      <c r="O226" s="1"/>
      <c r="P226" s="275"/>
      <c r="Q226" s="275"/>
      <c r="R226" s="93"/>
      <c r="S226" s="23"/>
      <c r="T226" s="23"/>
      <c r="U226" s="197"/>
      <c r="V226" s="197"/>
      <c r="AA226" s="191"/>
      <c r="AD226" s="199"/>
      <c r="AI226" s="191"/>
      <c r="AJ226" s="191"/>
      <c r="AK226" s="191"/>
    </row>
    <row r="227" spans="1:40" ht="90" customHeight="1">
      <c r="D227" s="10"/>
      <c r="E227" s="89">
        <v>5</v>
      </c>
      <c r="F227" s="5"/>
      <c r="G227" s="752"/>
      <c r="H227" s="753"/>
      <c r="I227" s="753"/>
      <c r="J227" s="753"/>
      <c r="K227" s="753"/>
      <c r="L227" s="753"/>
      <c r="M227" s="754"/>
      <c r="N227" s="2"/>
      <c r="O227" s="1"/>
      <c r="P227" s="275"/>
      <c r="Q227" s="275"/>
      <c r="R227" s="93"/>
      <c r="S227" s="23"/>
      <c r="T227" s="23"/>
      <c r="U227" s="197"/>
      <c r="V227" s="197"/>
      <c r="AA227" s="191"/>
      <c r="AD227" s="199"/>
      <c r="AI227" s="191"/>
      <c r="AJ227" s="191"/>
      <c r="AK227" s="191"/>
    </row>
    <row r="228" spans="1:40" ht="90" customHeight="1">
      <c r="D228" s="10"/>
      <c r="E228" s="89">
        <v>6</v>
      </c>
      <c r="F228" s="241"/>
      <c r="G228" s="752"/>
      <c r="H228" s="753"/>
      <c r="I228" s="753"/>
      <c r="J228" s="753"/>
      <c r="K228" s="753"/>
      <c r="L228" s="753"/>
      <c r="M228" s="754"/>
      <c r="N228" s="242"/>
      <c r="O228" s="243"/>
      <c r="P228" s="275"/>
      <c r="Q228" s="275"/>
      <c r="R228" s="93"/>
      <c r="S228" s="23"/>
      <c r="T228" s="23"/>
      <c r="U228" s="197"/>
      <c r="V228" s="197"/>
      <c r="AA228" s="191"/>
      <c r="AD228" s="199"/>
      <c r="AI228" s="191"/>
      <c r="AJ228" s="191"/>
      <c r="AK228" s="191"/>
    </row>
    <row r="229" spans="1:40" ht="90" customHeight="1">
      <c r="D229" s="10"/>
      <c r="E229" s="89">
        <v>7</v>
      </c>
      <c r="F229" s="241"/>
      <c r="G229" s="752"/>
      <c r="H229" s="753"/>
      <c r="I229" s="753"/>
      <c r="J229" s="753"/>
      <c r="K229" s="753"/>
      <c r="L229" s="753"/>
      <c r="M229" s="754"/>
      <c r="N229" s="242"/>
      <c r="O229" s="243"/>
      <c r="P229" s="275"/>
      <c r="Q229" s="275"/>
      <c r="R229" s="93"/>
      <c r="S229" s="23"/>
      <c r="T229" s="23"/>
      <c r="U229" s="197"/>
      <c r="V229" s="197"/>
      <c r="AA229" s="191"/>
      <c r="AD229" s="199"/>
      <c r="AI229" s="191"/>
      <c r="AJ229" s="191"/>
      <c r="AK229" s="191"/>
    </row>
    <row r="230" spans="1:40" ht="90" customHeight="1">
      <c r="D230" s="10"/>
      <c r="E230" s="89">
        <v>8</v>
      </c>
      <c r="F230" s="241"/>
      <c r="G230" s="752"/>
      <c r="H230" s="753"/>
      <c r="I230" s="753"/>
      <c r="J230" s="753"/>
      <c r="K230" s="753"/>
      <c r="L230" s="753"/>
      <c r="M230" s="754"/>
      <c r="N230" s="242"/>
      <c r="O230" s="243"/>
      <c r="P230" s="275"/>
      <c r="Q230" s="275"/>
      <c r="R230" s="93"/>
      <c r="S230" s="23"/>
      <c r="T230" s="23"/>
      <c r="U230" s="197"/>
      <c r="V230" s="197"/>
      <c r="AA230" s="191"/>
      <c r="AD230" s="199"/>
      <c r="AI230" s="191"/>
      <c r="AJ230" s="191"/>
      <c r="AK230" s="191"/>
    </row>
    <row r="231" spans="1:40" ht="90" customHeight="1">
      <c r="D231" s="10"/>
      <c r="E231" s="89">
        <v>9</v>
      </c>
      <c r="F231" s="241"/>
      <c r="G231" s="752"/>
      <c r="H231" s="753"/>
      <c r="I231" s="753"/>
      <c r="J231" s="753"/>
      <c r="K231" s="753"/>
      <c r="L231" s="753"/>
      <c r="M231" s="754"/>
      <c r="N231" s="242"/>
      <c r="O231" s="243"/>
      <c r="P231" s="275"/>
      <c r="Q231" s="275"/>
      <c r="R231" s="93"/>
      <c r="S231" s="23"/>
      <c r="T231" s="23"/>
      <c r="U231" s="197"/>
      <c r="V231" s="197"/>
      <c r="AA231" s="191"/>
      <c r="AD231" s="199"/>
      <c r="AI231" s="191"/>
      <c r="AJ231" s="191"/>
      <c r="AK231" s="191"/>
    </row>
    <row r="232" spans="1:40" ht="90" customHeight="1">
      <c r="D232" s="10"/>
      <c r="E232" s="89">
        <v>10</v>
      </c>
      <c r="F232" s="5"/>
      <c r="G232" s="752"/>
      <c r="H232" s="753"/>
      <c r="I232" s="753"/>
      <c r="J232" s="753"/>
      <c r="K232" s="753"/>
      <c r="L232" s="753"/>
      <c r="M232" s="754"/>
      <c r="N232" s="2"/>
      <c r="O232" s="1"/>
      <c r="P232" s="275"/>
      <c r="Q232" s="275"/>
      <c r="R232" s="93"/>
      <c r="S232" s="23"/>
      <c r="T232" s="23"/>
      <c r="U232" s="197"/>
      <c r="V232" s="197"/>
      <c r="AA232" s="191"/>
      <c r="AD232" s="199"/>
      <c r="AI232" s="191"/>
      <c r="AJ232" s="191"/>
      <c r="AK232" s="191"/>
    </row>
    <row r="233" spans="1:40" ht="18" customHeight="1">
      <c r="D233" s="10"/>
      <c r="E233" s="10"/>
      <c r="F233" s="10"/>
      <c r="G233" s="10"/>
      <c r="H233" s="10"/>
      <c r="I233" s="10"/>
      <c r="J233" s="10"/>
      <c r="K233" s="10"/>
      <c r="L233" s="10"/>
      <c r="M233" s="10"/>
      <c r="N233" s="10"/>
      <c r="O233" s="10"/>
      <c r="P233" s="10"/>
      <c r="Q233" s="10"/>
      <c r="R233" s="23"/>
      <c r="S233" s="23"/>
      <c r="T233" s="24"/>
    </row>
    <row r="234" spans="1:40" ht="18" customHeight="1">
      <c r="D234" s="10"/>
      <c r="E234" s="10"/>
      <c r="F234" s="10"/>
      <c r="G234" s="10"/>
      <c r="H234" s="10"/>
      <c r="I234" s="10"/>
      <c r="J234" s="10"/>
      <c r="K234" s="10"/>
      <c r="L234" s="10"/>
      <c r="M234" s="10"/>
      <c r="N234" s="10"/>
      <c r="O234" s="10"/>
      <c r="P234" s="10"/>
      <c r="Q234" s="10"/>
      <c r="R234" s="23"/>
      <c r="S234" s="23"/>
      <c r="T234" s="24"/>
    </row>
    <row r="235" spans="1:40" ht="18" customHeight="1">
      <c r="D235" s="34" t="s">
        <v>4438</v>
      </c>
      <c r="E235" s="10"/>
      <c r="F235" s="10"/>
      <c r="G235" s="10"/>
      <c r="H235" s="10"/>
      <c r="I235" s="10"/>
      <c r="J235" s="10"/>
      <c r="K235" s="10"/>
      <c r="L235" s="10"/>
      <c r="M235" s="10"/>
      <c r="N235" s="10"/>
      <c r="O235" s="10"/>
      <c r="P235" s="10"/>
      <c r="Q235" s="10"/>
      <c r="R235" s="23"/>
      <c r="S235" s="23"/>
      <c r="T235" s="24"/>
    </row>
    <row r="236" spans="1:40" ht="18" customHeight="1">
      <c r="C236" s="187"/>
      <c r="D236" s="14"/>
      <c r="E236" s="16" t="s">
        <v>4441</v>
      </c>
      <c r="F236" s="14"/>
      <c r="G236" s="14"/>
      <c r="H236" s="14"/>
      <c r="I236" s="14"/>
      <c r="J236" s="14"/>
      <c r="K236" s="14"/>
      <c r="L236" s="14"/>
      <c r="M236" s="14"/>
      <c r="N236" s="14"/>
      <c r="O236" s="14"/>
      <c r="P236" s="77"/>
      <c r="Q236" s="77"/>
      <c r="R236" s="28"/>
      <c r="S236" s="28"/>
      <c r="T236" s="14"/>
    </row>
    <row r="237" spans="1:40" s="191" customFormat="1" ht="56.4" customHeight="1">
      <c r="A237" s="187"/>
      <c r="B237" s="187"/>
      <c r="C237" s="187"/>
      <c r="D237" s="14"/>
      <c r="E237" s="751" t="s">
        <v>4551</v>
      </c>
      <c r="F237" s="751"/>
      <c r="G237" s="751"/>
      <c r="H237" s="751"/>
      <c r="I237" s="751"/>
      <c r="J237" s="751"/>
      <c r="K237" s="751"/>
      <c r="L237" s="751"/>
      <c r="M237" s="751"/>
      <c r="N237" s="751"/>
      <c r="O237" s="751"/>
      <c r="P237" s="751"/>
      <c r="Q237" s="751"/>
      <c r="R237" s="28"/>
      <c r="S237" s="28"/>
      <c r="T237" s="14"/>
      <c r="AA237" s="199"/>
      <c r="AI237" s="197"/>
      <c r="AJ237" s="197"/>
      <c r="AK237" s="197"/>
      <c r="AL237" s="197"/>
      <c r="AM237" s="197"/>
      <c r="AN237" s="197"/>
    </row>
    <row r="238" spans="1:40" ht="400" customHeight="1">
      <c r="D238" s="77"/>
      <c r="E238" s="752"/>
      <c r="F238" s="753"/>
      <c r="G238" s="753"/>
      <c r="H238" s="753"/>
      <c r="I238" s="753"/>
      <c r="J238" s="753"/>
      <c r="K238" s="753"/>
      <c r="L238" s="753"/>
      <c r="M238" s="753"/>
      <c r="N238" s="753"/>
      <c r="O238" s="753"/>
      <c r="P238" s="753"/>
      <c r="Q238" s="754"/>
      <c r="R238" s="77"/>
      <c r="S238" s="77"/>
      <c r="T238" s="77"/>
      <c r="U238" s="195"/>
      <c r="V238" s="195"/>
      <c r="W238" s="195"/>
      <c r="X238" s="195"/>
      <c r="Y238" s="195"/>
      <c r="Z238" s="195"/>
      <c r="AA238" s="196"/>
      <c r="AB238" s="195"/>
      <c r="AC238" s="195"/>
      <c r="AD238" s="195"/>
      <c r="AE238" s="195"/>
      <c r="AF238" s="195"/>
      <c r="AG238" s="195"/>
      <c r="AH238" s="195"/>
      <c r="AI238" s="195"/>
      <c r="AJ238" s="195"/>
      <c r="AK238" s="195"/>
      <c r="AL238" s="195"/>
      <c r="AM238" s="195"/>
      <c r="AN238" s="195"/>
    </row>
    <row r="239" spans="1:40">
      <c r="D239" s="77"/>
      <c r="E239" s="77"/>
      <c r="F239" s="77"/>
      <c r="G239" s="77"/>
      <c r="H239" s="77"/>
      <c r="I239" s="77"/>
      <c r="J239" s="77"/>
      <c r="K239" s="77"/>
      <c r="L239" s="77"/>
      <c r="M239" s="77"/>
      <c r="N239" s="77"/>
      <c r="O239" s="77"/>
      <c r="P239" s="77"/>
      <c r="Q239" s="77"/>
      <c r="R239" s="28"/>
      <c r="S239" s="28"/>
      <c r="T239" s="14"/>
    </row>
    <row r="240" spans="1:40">
      <c r="D240" s="77"/>
      <c r="E240" s="77"/>
      <c r="F240" s="77"/>
      <c r="G240" s="77"/>
      <c r="H240" s="77"/>
      <c r="I240" s="77"/>
      <c r="J240" s="77"/>
      <c r="K240" s="77"/>
      <c r="L240" s="77"/>
      <c r="M240" s="77"/>
      <c r="N240" s="77"/>
      <c r="O240" s="77"/>
      <c r="P240" s="77"/>
      <c r="Q240" s="77"/>
      <c r="R240" s="28"/>
      <c r="S240" s="28"/>
      <c r="T240" s="14"/>
    </row>
  </sheetData>
  <sheetProtection algorithmName="SHA-512" hashValue="CYOtOPAsmZU2zLa5fSa9YHlAZ4yG/iCrxi0ksR2d3pF/m4K6RFx6mH7g1mJLHlFjq9n+FYDSY475TWmJmG7lrg==" saltValue="9slyASVFkU9Oueg8/EJjTA==" spinCount="100000" sheet="1" objects="1" scenarios="1" selectLockedCells="1"/>
  <mergeCells count="188">
    <mergeCell ref="G57:H57"/>
    <mergeCell ref="G58:H58"/>
    <mergeCell ref="G59:H59"/>
    <mergeCell ref="I44:J44"/>
    <mergeCell ref="I45:J45"/>
    <mergeCell ref="I46:J46"/>
    <mergeCell ref="I47:J47"/>
    <mergeCell ref="G44:H44"/>
    <mergeCell ref="G45:H45"/>
    <mergeCell ref="G46:H46"/>
    <mergeCell ref="G47:H47"/>
    <mergeCell ref="G170:M170"/>
    <mergeCell ref="G169:M169"/>
    <mergeCell ref="G173:M173"/>
    <mergeCell ref="G166:M166"/>
    <mergeCell ref="P41:Q41"/>
    <mergeCell ref="G73:J73"/>
    <mergeCell ref="G72:J72"/>
    <mergeCell ref="G71:J71"/>
    <mergeCell ref="G68:J68"/>
    <mergeCell ref="N69:O69"/>
    <mergeCell ref="I48:J48"/>
    <mergeCell ref="N68:O68"/>
    <mergeCell ref="N70:O70"/>
    <mergeCell ref="G69:J69"/>
    <mergeCell ref="I58:J58"/>
    <mergeCell ref="F41:M41"/>
    <mergeCell ref="I59:J59"/>
    <mergeCell ref="G119:H120"/>
    <mergeCell ref="G116:H118"/>
    <mergeCell ref="G113:H115"/>
    <mergeCell ref="E111:F112"/>
    <mergeCell ref="G111:H112"/>
    <mergeCell ref="I111:M112"/>
    <mergeCell ref="E134:F136"/>
    <mergeCell ref="O201:O202"/>
    <mergeCell ref="N201:N202"/>
    <mergeCell ref="G176:M176"/>
    <mergeCell ref="G177:M177"/>
    <mergeCell ref="G178:M178"/>
    <mergeCell ref="G179:M179"/>
    <mergeCell ref="G180:M180"/>
    <mergeCell ref="G181:M181"/>
    <mergeCell ref="G207:M207"/>
    <mergeCell ref="G206:M206"/>
    <mergeCell ref="G205:M205"/>
    <mergeCell ref="G204:M204"/>
    <mergeCell ref="G203:M203"/>
    <mergeCell ref="E16:L17"/>
    <mergeCell ref="N71:O71"/>
    <mergeCell ref="N72:O72"/>
    <mergeCell ref="N73:O73"/>
    <mergeCell ref="K68:M68"/>
    <mergeCell ref="G70:J70"/>
    <mergeCell ref="K70:M70"/>
    <mergeCell ref="K73:M73"/>
    <mergeCell ref="I55:J55"/>
    <mergeCell ref="I56:J56"/>
    <mergeCell ref="I57:J57"/>
    <mergeCell ref="G26:L26"/>
    <mergeCell ref="E18:L18"/>
    <mergeCell ref="E19:L19"/>
    <mergeCell ref="E20:L20"/>
    <mergeCell ref="E21:L21"/>
    <mergeCell ref="E22:L22"/>
    <mergeCell ref="E23:L23"/>
    <mergeCell ref="E24:L24"/>
    <mergeCell ref="E25:L25"/>
    <mergeCell ref="E26:F26"/>
    <mergeCell ref="G48:H48"/>
    <mergeCell ref="G55:H55"/>
    <mergeCell ref="G56:H56"/>
    <mergeCell ref="K69:M69"/>
    <mergeCell ref="G91:I91"/>
    <mergeCell ref="E91:F91"/>
    <mergeCell ref="E89:F89"/>
    <mergeCell ref="K71:M71"/>
    <mergeCell ref="E88:F88"/>
    <mergeCell ref="E82:K82"/>
    <mergeCell ref="K72:M72"/>
    <mergeCell ref="G84:I84"/>
    <mergeCell ref="E85:F85"/>
    <mergeCell ref="G90:I90"/>
    <mergeCell ref="G89:I89"/>
    <mergeCell ref="G88:I88"/>
    <mergeCell ref="G87:I87"/>
    <mergeCell ref="G86:I86"/>
    <mergeCell ref="E90:F90"/>
    <mergeCell ref="E87:F87"/>
    <mergeCell ref="E86:F86"/>
    <mergeCell ref="E137:F139"/>
    <mergeCell ref="N111:N112"/>
    <mergeCell ref="E119:F120"/>
    <mergeCell ref="E116:F118"/>
    <mergeCell ref="E113:F115"/>
    <mergeCell ref="E130:F131"/>
    <mergeCell ref="G151:R151"/>
    <mergeCell ref="G74:J74"/>
    <mergeCell ref="E84:F84"/>
    <mergeCell ref="G98:I98"/>
    <mergeCell ref="G97:I97"/>
    <mergeCell ref="G96:I96"/>
    <mergeCell ref="I131:P131"/>
    <mergeCell ref="I136:P136"/>
    <mergeCell ref="E121:F121"/>
    <mergeCell ref="G121:H121"/>
    <mergeCell ref="N162:N163"/>
    <mergeCell ref="G134:H136"/>
    <mergeCell ref="I140:L141"/>
    <mergeCell ref="I137:L138"/>
    <mergeCell ref="I134:L135"/>
    <mergeCell ref="I130:L130"/>
    <mergeCell ref="G130:H131"/>
    <mergeCell ref="G137:H139"/>
    <mergeCell ref="G140:H142"/>
    <mergeCell ref="I139:P139"/>
    <mergeCell ref="N3:T3"/>
    <mergeCell ref="G160:H160"/>
    <mergeCell ref="K160:L160"/>
    <mergeCell ref="G199:H199"/>
    <mergeCell ref="K199:L199"/>
    <mergeCell ref="I199:J199"/>
    <mergeCell ref="G175:M175"/>
    <mergeCell ref="G165:M165"/>
    <mergeCell ref="G164:M164"/>
    <mergeCell ref="G168:M168"/>
    <mergeCell ref="G167:M167"/>
    <mergeCell ref="G174:M174"/>
    <mergeCell ref="O94:R94"/>
    <mergeCell ref="K74:M74"/>
    <mergeCell ref="N74:O74"/>
    <mergeCell ref="G85:I85"/>
    <mergeCell ref="R16:R17"/>
    <mergeCell ref="P16:P17"/>
    <mergeCell ref="Q16:Q17"/>
    <mergeCell ref="M16:M17"/>
    <mergeCell ref="O16:O17"/>
    <mergeCell ref="N16:N17"/>
    <mergeCell ref="I142:P142"/>
    <mergeCell ref="G150:R150"/>
    <mergeCell ref="E238:Q238"/>
    <mergeCell ref="E140:F142"/>
    <mergeCell ref="G149:R149"/>
    <mergeCell ref="I143:L144"/>
    <mergeCell ref="F162:F163"/>
    <mergeCell ref="G210:M210"/>
    <mergeCell ref="E149:F149"/>
    <mergeCell ref="E201:E202"/>
    <mergeCell ref="E199:F199"/>
    <mergeCell ref="G172:M172"/>
    <mergeCell ref="G143:H145"/>
    <mergeCell ref="G171:M171"/>
    <mergeCell ref="F201:F202"/>
    <mergeCell ref="G201:M202"/>
    <mergeCell ref="G152:R152"/>
    <mergeCell ref="G162:M163"/>
    <mergeCell ref="E150:F150"/>
    <mergeCell ref="G229:M229"/>
    <mergeCell ref="G230:M230"/>
    <mergeCell ref="G231:M231"/>
    <mergeCell ref="O221:O222"/>
    <mergeCell ref="K219:L219"/>
    <mergeCell ref="P220:T220"/>
    <mergeCell ref="E151:F151"/>
    <mergeCell ref="E162:E163"/>
    <mergeCell ref="E160:F160"/>
    <mergeCell ref="I145:P145"/>
    <mergeCell ref="E237:Q237"/>
    <mergeCell ref="G232:M232"/>
    <mergeCell ref="G209:M209"/>
    <mergeCell ref="G227:M227"/>
    <mergeCell ref="G211:M211"/>
    <mergeCell ref="G223:M223"/>
    <mergeCell ref="I219:J219"/>
    <mergeCell ref="G228:M228"/>
    <mergeCell ref="N221:N222"/>
    <mergeCell ref="F221:F222"/>
    <mergeCell ref="E221:E222"/>
    <mergeCell ref="E219:F219"/>
    <mergeCell ref="G221:M222"/>
    <mergeCell ref="G219:H219"/>
    <mergeCell ref="G224:M224"/>
    <mergeCell ref="G226:M226"/>
    <mergeCell ref="G225:M225"/>
    <mergeCell ref="E152:F152"/>
    <mergeCell ref="E143:F145"/>
    <mergeCell ref="G208:M208"/>
    <mergeCell ref="O162:O163"/>
  </mergeCells>
  <phoneticPr fontId="1"/>
  <conditionalFormatting sqref="E66">
    <cfRule type="expression" dxfId="287" priority="163">
      <formula>$C$64=2</formula>
    </cfRule>
  </conditionalFormatting>
  <conditionalFormatting sqref="E82">
    <cfRule type="expression" dxfId="286" priority="165">
      <formula>$C82=1</formula>
    </cfRule>
  </conditionalFormatting>
  <conditionalFormatting sqref="E15:F15">
    <cfRule type="expression" dxfId="285" priority="767">
      <formula>$C14=1</formula>
    </cfRule>
  </conditionalFormatting>
  <conditionalFormatting sqref="E203:G211 N203:O211">
    <cfRule type="expression" dxfId="284" priority="776">
      <formula>$W203&gt;1</formula>
    </cfRule>
  </conditionalFormatting>
  <conditionalFormatting sqref="E84:I91">
    <cfRule type="expression" dxfId="283" priority="44">
      <formula>$C$79=2</formula>
    </cfRule>
  </conditionalFormatting>
  <conditionalFormatting sqref="E67:J74">
    <cfRule type="expression" dxfId="282" priority="331">
      <formula>$C$64=2</formula>
    </cfRule>
  </conditionalFormatting>
  <conditionalFormatting sqref="E35:O36 E50:O53">
    <cfRule type="expression" dxfId="281" priority="39">
      <formula>$C$32=2</formula>
    </cfRule>
  </conditionalFormatting>
  <conditionalFormatting sqref="E16:R16 E17:M17 R17 E18:R26">
    <cfRule type="expression" dxfId="280" priority="3">
      <formula>$C$12=2</formula>
    </cfRule>
  </conditionalFormatting>
  <conditionalFormatting sqref="E14:T15 S16:S26">
    <cfRule type="expression" dxfId="279" priority="289">
      <formula>$C$12=2</formula>
    </cfRule>
  </conditionalFormatting>
  <conditionalFormatting sqref="E81:T81 N82:T82 E82:E83">
    <cfRule type="expression" dxfId="278" priority="292">
      <formula>$C$79=2</formula>
    </cfRule>
  </conditionalFormatting>
  <conditionalFormatting sqref="F12:F13 F32:F33">
    <cfRule type="expression" dxfId="277" priority="127">
      <formula>$C12=1</formula>
    </cfRule>
  </conditionalFormatting>
  <conditionalFormatting sqref="F14 F53">
    <cfRule type="expression" dxfId="276" priority="761">
      <formula>#REF!=1</formula>
    </cfRule>
  </conditionalFormatting>
  <conditionalFormatting sqref="F36:F37 F51:F52 F64:F66 F79:F81">
    <cfRule type="expression" dxfId="275" priority="356">
      <formula>$C36=1</formula>
    </cfRule>
  </conditionalFormatting>
  <conditionalFormatting sqref="F40">
    <cfRule type="expression" dxfId="274" priority="257">
      <formula>$C$36=2</formula>
    </cfRule>
  </conditionalFormatting>
  <conditionalFormatting sqref="F44:G48">
    <cfRule type="expression" dxfId="273" priority="28">
      <formula>F44&lt;&gt;""</formula>
    </cfRule>
  </conditionalFormatting>
  <conditionalFormatting sqref="F43:H43">
    <cfRule type="expression" dxfId="272" priority="14">
      <formula>$C$36=2</formula>
    </cfRule>
  </conditionalFormatting>
  <conditionalFormatting sqref="F43:H48">
    <cfRule type="expression" dxfId="271" priority="15">
      <formula>$C$36=2</formula>
    </cfRule>
  </conditionalFormatting>
  <conditionalFormatting sqref="F44:H48">
    <cfRule type="expression" dxfId="270" priority="29">
      <formula>$C$36=2</formula>
    </cfRule>
  </conditionalFormatting>
  <conditionalFormatting sqref="F43:J48">
    <cfRule type="expression" dxfId="269" priority="13">
      <formula>$C$32=2</formula>
    </cfRule>
  </conditionalFormatting>
  <conditionalFormatting sqref="F54:J59">
    <cfRule type="expression" dxfId="268" priority="6">
      <formula>$C$32=2</formula>
    </cfRule>
    <cfRule type="expression" dxfId="267" priority="7">
      <formula>$C$51=2</formula>
    </cfRule>
  </conditionalFormatting>
  <conditionalFormatting sqref="F55:J59">
    <cfRule type="expression" dxfId="266" priority="5">
      <formula>F55&lt;&gt;""</formula>
    </cfRule>
  </conditionalFormatting>
  <conditionalFormatting sqref="F223:O232">
    <cfRule type="expression" dxfId="265" priority="10">
      <formula>F223&lt;&gt;""</formula>
    </cfRule>
  </conditionalFormatting>
  <conditionalFormatting sqref="F38:S42">
    <cfRule type="expression" dxfId="264" priority="41">
      <formula>$C$32=2</formula>
    </cfRule>
  </conditionalFormatting>
  <conditionalFormatting sqref="F38:T39 G40:T40 F41 N41:P41 R41:T41 F42:T42 F49:T49">
    <cfRule type="expression" dxfId="263" priority="323">
      <formula>$C$36=2</formula>
    </cfRule>
  </conditionalFormatting>
  <conditionalFormatting sqref="F53:T53 M54:T59 N60:T60">
    <cfRule type="expression" dxfId="262" priority="322">
      <formula>$C$51=2</formula>
    </cfRule>
  </conditionalFormatting>
  <conditionalFormatting sqref="G3 I3">
    <cfRule type="expression" dxfId="261" priority="311">
      <formula>G3&lt;&gt;""</formula>
    </cfRule>
  </conditionalFormatting>
  <conditionalFormatting sqref="G6">
    <cfRule type="expression" dxfId="260" priority="817">
      <formula>DAY(EOMONTH(DATE(G3,I3,K3),0))&lt;&gt;U3</formula>
    </cfRule>
  </conditionalFormatting>
  <conditionalFormatting sqref="G12:G15 G32:G33 G36:G37 G51:G53 G64:G66 G79:G81">
    <cfRule type="expression" dxfId="259" priority="355">
      <formula>$C12=2</formula>
    </cfRule>
  </conditionalFormatting>
  <conditionalFormatting sqref="G36:G40 G42">
    <cfRule type="expression" dxfId="258" priority="358">
      <formula>$E$36=2</formula>
    </cfRule>
  </conditionalFormatting>
  <conditionalFormatting sqref="G84:G90 E84:E91 G91:I91">
    <cfRule type="expression" dxfId="257" priority="125">
      <formula>E84&lt;&gt;""</formula>
    </cfRule>
  </conditionalFormatting>
  <conditionalFormatting sqref="G113:H120">
    <cfRule type="expression" dxfId="256" priority="77">
      <formula>G113&lt;&gt;""</formula>
    </cfRule>
  </conditionalFormatting>
  <conditionalFormatting sqref="G96:I98">
    <cfRule type="expression" dxfId="255" priority="112">
      <formula>G96&lt;&gt;""</formula>
    </cfRule>
  </conditionalFormatting>
  <conditionalFormatting sqref="G98:I98">
    <cfRule type="expression" dxfId="254" priority="2">
      <formula>MOD($G$98,1)&lt;&gt;0</formula>
    </cfRule>
  </conditionalFormatting>
  <conditionalFormatting sqref="G67:J67 G68:G74">
    <cfRule type="expression" dxfId="253" priority="1249">
      <formula>$B$67=0</formula>
    </cfRule>
  </conditionalFormatting>
  <conditionalFormatting sqref="G68:J74">
    <cfRule type="expression" dxfId="252" priority="1251">
      <formula>$B$67=0</formula>
    </cfRule>
  </conditionalFormatting>
  <conditionalFormatting sqref="G68:O74">
    <cfRule type="expression" dxfId="251" priority="45">
      <formula>G68&lt;&gt;""</formula>
    </cfRule>
  </conditionalFormatting>
  <conditionalFormatting sqref="G26:R26 E238">
    <cfRule type="expression" dxfId="250" priority="38">
      <formula>E26&lt;&gt;""</formula>
    </cfRule>
  </conditionalFormatting>
  <conditionalFormatting sqref="G149:R149">
    <cfRule type="expression" dxfId="249" priority="1">
      <formula>$G$149&lt;&gt;""</formula>
    </cfRule>
  </conditionalFormatting>
  <conditionalFormatting sqref="I43:J48">
    <cfRule type="expression" dxfId="248" priority="17">
      <formula>$C$36=2</formula>
    </cfRule>
  </conditionalFormatting>
  <conditionalFormatting sqref="I44:J48 N134:N135 Q134:Q138 N137:N138 N140:N141 Q140:Q141 N143:N144 Q143:Q144">
    <cfRule type="expression" dxfId="247" priority="338">
      <formula>I44&lt;&gt;""</formula>
    </cfRule>
  </conditionalFormatting>
  <conditionalFormatting sqref="I113:N115">
    <cfRule type="expression" dxfId="246" priority="8">
      <formula>$G$113=""</formula>
    </cfRule>
  </conditionalFormatting>
  <conditionalFormatting sqref="I116:N118">
    <cfRule type="expression" dxfId="245" priority="80">
      <formula>$G$116=""</formula>
    </cfRule>
  </conditionalFormatting>
  <conditionalFormatting sqref="I119:N120">
    <cfRule type="expression" dxfId="244" priority="79">
      <formula>$G$119=""</formula>
    </cfRule>
  </conditionalFormatting>
  <conditionalFormatting sqref="J67">
    <cfRule type="expression" dxfId="243" priority="1252">
      <formula>AND($C$64=2,$B$67=0)=TRUE</formula>
    </cfRule>
  </conditionalFormatting>
  <conditionalFormatting sqref="K3">
    <cfRule type="expression" dxfId="242" priority="258">
      <formula>K3&lt;&gt;""</formula>
    </cfRule>
  </conditionalFormatting>
  <conditionalFormatting sqref="K7">
    <cfRule type="expression" dxfId="241" priority="1265">
      <formula>$H$7&lt;&gt;""</formula>
    </cfRule>
  </conditionalFormatting>
  <conditionalFormatting sqref="K67 K68:M74">
    <cfRule type="expression" dxfId="240" priority="1258">
      <formula>$B$67=0</formula>
    </cfRule>
  </conditionalFormatting>
  <conditionalFormatting sqref="K67 N67 P67:P74 K68:O74">
    <cfRule type="expression" dxfId="239" priority="1253">
      <formula>AND($C$64=2,$B$67=0)=TRUE</formula>
    </cfRule>
  </conditionalFormatting>
  <conditionalFormatting sqref="K67">
    <cfRule type="expression" dxfId="238" priority="131">
      <formula>$C$64=2</formula>
    </cfRule>
  </conditionalFormatting>
  <conditionalFormatting sqref="K7:L7">
    <cfRule type="expression" dxfId="237" priority="317">
      <formula>$K$7&lt;&gt;""</formula>
    </cfRule>
  </conditionalFormatting>
  <conditionalFormatting sqref="K67:M74">
    <cfRule type="expression" dxfId="236" priority="1257">
      <formula>$B$67=1</formula>
    </cfRule>
  </conditionalFormatting>
  <conditionalFormatting sqref="K68:M74">
    <cfRule type="expression" dxfId="235" priority="132">
      <formula>$C$64=2</formula>
    </cfRule>
  </conditionalFormatting>
  <conditionalFormatting sqref="K67:O67">
    <cfRule type="expression" dxfId="234" priority="1260">
      <formula>$B$67=1</formula>
    </cfRule>
  </conditionalFormatting>
  <conditionalFormatting sqref="K67:O74">
    <cfRule type="expression" dxfId="233" priority="1261">
      <formula>AND($C$64=2,$B$67=0)=TRUE</formula>
    </cfRule>
  </conditionalFormatting>
  <conditionalFormatting sqref="L82">
    <cfRule type="expression" dxfId="232" priority="164">
      <formula>$C$79=2</formula>
    </cfRule>
  </conditionalFormatting>
  <conditionalFormatting sqref="M18:M25">
    <cfRule type="expression" dxfId="231" priority="4">
      <formula>M18&lt;&gt;""</formula>
    </cfRule>
  </conditionalFormatting>
  <conditionalFormatting sqref="M44">
    <cfRule type="expression" dxfId="230" priority="747">
      <formula>$E$36=2</formula>
    </cfRule>
  </conditionalFormatting>
  <conditionalFormatting sqref="N3">
    <cfRule type="expression" dxfId="229" priority="1266">
      <formula>DAY(EOMONTH(DATE(G6,H5,I5),0))&lt;&gt;J5</formula>
    </cfRule>
  </conditionalFormatting>
  <conditionalFormatting sqref="N87:N88">
    <cfRule type="expression" dxfId="228" priority="113">
      <formula>$C$79=2</formula>
    </cfRule>
  </conditionalFormatting>
  <conditionalFormatting sqref="N113:N115">
    <cfRule type="expression" dxfId="227" priority="9">
      <formula>N113&lt;&gt;""</formula>
    </cfRule>
  </conditionalFormatting>
  <conditionalFormatting sqref="N116:N120">
    <cfRule type="expression" dxfId="226" priority="81">
      <formula>N116&lt;&gt;""</formula>
    </cfRule>
  </conditionalFormatting>
  <conditionalFormatting sqref="N67:O74">
    <cfRule type="expression" dxfId="225" priority="1262">
      <formula>$B$67=1</formula>
    </cfRule>
  </conditionalFormatting>
  <conditionalFormatting sqref="N164:O181 N203:O211 F203:F211">
    <cfRule type="expression" dxfId="224" priority="327">
      <formula>F164&lt;&gt;""</formula>
    </cfRule>
  </conditionalFormatting>
  <conditionalFormatting sqref="O75">
    <cfRule type="expression" dxfId="223" priority="1263">
      <formula>$B$67=1</formula>
    </cfRule>
    <cfRule type="expression" dxfId="222" priority="1264">
      <formula>AND($C$64=2,$B$67=0)=TRUE</formula>
    </cfRule>
  </conditionalFormatting>
  <conditionalFormatting sqref="O164:O181">
    <cfRule type="expression" dxfId="221" priority="136">
      <formula>OR(N164="実施済",N164="非該当")=TRUE</formula>
    </cfRule>
  </conditionalFormatting>
  <conditionalFormatting sqref="O203:O211">
    <cfRule type="expression" dxfId="220" priority="11">
      <formula>N203="実施済"</formula>
    </cfRule>
  </conditionalFormatting>
  <conditionalFormatting sqref="O223:O232">
    <cfRule type="expression" dxfId="219" priority="12">
      <formula>N223="実施済"</formula>
    </cfRule>
  </conditionalFormatting>
  <conditionalFormatting sqref="T1">
    <cfRule type="expression" dxfId="218" priority="100">
      <formula>$T$1="コメント表示なし"</formula>
    </cfRule>
  </conditionalFormatting>
  <dataValidations count="20">
    <dataValidation type="list" allowBlank="1" showInputMessage="1" showErrorMessage="1" sqref="N164:N181" xr:uid="{00000000-0002-0000-0700-000000000000}">
      <formula1>"実施済,未実施,非該当"</formula1>
    </dataValidation>
    <dataValidation type="list" allowBlank="1" showInputMessage="1" showErrorMessage="1" sqref="N203:N211" xr:uid="{00000000-0002-0000-0700-000002000000}">
      <formula1>"実施済,一部実施済,未実施"</formula1>
    </dataValidation>
    <dataValidation imeMode="hiragana" allowBlank="1" showInputMessage="1" showErrorMessage="1" sqref="F44:F48 G96:G97 F55:F59 G149 E85:E91 E238 G26 G223:G232" xr:uid="{00000000-0002-0000-0700-000006000000}"/>
    <dataValidation imeMode="halfAlpha" allowBlank="1" showInputMessage="1" showErrorMessage="1" sqref="G98 G68:G74 N68:N74 I44:I48 K68:K74 Q143:Q144 Q131 G85:G91 G44:G48 G113:H120 N113:N120 N134:N135 Q134:Q138 N137:N138 Q140:Q141 N140:N141 N143:N144 I55:I59 G55:G59 R26" xr:uid="{33D9874F-5A4B-4E42-9D89-EB7E68757C90}"/>
    <dataValidation type="list" allowBlank="1" showInputMessage="1" showErrorMessage="1" sqref="O164:O181" xr:uid="{5C78C70D-5777-4C01-8672-92D6A5C974C8}">
      <formula1>INDIRECT(取組年度リスト)</formula1>
    </dataValidation>
    <dataValidation type="list" allowBlank="1" showInputMessage="1" showErrorMessage="1" sqref="K7" xr:uid="{310770FB-8719-462E-8683-1D299194C25C}">
      <formula1>"2025,2026,2027"</formula1>
    </dataValidation>
    <dataValidation type="list" allowBlank="1" showInputMessage="1" showErrorMessage="1" sqref="O203:O211 O223:O232" xr:uid="{C4293D71-BBB6-4E29-800F-2DB5321261F2}">
      <formula1>選択取組年度リスト</formula1>
    </dataValidation>
    <dataValidation imeMode="halfAlpha" allowBlank="1" showInputMessage="1" showErrorMessage="1" prompt="使用量" sqref="M18:M26" xr:uid="{CF9AA480-3FC1-4B65-A39F-D123DF1A0ADB}"/>
    <dataValidation type="list" allowBlank="1" showInputMessage="1" showErrorMessage="1" sqref="L66" xr:uid="{A6017158-F514-425D-9271-952BE0083D10}">
      <formula1>"0,1"</formula1>
    </dataValidation>
    <dataValidation type="list" errorStyle="information" allowBlank="1" showInputMessage="1" showErrorMessage="1" sqref="AF4" xr:uid="{F2F745EC-7C85-4EF5-9816-D10FE9447129}">
      <formula1>"0,365,730,1096,1461"</formula1>
    </dataValidation>
    <dataValidation type="list" errorStyle="information" allowBlank="1" showInputMessage="1" showErrorMessage="1" sqref="AG4" xr:uid="{3487614C-C242-4CF2-8D5A-03A2B7AC46DC}">
      <formula1>日付リスト</formula1>
    </dataValidation>
    <dataValidation type="whole" errorStyle="warning" imeMode="halfAlpha" allowBlank="1" showInputMessage="1" showErrorMessage="1" error="2026から2023の数値（整数）を入力してください。" sqref="G3" xr:uid="{795469CB-2D52-4DA0-8A7B-FD69C124DB17}">
      <formula1>2026</formula1>
      <formula2>2030</formula2>
    </dataValidation>
    <dataValidation type="whole" errorStyle="warning" imeMode="halfAlpha" allowBlank="1" showInputMessage="1" showErrorMessage="1" error="4～8の数値（整数）を入力してください。" sqref="I3" xr:uid="{A35FF3B5-0F67-4CB7-822F-726761FBF1B6}">
      <formula1>4</formula1>
      <formula2>8</formula2>
    </dataValidation>
    <dataValidation imeMode="halfAlpha" allowBlank="1" showInputMessage="1" showErrorMessage="1" prompt="単位" sqref="N26" xr:uid="{EB4B629A-5AC0-4116-9C3E-A2169654199F}"/>
    <dataValidation imeMode="halfAlpha" allowBlank="1" showInputMessage="1" showErrorMessage="1" prompt="換算係数" sqref="O26" xr:uid="{9569E423-33AB-4402-BD03-6122145C5E84}"/>
    <dataValidation imeMode="halfAlpha" allowBlank="1" showInputMessage="1" showErrorMessage="1" prompt="排出係数" sqref="P26" xr:uid="{A010A55B-C107-44DF-939A-14E4B7702CB5}"/>
    <dataValidation imeMode="halfAlpha" allowBlank="1" showInputMessage="1" showErrorMessage="1" prompt="熱量(GJ)" sqref="Q26" xr:uid="{4BE7AEDF-26D3-448E-B0F5-01460F47B156}"/>
    <dataValidation type="whole" imeMode="halfAlpha" showInputMessage="1" showErrorMessage="1" error="入力値に誤りがあります。_x000a_" sqref="K3" xr:uid="{7587312B-DA1F-486F-9CEC-782473B0386D}">
      <formula1>1</formula1>
      <formula2>IF(OR(G3="",I3=""),31,DAY(DATE(G3, I3 + 1, 0)))</formula2>
    </dataValidation>
    <dataValidation type="list" allowBlank="1" showInputMessage="1" showErrorMessage="1" sqref="N223:N232" xr:uid="{00000000-0002-0000-0700-000004000000}">
      <formula1>"実施済,未実施"</formula1>
    </dataValidation>
    <dataValidation type="list" allowBlank="1" showInputMessage="1" showErrorMessage="1" sqref="F223:F232" xr:uid="{00000000-0002-0000-0700-000005000000}">
      <formula1>その他対策</formula1>
    </dataValidation>
  </dataValidations>
  <hyperlinks>
    <hyperlink ref="E82" r:id="rId1" xr:uid="{0BAC3E61-FD03-45DC-A74A-F49BA73DAA71}"/>
    <hyperlink ref="F41" r:id="rId2" xr:uid="{8306637A-3C21-4DBB-B21C-7C7134C0C850}"/>
  </hyperlinks>
  <printOptions horizontalCentered="1"/>
  <pageMargins left="0.70866141732283472" right="0.55118110236220474" top="0.74803149606299213" bottom="0.39370078740157483" header="0.31496062992125984" footer="0.31496062992125984"/>
  <pageSetup paperSize="9" scale="45" fitToHeight="7" orientation="portrait" r:id="rId3"/>
  <headerFooter>
    <oddHeader>&amp;L&amp;"メイリオ,レギュラー"様式第２号</oddHeader>
    <oddFooter>&amp;R&amp;"メイリオ,レギュラー"&amp;8（特定事業者（運送事業者）用</oddFooter>
  </headerFooter>
  <rowBreaks count="4" manualBreakCount="4">
    <brk id="76" min="3" max="19" man="1"/>
    <brk id="154" min="3" max="19" man="1"/>
    <brk id="194" min="3" max="19" man="1"/>
    <brk id="212" min="3"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51380" r:id="rId6" name="Option Button_01">
              <controlPr defaultSize="0" autoFill="0" autoLine="0" autoPict="0">
                <anchor moveWithCells="1">
                  <from>
                    <xdr:col>5</xdr:col>
                    <xdr:colOff>698500</xdr:colOff>
                    <xdr:row>34</xdr:row>
                    <xdr:rowOff>215900</xdr:rowOff>
                  </from>
                  <to>
                    <xdr:col>5</xdr:col>
                    <xdr:colOff>1454150</xdr:colOff>
                    <xdr:row>35</xdr:row>
                    <xdr:rowOff>222250</xdr:rowOff>
                  </to>
                </anchor>
              </controlPr>
            </control>
          </mc:Choice>
        </mc:AlternateContent>
        <mc:AlternateContent xmlns:mc="http://schemas.openxmlformats.org/markup-compatibility/2006">
          <mc:Choice Requires="x14">
            <control shapeId="51377" r:id="rId7" name="Group Box_2">
              <controlPr defaultSize="0" autoFill="0" autoPict="0">
                <anchor moveWithCells="1">
                  <from>
                    <xdr:col>5</xdr:col>
                    <xdr:colOff>273050</xdr:colOff>
                    <xdr:row>49</xdr:row>
                    <xdr:rowOff>88900</xdr:rowOff>
                  </from>
                  <to>
                    <xdr:col>8</xdr:col>
                    <xdr:colOff>76200</xdr:colOff>
                    <xdr:row>52</xdr:row>
                    <xdr:rowOff>152400</xdr:rowOff>
                  </to>
                </anchor>
              </controlPr>
            </control>
          </mc:Choice>
        </mc:AlternateContent>
        <mc:AlternateContent xmlns:mc="http://schemas.openxmlformats.org/markup-compatibility/2006">
          <mc:Choice Requires="x14">
            <control shapeId="51498" r:id="rId8" name="Option Button_17">
              <controlPr defaultSize="0" autoFill="0" autoLine="0" autoPict="0">
                <anchor moveWithCells="1">
                  <from>
                    <xdr:col>5</xdr:col>
                    <xdr:colOff>698500</xdr:colOff>
                    <xdr:row>77</xdr:row>
                    <xdr:rowOff>273050</xdr:rowOff>
                  </from>
                  <to>
                    <xdr:col>5</xdr:col>
                    <xdr:colOff>1454150</xdr:colOff>
                    <xdr:row>78</xdr:row>
                    <xdr:rowOff>241300</xdr:rowOff>
                  </to>
                </anchor>
              </controlPr>
            </control>
          </mc:Choice>
        </mc:AlternateContent>
        <mc:AlternateContent xmlns:mc="http://schemas.openxmlformats.org/markup-compatibility/2006">
          <mc:Choice Requires="x14">
            <control shapeId="51409" r:id="rId9" name="Option Button_03">
              <controlPr defaultSize="0" autoFill="0" autoLine="0" autoPict="0">
                <anchor moveWithCells="1">
                  <from>
                    <xdr:col>5</xdr:col>
                    <xdr:colOff>698500</xdr:colOff>
                    <xdr:row>50</xdr:row>
                    <xdr:rowOff>0</xdr:rowOff>
                  </from>
                  <to>
                    <xdr:col>5</xdr:col>
                    <xdr:colOff>1454150</xdr:colOff>
                    <xdr:row>50</xdr:row>
                    <xdr:rowOff>234950</xdr:rowOff>
                  </to>
                </anchor>
              </controlPr>
            </control>
          </mc:Choice>
        </mc:AlternateContent>
        <mc:AlternateContent xmlns:mc="http://schemas.openxmlformats.org/markup-compatibility/2006">
          <mc:Choice Requires="x14">
            <control shapeId="51410" r:id="rId10" name="Option Button_04">
              <controlPr defaultSize="0" autoFill="0" autoLine="0" autoPict="0">
                <anchor moveWithCells="1">
                  <from>
                    <xdr:col>5</xdr:col>
                    <xdr:colOff>2089150</xdr:colOff>
                    <xdr:row>50</xdr:row>
                    <xdr:rowOff>0</xdr:rowOff>
                  </from>
                  <to>
                    <xdr:col>7</xdr:col>
                    <xdr:colOff>196850</xdr:colOff>
                    <xdr:row>50</xdr:row>
                    <xdr:rowOff>234950</xdr:rowOff>
                  </to>
                </anchor>
              </controlPr>
            </control>
          </mc:Choice>
        </mc:AlternateContent>
        <mc:AlternateContent xmlns:mc="http://schemas.openxmlformats.org/markup-compatibility/2006">
          <mc:Choice Requires="x14">
            <control shapeId="51394" r:id="rId11" name="Group Box_9">
              <controlPr defaultSize="0" autoFill="0" autoPict="0">
                <anchor moveWithCells="1">
                  <from>
                    <xdr:col>5</xdr:col>
                    <xdr:colOff>273050</xdr:colOff>
                    <xdr:row>77</xdr:row>
                    <xdr:rowOff>127000</xdr:rowOff>
                  </from>
                  <to>
                    <xdr:col>8</xdr:col>
                    <xdr:colOff>76200</xdr:colOff>
                    <xdr:row>80</xdr:row>
                    <xdr:rowOff>196850</xdr:rowOff>
                  </to>
                </anchor>
              </controlPr>
            </control>
          </mc:Choice>
        </mc:AlternateContent>
        <mc:AlternateContent xmlns:mc="http://schemas.openxmlformats.org/markup-compatibility/2006">
          <mc:Choice Requires="x14">
            <control shapeId="51430" r:id="rId12" name="Option Button_15">
              <controlPr defaultSize="0" autoFill="0" autoLine="0" autoPict="0">
                <anchor moveWithCells="1">
                  <from>
                    <xdr:col>5</xdr:col>
                    <xdr:colOff>698500</xdr:colOff>
                    <xdr:row>62</xdr:row>
                    <xdr:rowOff>273050</xdr:rowOff>
                  </from>
                  <to>
                    <xdr:col>5</xdr:col>
                    <xdr:colOff>1454150</xdr:colOff>
                    <xdr:row>63</xdr:row>
                    <xdr:rowOff>241300</xdr:rowOff>
                  </to>
                </anchor>
              </controlPr>
            </control>
          </mc:Choice>
        </mc:AlternateContent>
        <mc:AlternateContent xmlns:mc="http://schemas.openxmlformats.org/markup-compatibility/2006">
          <mc:Choice Requires="x14">
            <control shapeId="51253" r:id="rId13" name="Option Button_18">
              <controlPr defaultSize="0" autoFill="0" autoLine="0" autoPict="0">
                <anchor moveWithCells="1">
                  <from>
                    <xdr:col>5</xdr:col>
                    <xdr:colOff>2089150</xdr:colOff>
                    <xdr:row>77</xdr:row>
                    <xdr:rowOff>273050</xdr:rowOff>
                  </from>
                  <to>
                    <xdr:col>7</xdr:col>
                    <xdr:colOff>196850</xdr:colOff>
                    <xdr:row>78</xdr:row>
                    <xdr:rowOff>241300</xdr:rowOff>
                  </to>
                </anchor>
              </controlPr>
            </control>
          </mc:Choice>
        </mc:AlternateContent>
        <mc:AlternateContent xmlns:mc="http://schemas.openxmlformats.org/markup-compatibility/2006">
          <mc:Choice Requires="x14">
            <control shapeId="51393" r:id="rId14" name="Group Box_8">
              <controlPr defaultSize="0" autoFill="0" autoPict="0">
                <anchor moveWithCells="1">
                  <from>
                    <xdr:col>5</xdr:col>
                    <xdr:colOff>273050</xdr:colOff>
                    <xdr:row>62</xdr:row>
                    <xdr:rowOff>69850</xdr:rowOff>
                  </from>
                  <to>
                    <xdr:col>8</xdr:col>
                    <xdr:colOff>76200</xdr:colOff>
                    <xdr:row>65</xdr:row>
                    <xdr:rowOff>127000</xdr:rowOff>
                  </to>
                </anchor>
              </controlPr>
            </control>
          </mc:Choice>
        </mc:AlternateContent>
        <mc:AlternateContent xmlns:mc="http://schemas.openxmlformats.org/markup-compatibility/2006">
          <mc:Choice Requires="x14">
            <control shapeId="51376" r:id="rId15" name="Group Box_1">
              <controlPr defaultSize="0" autoFill="0" autoPict="0">
                <anchor moveWithCells="1">
                  <from>
                    <xdr:col>5</xdr:col>
                    <xdr:colOff>273050</xdr:colOff>
                    <xdr:row>34</xdr:row>
                    <xdr:rowOff>114300</xdr:rowOff>
                  </from>
                  <to>
                    <xdr:col>8</xdr:col>
                    <xdr:colOff>76200</xdr:colOff>
                    <xdr:row>38</xdr:row>
                    <xdr:rowOff>0</xdr:rowOff>
                  </to>
                </anchor>
              </controlPr>
            </control>
          </mc:Choice>
        </mc:AlternateContent>
        <mc:AlternateContent xmlns:mc="http://schemas.openxmlformats.org/markup-compatibility/2006">
          <mc:Choice Requires="x14">
            <control shapeId="142996" r:id="rId16" name="Option Button_02">
              <controlPr defaultSize="0" autoFill="0" autoLine="0" autoPict="0">
                <anchor moveWithCells="1">
                  <from>
                    <xdr:col>5</xdr:col>
                    <xdr:colOff>2089150</xdr:colOff>
                    <xdr:row>34</xdr:row>
                    <xdr:rowOff>215900</xdr:rowOff>
                  </from>
                  <to>
                    <xdr:col>7</xdr:col>
                    <xdr:colOff>196850</xdr:colOff>
                    <xdr:row>35</xdr:row>
                    <xdr:rowOff>222250</xdr:rowOff>
                  </to>
                </anchor>
              </controlPr>
            </control>
          </mc:Choice>
        </mc:AlternateContent>
        <mc:AlternateContent xmlns:mc="http://schemas.openxmlformats.org/markup-compatibility/2006">
          <mc:Choice Requires="x14">
            <control shapeId="186764" r:id="rId17" name="Option Button_16">
              <controlPr defaultSize="0" autoFill="0" autoLine="0" autoPict="0">
                <anchor moveWithCells="1">
                  <from>
                    <xdr:col>5</xdr:col>
                    <xdr:colOff>2089150</xdr:colOff>
                    <xdr:row>62</xdr:row>
                    <xdr:rowOff>273050</xdr:rowOff>
                  </from>
                  <to>
                    <xdr:col>7</xdr:col>
                    <xdr:colOff>196850</xdr:colOff>
                    <xdr:row>63</xdr:row>
                    <xdr:rowOff>241300</xdr:rowOff>
                  </to>
                </anchor>
              </controlPr>
            </control>
          </mc:Choice>
        </mc:AlternateContent>
        <mc:AlternateContent xmlns:mc="http://schemas.openxmlformats.org/markup-compatibility/2006">
          <mc:Choice Requires="x14">
            <control shapeId="51418" r:id="rId18" name="Option Button_09">
              <controlPr defaultSize="0" autoFill="0" autoLine="0" autoPict="0">
                <anchor moveWithCells="1">
                  <from>
                    <xdr:col>5</xdr:col>
                    <xdr:colOff>698500</xdr:colOff>
                    <xdr:row>10</xdr:row>
                    <xdr:rowOff>273050</xdr:rowOff>
                  </from>
                  <to>
                    <xdr:col>5</xdr:col>
                    <xdr:colOff>1454150</xdr:colOff>
                    <xdr:row>11</xdr:row>
                    <xdr:rowOff>241300</xdr:rowOff>
                  </to>
                </anchor>
              </controlPr>
            </control>
          </mc:Choice>
        </mc:AlternateContent>
        <mc:AlternateContent xmlns:mc="http://schemas.openxmlformats.org/markup-compatibility/2006">
          <mc:Choice Requires="x14">
            <control shapeId="51390" r:id="rId19" name="Group Box_5">
              <controlPr defaultSize="0" autoFill="0" autoPict="0">
                <anchor moveWithCells="1">
                  <from>
                    <xdr:col>5</xdr:col>
                    <xdr:colOff>488950</xdr:colOff>
                    <xdr:row>10</xdr:row>
                    <xdr:rowOff>31750</xdr:rowOff>
                  </from>
                  <to>
                    <xdr:col>8</xdr:col>
                    <xdr:colOff>292100</xdr:colOff>
                    <xdr:row>13</xdr:row>
                    <xdr:rowOff>228600</xdr:rowOff>
                  </to>
                </anchor>
              </controlPr>
            </control>
          </mc:Choice>
        </mc:AlternateContent>
        <mc:AlternateContent xmlns:mc="http://schemas.openxmlformats.org/markup-compatibility/2006">
          <mc:Choice Requires="x14">
            <control shapeId="403461" r:id="rId20" name="Option Button_05">
              <controlPr defaultSize="0" autoFill="0" autoLine="0" autoPict="0">
                <anchor moveWithCells="1">
                  <from>
                    <xdr:col>5</xdr:col>
                    <xdr:colOff>698500</xdr:colOff>
                    <xdr:row>30</xdr:row>
                    <xdr:rowOff>222250</xdr:rowOff>
                  </from>
                  <to>
                    <xdr:col>5</xdr:col>
                    <xdr:colOff>1454150</xdr:colOff>
                    <xdr:row>31</xdr:row>
                    <xdr:rowOff>222250</xdr:rowOff>
                  </to>
                </anchor>
              </controlPr>
            </control>
          </mc:Choice>
        </mc:AlternateContent>
        <mc:AlternateContent xmlns:mc="http://schemas.openxmlformats.org/markup-compatibility/2006">
          <mc:Choice Requires="x14">
            <control shapeId="403462" r:id="rId21" name="Option Button_06">
              <controlPr defaultSize="0" autoFill="0" autoLine="0" autoPict="0">
                <anchor moveWithCells="1">
                  <from>
                    <xdr:col>5</xdr:col>
                    <xdr:colOff>2089150</xdr:colOff>
                    <xdr:row>30</xdr:row>
                    <xdr:rowOff>222250</xdr:rowOff>
                  </from>
                  <to>
                    <xdr:col>7</xdr:col>
                    <xdr:colOff>196850</xdr:colOff>
                    <xdr:row>31</xdr:row>
                    <xdr:rowOff>222250</xdr:rowOff>
                  </to>
                </anchor>
              </controlPr>
            </control>
          </mc:Choice>
        </mc:AlternateContent>
        <mc:AlternateContent xmlns:mc="http://schemas.openxmlformats.org/markup-compatibility/2006">
          <mc:Choice Requires="x14">
            <control shapeId="51388" r:id="rId22" name="Group Box_3">
              <controlPr defaultSize="0" autoFill="0" autoPict="0">
                <anchor moveWithCells="1">
                  <from>
                    <xdr:col>5</xdr:col>
                    <xdr:colOff>273050</xdr:colOff>
                    <xdr:row>29</xdr:row>
                    <xdr:rowOff>184150</xdr:rowOff>
                  </from>
                  <to>
                    <xdr:col>8</xdr:col>
                    <xdr:colOff>76200</xdr:colOff>
                    <xdr:row>33</xdr:row>
                    <xdr:rowOff>177800</xdr:rowOff>
                  </to>
                </anchor>
              </controlPr>
            </control>
          </mc:Choice>
        </mc:AlternateContent>
        <mc:AlternateContent xmlns:mc="http://schemas.openxmlformats.org/markup-compatibility/2006">
          <mc:Choice Requires="x14">
            <control shapeId="403776" r:id="rId23" name="Option Button_10">
              <controlPr defaultSize="0" autoFill="0" autoLine="0" autoPict="0">
                <anchor moveWithCells="1">
                  <from>
                    <xdr:col>5</xdr:col>
                    <xdr:colOff>2089150</xdr:colOff>
                    <xdr:row>11</xdr:row>
                    <xdr:rowOff>6350</xdr:rowOff>
                  </from>
                  <to>
                    <xdr:col>7</xdr:col>
                    <xdr:colOff>165100</xdr:colOff>
                    <xdr:row>11</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1C75D39-E34C-426E-BE50-AFB4756C1D37}">
          <x14:formula1>
            <xm:f>対策リスト!$F$3:$F$11</xm:f>
          </x14:formula1>
          <xm:sqref>F203:F211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theme="6" tint="-0.249977111117893"/>
  </sheetPr>
  <dimension ref="A1:AW272"/>
  <sheetViews>
    <sheetView view="pageBreakPreview" topLeftCell="D1" zoomScaleNormal="100" zoomScaleSheetLayoutView="100" workbookViewId="0">
      <pane ySplit="4" topLeftCell="A8" activePane="bottomLeft" state="frozen"/>
      <selection activeCell="E5" sqref="E5:N5"/>
      <selection pane="bottomLeft" activeCell="G3" sqref="G3"/>
    </sheetView>
  </sheetViews>
  <sheetFormatPr defaultColWidth="8.90625" defaultRowHeight="16" outlineLevelCol="1"/>
  <cols>
    <col min="1" max="3" width="3" style="189" hidden="1" customWidth="1" outlineLevel="1"/>
    <col min="4" max="4" width="2.6328125" style="195" customWidth="1" collapsed="1"/>
    <col min="5" max="5" width="4" style="195" customWidth="1"/>
    <col min="6" max="6" width="33.90625" style="195" customWidth="1"/>
    <col min="7" max="7" width="8.1796875" style="195" customWidth="1"/>
    <col min="8" max="8" width="4.453125" style="195" customWidth="1"/>
    <col min="9" max="9" width="8.81640625" style="195" customWidth="1"/>
    <col min="10" max="10" width="4.453125" style="195" customWidth="1"/>
    <col min="11" max="11" width="8.81640625" style="195" customWidth="1"/>
    <col min="12" max="12" width="4.453125" style="195" customWidth="1"/>
    <col min="13" max="19" width="12.81640625" style="195" customWidth="1"/>
    <col min="20" max="20" width="10.81640625" style="195" customWidth="1"/>
    <col min="21" max="21" width="9.08984375" style="195" hidden="1" customWidth="1" outlineLevel="1"/>
    <col min="22" max="24" width="4.90625" style="195" hidden="1" customWidth="1" outlineLevel="1"/>
    <col min="25" max="26" width="7" style="195" hidden="1" customWidth="1" outlineLevel="1"/>
    <col min="27" max="27" width="9.453125" style="196" hidden="1" customWidth="1" outlineLevel="1"/>
    <col min="28" max="28" width="9.36328125" style="195" hidden="1" customWidth="1" outlineLevel="1"/>
    <col min="29" max="29" width="14.81640625" style="195" hidden="1" customWidth="1" outlineLevel="1"/>
    <col min="30" max="30" width="14.453125" style="195" hidden="1" customWidth="1" outlineLevel="1"/>
    <col min="31" max="31" width="7" style="195" hidden="1" customWidth="1" outlineLevel="1"/>
    <col min="32" max="32" width="6.08984375" style="195" hidden="1" customWidth="1" outlineLevel="1"/>
    <col min="33" max="33" width="6.1796875" style="195" hidden="1" customWidth="1" outlineLevel="1"/>
    <col min="34" max="35" width="0" style="195" hidden="1" customWidth="1" outlineLevel="1"/>
    <col min="36" max="36" width="8.90625" style="195" customWidth="1" collapsed="1"/>
    <col min="37" max="37" width="11.1796875" style="195" customWidth="1"/>
    <col min="38" max="39" width="8.90625" style="195"/>
    <col min="40" max="43" width="5.6328125" style="195" customWidth="1"/>
    <col min="44" max="48" width="8.90625" style="195"/>
    <col min="49" max="49" width="0" style="195" hidden="1" customWidth="1"/>
    <col min="50" max="16384" width="8.90625" style="195"/>
  </cols>
  <sheetData>
    <row r="1" spans="1:38" s="191" customFormat="1" ht="42" customHeight="1">
      <c r="A1" s="184" t="s">
        <v>4377</v>
      </c>
      <c r="B1" s="185" t="s">
        <v>4526</v>
      </c>
      <c r="C1" s="186" t="s">
        <v>4377</v>
      </c>
      <c r="D1" s="94" t="str">
        <f ca="1">IF($AD$6&gt;$AD$5,"（第１年度報告書）","入力シート（第１年度報告書）〈" &amp; $AD$5-1 &amp; "年度実績〉")</f>
        <v>（第１年度報告書）</v>
      </c>
      <c r="E1" s="95"/>
      <c r="F1" s="96"/>
      <c r="G1" s="96"/>
      <c r="H1" s="96"/>
      <c r="I1" s="96"/>
      <c r="J1" s="96"/>
      <c r="K1" s="96"/>
      <c r="L1" s="96"/>
      <c r="M1" s="96"/>
      <c r="N1" s="96"/>
      <c r="O1" s="96"/>
      <c r="P1" s="96"/>
      <c r="Q1" s="96"/>
      <c r="R1" s="96"/>
      <c r="S1" s="96"/>
      <c r="T1" s="180" t="str">
        <f>IF('入力シート（計画書）'!K7="","",HLOOKUP(VALUE(AA5),入力シートのタイトルメッセージ!C2:N8,AA6,FALSE))</f>
        <v/>
      </c>
      <c r="U1" s="197"/>
      <c r="V1" s="197"/>
      <c r="W1" s="198" t="s">
        <v>4016</v>
      </c>
      <c r="AA1" s="199" t="s">
        <v>4226</v>
      </c>
      <c r="AB1" s="198">
        <f>'入力シート（計画書）'!K7</f>
        <v>0</v>
      </c>
      <c r="AC1" s="201" t="s">
        <v>4352</v>
      </c>
      <c r="AD1" s="225">
        <f>AB1+1</f>
        <v>1</v>
      </c>
      <c r="AE1" s="200"/>
    </row>
    <row r="2" spans="1:38" s="191" customFormat="1" ht="35.75" customHeight="1">
      <c r="A2" s="187"/>
      <c r="B2" s="187"/>
      <c r="C2" s="188"/>
      <c r="D2" s="32"/>
      <c r="E2" s="14"/>
      <c r="F2" s="14"/>
      <c r="G2" s="14"/>
      <c r="H2" s="14"/>
      <c r="I2" s="14"/>
      <c r="J2" s="14"/>
      <c r="K2" s="14"/>
      <c r="L2" s="14"/>
      <c r="M2" s="14"/>
      <c r="N2" s="14"/>
      <c r="O2" s="14"/>
      <c r="P2" s="14"/>
      <c r="Q2" s="14"/>
      <c r="R2" s="28"/>
      <c r="S2" s="28"/>
      <c r="T2" s="14"/>
      <c r="U2" s="226"/>
      <c r="Z2" s="200"/>
      <c r="AA2" s="201" t="s">
        <v>4235</v>
      </c>
      <c r="AB2" s="202">
        <f>基本設定シート!C8</f>
        <v>2028</v>
      </c>
      <c r="AC2" s="203" t="s">
        <v>4258</v>
      </c>
      <c r="AD2" s="204">
        <f ca="1">TODAY()</f>
        <v>46108</v>
      </c>
      <c r="AE2" s="205"/>
    </row>
    <row r="3" spans="1:38" s="191" customFormat="1" ht="17.75" customHeight="1">
      <c r="A3" s="187"/>
      <c r="B3" s="187"/>
      <c r="C3" s="188"/>
      <c r="D3" s="32"/>
      <c r="E3" s="14"/>
      <c r="F3" s="25" t="s">
        <v>4298</v>
      </c>
      <c r="G3" s="18"/>
      <c r="H3" s="7" t="s">
        <v>2</v>
      </c>
      <c r="I3" s="17"/>
      <c r="J3" s="7" t="s">
        <v>4337</v>
      </c>
      <c r="K3" s="17"/>
      <c r="L3" s="7" t="s">
        <v>4338</v>
      </c>
      <c r="M3" s="25" t="s">
        <v>4301</v>
      </c>
      <c r="N3" s="804" t="str">
        <f>'入力シート（事業者情報）'!U7</f>
        <v/>
      </c>
      <c r="O3" s="805"/>
      <c r="P3" s="805"/>
      <c r="Q3" s="805"/>
      <c r="R3" s="805"/>
      <c r="S3" s="805"/>
      <c r="T3" s="806"/>
      <c r="U3" s="191">
        <f>DAY(DATE(G3,I3+1,1)-1)</f>
        <v>0</v>
      </c>
      <c r="Z3" s="200"/>
      <c r="AA3" s="202" t="s">
        <v>4369</v>
      </c>
      <c r="AB3" s="202">
        <v>1</v>
      </c>
      <c r="AC3" s="206"/>
      <c r="AD3" s="204">
        <f ca="1">TODAY()</f>
        <v>46108</v>
      </c>
      <c r="AE3" s="205"/>
    </row>
    <row r="4" spans="1:38" s="191" customFormat="1" ht="5" customHeight="1">
      <c r="A4" s="187"/>
      <c r="B4" s="187"/>
      <c r="C4" s="188"/>
      <c r="D4" s="32"/>
      <c r="E4" s="14"/>
      <c r="F4" s="33"/>
      <c r="G4" s="33"/>
      <c r="H4" s="33"/>
      <c r="I4" s="33"/>
      <c r="J4" s="14"/>
      <c r="K4" s="97"/>
      <c r="L4" s="14"/>
      <c r="M4" s="14"/>
      <c r="N4" s="14"/>
      <c r="O4" s="14"/>
      <c r="P4" s="14"/>
      <c r="Q4" s="14"/>
      <c r="R4" s="28"/>
      <c r="S4" s="28"/>
      <c r="T4" s="14"/>
      <c r="Z4" s="200"/>
      <c r="AA4" s="201"/>
      <c r="AB4" s="200"/>
      <c r="AC4" s="206"/>
      <c r="AD4" s="204"/>
      <c r="AE4" s="205"/>
    </row>
    <row r="5" spans="1:38" s="191" customFormat="1" ht="18.75" hidden="1" customHeight="1">
      <c r="A5" s="187"/>
      <c r="B5" s="187"/>
      <c r="C5" s="188"/>
      <c r="D5" s="32"/>
      <c r="E5" s="14"/>
      <c r="F5" s="33"/>
      <c r="G5" s="14"/>
      <c r="H5" s="98"/>
      <c r="I5" s="98"/>
      <c r="J5" s="14"/>
      <c r="K5" s="14"/>
      <c r="L5" s="14"/>
      <c r="M5" s="14"/>
      <c r="N5" s="14"/>
      <c r="O5" s="14"/>
      <c r="P5" s="14"/>
      <c r="Q5" s="14"/>
      <c r="R5" s="28"/>
      <c r="S5" s="28"/>
      <c r="T5" s="14"/>
      <c r="Z5" s="200"/>
      <c r="AA5" s="201" t="str">
        <f>AB1&amp;AB3</f>
        <v>01</v>
      </c>
      <c r="AB5" s="200"/>
      <c r="AC5" s="206" t="s">
        <v>4259</v>
      </c>
      <c r="AD5" s="78">
        <f>基本設定シート!C13</f>
        <v>2</v>
      </c>
      <c r="AE5" s="207" t="s">
        <v>4260</v>
      </c>
    </row>
    <row r="6" spans="1:38" s="191" customFormat="1" ht="18.75" hidden="1" customHeight="1">
      <c r="A6" s="187"/>
      <c r="B6" s="187"/>
      <c r="C6" s="188"/>
      <c r="D6" s="32"/>
      <c r="E6" s="36"/>
      <c r="F6" s="28"/>
      <c r="G6" s="28"/>
      <c r="H6" s="28"/>
      <c r="I6" s="28"/>
      <c r="J6" s="28"/>
      <c r="K6" s="28"/>
      <c r="L6" s="28"/>
      <c r="M6" s="28"/>
      <c r="N6" s="28"/>
      <c r="O6" s="28"/>
      <c r="P6" s="28"/>
      <c r="Q6" s="28"/>
      <c r="R6" s="28"/>
      <c r="S6" s="28"/>
      <c r="T6" s="14"/>
      <c r="Z6" s="200"/>
      <c r="AA6" s="201">
        <f ca="1">LOOKUP(AD3,入力シートのタイトルメッセージ!B3:B8,入力シートのタイトルメッセージ!B11:B16)</f>
        <v>2</v>
      </c>
      <c r="AB6" s="200"/>
      <c r="AC6" s="206" t="s">
        <v>4261</v>
      </c>
      <c r="AD6" s="78">
        <f ca="1">YEAR(EOMONTH(AD3,-3))</f>
        <v>2025</v>
      </c>
      <c r="AE6" s="207" t="s">
        <v>4260</v>
      </c>
      <c r="AJ6" s="208"/>
    </row>
    <row r="7" spans="1:38" s="191" customFormat="1" ht="10.25" hidden="1" customHeight="1">
      <c r="A7" s="187"/>
      <c r="B7" s="187"/>
      <c r="C7" s="188"/>
      <c r="D7" s="32"/>
      <c r="E7" s="36"/>
      <c r="F7" s="14"/>
      <c r="G7" s="36"/>
      <c r="H7" s="28"/>
      <c r="I7" s="28"/>
      <c r="J7" s="28"/>
      <c r="K7" s="28"/>
      <c r="L7" s="28"/>
      <c r="M7" s="28"/>
      <c r="N7" s="28"/>
      <c r="O7" s="28"/>
      <c r="P7" s="28"/>
      <c r="Q7" s="14"/>
      <c r="R7" s="28"/>
      <c r="S7" s="28"/>
      <c r="T7" s="14"/>
      <c r="Z7" s="200"/>
      <c r="AA7" s="201"/>
      <c r="AB7" s="200"/>
      <c r="AC7" s="200"/>
      <c r="AD7" s="200"/>
      <c r="AE7" s="200"/>
      <c r="AJ7" s="208"/>
    </row>
    <row r="8" spans="1:38" s="191" customFormat="1" ht="8.4" customHeight="1">
      <c r="A8" s="187"/>
      <c r="B8" s="187"/>
      <c r="C8" s="188"/>
      <c r="D8" s="32"/>
      <c r="E8" s="14"/>
      <c r="F8" s="14"/>
      <c r="G8" s="14"/>
      <c r="H8" s="28"/>
      <c r="I8" s="28"/>
      <c r="J8" s="28"/>
      <c r="K8" s="28"/>
      <c r="L8" s="28"/>
      <c r="M8" s="28"/>
      <c r="N8" s="28"/>
      <c r="O8" s="28"/>
      <c r="P8" s="28"/>
      <c r="Q8" s="14"/>
      <c r="R8" s="28"/>
      <c r="S8" s="28"/>
      <c r="T8" s="14"/>
      <c r="Z8" s="200"/>
      <c r="AA8" s="201"/>
      <c r="AB8" s="200"/>
      <c r="AC8" s="200"/>
      <c r="AD8" s="200"/>
      <c r="AE8" s="200"/>
      <c r="AJ8" s="208"/>
    </row>
    <row r="9" spans="1:38" s="191" customFormat="1" ht="21" hidden="1" customHeight="1">
      <c r="A9" s="187"/>
      <c r="B9" s="187"/>
      <c r="C9" s="188"/>
      <c r="D9" s="32"/>
      <c r="E9" s="14"/>
      <c r="F9" s="14"/>
      <c r="G9" s="14"/>
      <c r="H9" s="28"/>
      <c r="I9" s="28"/>
      <c r="J9" s="28"/>
      <c r="K9" s="28"/>
      <c r="L9" s="28"/>
      <c r="M9" s="28"/>
      <c r="N9" s="28"/>
      <c r="O9" s="28"/>
      <c r="P9" s="28"/>
      <c r="Q9" s="14"/>
      <c r="R9" s="28"/>
      <c r="S9" s="28"/>
      <c r="T9" s="14"/>
      <c r="Z9" s="200"/>
      <c r="AA9" s="201"/>
      <c r="AB9" s="200"/>
      <c r="AC9" s="200"/>
      <c r="AD9" s="200"/>
      <c r="AE9" s="200"/>
      <c r="AJ9" s="208"/>
    </row>
    <row r="10" spans="1:38" s="191" customFormat="1" ht="18" customHeight="1">
      <c r="A10" s="187"/>
      <c r="B10" s="187"/>
      <c r="C10" s="188"/>
      <c r="D10" s="34" t="s">
        <v>4523</v>
      </c>
      <c r="E10" s="14"/>
      <c r="F10" s="14"/>
      <c r="G10" s="14"/>
      <c r="H10" s="14"/>
      <c r="I10" s="14"/>
      <c r="J10" s="14"/>
      <c r="K10" s="79"/>
      <c r="L10" s="14"/>
      <c r="M10" s="14"/>
      <c r="N10" s="102"/>
      <c r="O10" s="28"/>
      <c r="P10" s="28"/>
      <c r="Q10" s="28"/>
      <c r="R10" s="28"/>
      <c r="S10" s="31"/>
      <c r="T10" s="31"/>
      <c r="U10" s="200"/>
      <c r="V10" s="200"/>
      <c r="W10" s="200"/>
      <c r="X10" s="200"/>
      <c r="AA10" s="199"/>
    </row>
    <row r="11" spans="1:38" s="191" customFormat="1" ht="18" customHeight="1">
      <c r="A11" s="187"/>
      <c r="B11" s="187"/>
      <c r="C11" s="188"/>
      <c r="D11" s="14"/>
      <c r="E11" s="53" t="s">
        <v>4546</v>
      </c>
      <c r="F11" s="54"/>
      <c r="G11" s="14"/>
      <c r="H11" s="14"/>
      <c r="I11" s="14"/>
      <c r="J11" s="14"/>
      <c r="K11" s="14"/>
      <c r="L11" s="14"/>
      <c r="M11" s="14"/>
      <c r="N11" s="14"/>
      <c r="O11" s="105"/>
      <c r="P11" s="28"/>
      <c r="Q11" s="31"/>
      <c r="R11" s="31"/>
      <c r="S11" s="31"/>
      <c r="T11" s="31"/>
      <c r="U11" s="200"/>
      <c r="V11" s="200"/>
      <c r="W11" s="200"/>
      <c r="X11" s="200"/>
      <c r="Y11" s="200"/>
      <c r="Z11" s="200"/>
      <c r="AA11" s="201"/>
      <c r="AB11" s="200"/>
    </row>
    <row r="12" spans="1:38" ht="22.25" customHeight="1">
      <c r="D12" s="77"/>
      <c r="E12" s="77"/>
      <c r="F12" s="99" t="s">
        <v>4285</v>
      </c>
      <c r="G12" s="99" t="s">
        <v>4278</v>
      </c>
      <c r="H12" s="77"/>
      <c r="I12" s="77"/>
      <c r="J12" s="77"/>
      <c r="K12" s="77"/>
      <c r="L12" s="77"/>
      <c r="M12" s="77"/>
      <c r="N12" s="77"/>
      <c r="O12" s="77"/>
      <c r="P12" s="28"/>
      <c r="Q12" s="28"/>
      <c r="R12" s="28"/>
      <c r="S12" s="28"/>
      <c r="T12" s="14"/>
      <c r="U12" s="191"/>
      <c r="V12" s="191"/>
      <c r="W12" s="191"/>
      <c r="X12" s="191"/>
      <c r="Y12" s="191"/>
      <c r="Z12" s="191"/>
      <c r="AA12" s="199"/>
      <c r="AB12" s="191"/>
      <c r="AC12" s="191"/>
      <c r="AD12" s="191"/>
      <c r="AE12" s="191"/>
      <c r="AF12" s="191"/>
      <c r="AG12" s="191"/>
      <c r="AH12" s="191"/>
      <c r="AI12" s="197"/>
      <c r="AJ12" s="197"/>
      <c r="AK12" s="197"/>
      <c r="AL12" s="197"/>
    </row>
    <row r="13" spans="1:38" ht="3" customHeight="1">
      <c r="D13" s="77"/>
      <c r="E13" s="77"/>
      <c r="F13" s="99"/>
      <c r="G13" s="99"/>
      <c r="H13" s="77"/>
      <c r="I13" s="77"/>
      <c r="J13" s="77"/>
      <c r="K13" s="77"/>
      <c r="L13" s="77"/>
      <c r="M13" s="77"/>
      <c r="N13" s="77"/>
      <c r="O13" s="77"/>
      <c r="P13" s="28"/>
      <c r="Q13" s="28"/>
      <c r="R13" s="28"/>
      <c r="S13" s="28"/>
      <c r="T13" s="14"/>
      <c r="U13" s="191"/>
      <c r="V13" s="191"/>
      <c r="W13" s="191"/>
      <c r="X13" s="191"/>
      <c r="Y13" s="191"/>
      <c r="Z13" s="191"/>
      <c r="AA13" s="199"/>
      <c r="AB13" s="191"/>
      <c r="AC13" s="191"/>
      <c r="AD13" s="191"/>
      <c r="AE13" s="191"/>
      <c r="AF13" s="191"/>
      <c r="AG13" s="191"/>
      <c r="AH13" s="191"/>
      <c r="AI13" s="197"/>
      <c r="AJ13" s="197"/>
      <c r="AK13" s="197"/>
      <c r="AL13" s="197"/>
    </row>
    <row r="14" spans="1:38" ht="22.25" customHeight="1">
      <c r="D14" s="10"/>
      <c r="E14" s="77" t="str">
        <f>$AB$1+1&amp;"年度（第１年度）における下記燃料の年間使用量をご入力ください。"</f>
        <v>1年度（第１年度）における下記燃料の年間使用量をご入力ください。</v>
      </c>
      <c r="F14" s="290"/>
      <c r="G14" s="77"/>
      <c r="H14" s="77"/>
      <c r="I14" s="77"/>
      <c r="J14" s="77"/>
      <c r="K14" s="77"/>
      <c r="L14" s="77"/>
      <c r="M14" s="77"/>
      <c r="N14" s="77"/>
      <c r="O14" s="77"/>
      <c r="P14" s="274"/>
      <c r="Q14" s="274"/>
      <c r="R14" s="274"/>
      <c r="S14" s="274"/>
      <c r="T14" s="77"/>
      <c r="AI14" s="291"/>
      <c r="AJ14" s="291"/>
      <c r="AK14" s="291"/>
      <c r="AL14" s="291"/>
    </row>
    <row r="15" spans="1:38" ht="15" customHeight="1" thickBot="1">
      <c r="D15" s="77"/>
      <c r="E15" s="77"/>
      <c r="F15" s="77"/>
      <c r="G15" s="77"/>
      <c r="H15" s="77"/>
      <c r="I15" s="77"/>
      <c r="J15" s="77"/>
      <c r="K15" s="77"/>
      <c r="L15" s="77"/>
      <c r="M15" s="77"/>
      <c r="N15" s="77"/>
      <c r="O15" s="77"/>
      <c r="P15" s="274"/>
      <c r="Q15" s="274"/>
      <c r="R15" s="274"/>
      <c r="S15" s="274"/>
      <c r="T15" s="77"/>
      <c r="AI15" s="291"/>
      <c r="AJ15" s="291"/>
      <c r="AK15" s="291"/>
      <c r="AL15" s="291"/>
    </row>
    <row r="16" spans="1:38" ht="24.75" customHeight="1">
      <c r="D16" s="77"/>
      <c r="E16" s="872" t="s">
        <v>4214</v>
      </c>
      <c r="F16" s="873"/>
      <c r="G16" s="873"/>
      <c r="H16" s="873"/>
      <c r="I16" s="873"/>
      <c r="J16" s="873"/>
      <c r="K16" s="873"/>
      <c r="L16" s="874"/>
      <c r="M16" s="823" t="s">
        <v>89</v>
      </c>
      <c r="N16" s="825" t="s">
        <v>36</v>
      </c>
      <c r="O16" s="820" t="s">
        <v>74</v>
      </c>
      <c r="P16" s="820" t="s">
        <v>4344</v>
      </c>
      <c r="Q16" s="822" t="s">
        <v>4225</v>
      </c>
      <c r="R16" s="818" t="s">
        <v>4496</v>
      </c>
      <c r="S16" s="28"/>
      <c r="T16" s="77"/>
      <c r="U16" s="197"/>
      <c r="V16" s="191"/>
      <c r="W16" s="191"/>
      <c r="X16" s="191"/>
      <c r="Y16" s="191"/>
      <c r="Z16" s="191"/>
      <c r="AA16" s="191"/>
      <c r="AB16" s="191"/>
      <c r="AC16" s="199"/>
      <c r="AD16" s="191"/>
      <c r="AE16" s="191"/>
      <c r="AF16" s="191"/>
      <c r="AG16" s="191"/>
      <c r="AH16" s="191"/>
      <c r="AI16" s="191"/>
      <c r="AJ16" s="191"/>
    </row>
    <row r="17" spans="1:36" ht="18" customHeight="1">
      <c r="D17" s="77"/>
      <c r="E17" s="875"/>
      <c r="F17" s="876"/>
      <c r="G17" s="876"/>
      <c r="H17" s="876"/>
      <c r="I17" s="876"/>
      <c r="J17" s="876"/>
      <c r="K17" s="876"/>
      <c r="L17" s="877"/>
      <c r="M17" s="824"/>
      <c r="N17" s="937"/>
      <c r="O17" s="938"/>
      <c r="P17" s="938"/>
      <c r="Q17" s="939"/>
      <c r="R17" s="819"/>
      <c r="S17" s="28"/>
      <c r="T17" s="77"/>
      <c r="U17" s="197"/>
      <c r="V17" s="191"/>
      <c r="W17" s="191"/>
      <c r="X17" s="191"/>
      <c r="Y17" s="191"/>
      <c r="Z17" s="191"/>
      <c r="AA17" s="191"/>
      <c r="AB17" s="191"/>
      <c r="AC17" s="199"/>
      <c r="AD17" s="191"/>
      <c r="AE17" s="191"/>
      <c r="AF17" s="191"/>
      <c r="AG17" s="191"/>
      <c r="AH17" s="191"/>
      <c r="AI17" s="191"/>
      <c r="AJ17" s="191"/>
    </row>
    <row r="18" spans="1:36" ht="18" customHeight="1">
      <c r="D18" s="77"/>
      <c r="E18" s="887" t="s">
        <v>4430</v>
      </c>
      <c r="F18" s="888"/>
      <c r="G18" s="888"/>
      <c r="H18" s="888"/>
      <c r="I18" s="888"/>
      <c r="J18" s="888"/>
      <c r="K18" s="888"/>
      <c r="L18" s="889"/>
      <c r="M18" s="675"/>
      <c r="N18" s="56" t="s">
        <v>4113</v>
      </c>
      <c r="O18" s="722"/>
      <c r="P18" s="276"/>
      <c r="Q18" s="277"/>
      <c r="R18" s="278"/>
      <c r="S18" s="28"/>
      <c r="T18" s="77"/>
      <c r="U18" s="197"/>
      <c r="V18" s="191"/>
      <c r="W18" s="191"/>
      <c r="X18" s="191"/>
      <c r="Y18" s="191"/>
      <c r="Z18" s="191"/>
      <c r="AA18" s="191"/>
      <c r="AB18" s="191"/>
      <c r="AC18" s="199"/>
      <c r="AD18" s="191"/>
      <c r="AE18" s="191"/>
      <c r="AF18" s="191"/>
      <c r="AG18" s="191"/>
      <c r="AH18" s="191"/>
      <c r="AI18" s="191"/>
      <c r="AJ18" s="191"/>
    </row>
    <row r="19" spans="1:36" ht="18" customHeight="1">
      <c r="D19" s="77"/>
      <c r="E19" s="890" t="s">
        <v>40</v>
      </c>
      <c r="F19" s="891"/>
      <c r="G19" s="891"/>
      <c r="H19" s="891"/>
      <c r="I19" s="891"/>
      <c r="J19" s="891"/>
      <c r="K19" s="891"/>
      <c r="L19" s="892"/>
      <c r="M19" s="676"/>
      <c r="N19" s="57" t="s">
        <v>4113</v>
      </c>
      <c r="O19" s="279"/>
      <c r="P19" s="279"/>
      <c r="Q19" s="277"/>
      <c r="R19" s="278"/>
      <c r="S19" s="28"/>
      <c r="T19" s="77"/>
      <c r="U19" s="197"/>
      <c r="V19" s="191"/>
      <c r="W19" s="191"/>
      <c r="X19" s="191"/>
      <c r="Y19" s="191"/>
      <c r="Z19" s="191"/>
      <c r="AA19" s="191"/>
      <c r="AB19" s="191"/>
      <c r="AC19" s="199"/>
      <c r="AD19" s="191"/>
      <c r="AE19" s="191"/>
      <c r="AF19" s="191"/>
      <c r="AG19" s="191"/>
      <c r="AH19" s="191"/>
      <c r="AI19" s="191"/>
      <c r="AJ19" s="191"/>
    </row>
    <row r="20" spans="1:36" ht="18" customHeight="1">
      <c r="D20" s="77"/>
      <c r="E20" s="890" t="s">
        <v>4431</v>
      </c>
      <c r="F20" s="891"/>
      <c r="G20" s="891"/>
      <c r="H20" s="891"/>
      <c r="I20" s="891"/>
      <c r="J20" s="891"/>
      <c r="K20" s="891"/>
      <c r="L20" s="892"/>
      <c r="M20" s="676"/>
      <c r="N20" s="57" t="s">
        <v>4112</v>
      </c>
      <c r="O20" s="279"/>
      <c r="P20" s="279"/>
      <c r="Q20" s="277"/>
      <c r="R20" s="278"/>
      <c r="S20" s="28"/>
      <c r="T20" s="77"/>
      <c r="U20" s="197"/>
      <c r="V20" s="191"/>
      <c r="W20" s="191"/>
      <c r="X20" s="191"/>
      <c r="Y20" s="191"/>
      <c r="Z20" s="191"/>
      <c r="AA20" s="191"/>
      <c r="AB20" s="191"/>
      <c r="AC20" s="199"/>
      <c r="AD20" s="191"/>
      <c r="AE20" s="191"/>
      <c r="AF20" s="191"/>
      <c r="AG20" s="191"/>
      <c r="AH20" s="191"/>
      <c r="AI20" s="191"/>
      <c r="AJ20" s="191"/>
    </row>
    <row r="21" spans="1:36" ht="18" customHeight="1">
      <c r="D21" s="77"/>
      <c r="E21" s="890" t="s">
        <v>4432</v>
      </c>
      <c r="F21" s="891"/>
      <c r="G21" s="891"/>
      <c r="H21" s="891"/>
      <c r="I21" s="891"/>
      <c r="J21" s="891"/>
      <c r="K21" s="891"/>
      <c r="L21" s="892"/>
      <c r="M21" s="676"/>
      <c r="N21" s="57" t="s">
        <v>4112</v>
      </c>
      <c r="O21" s="279"/>
      <c r="P21" s="279"/>
      <c r="Q21" s="277"/>
      <c r="R21" s="278"/>
      <c r="S21" s="28"/>
      <c r="T21" s="77"/>
      <c r="U21" s="197"/>
      <c r="V21" s="191"/>
      <c r="W21" s="191"/>
      <c r="X21" s="191"/>
      <c r="Y21" s="191"/>
      <c r="Z21" s="191"/>
      <c r="AA21" s="191"/>
      <c r="AB21" s="191"/>
      <c r="AC21" s="199"/>
      <c r="AD21" s="191"/>
      <c r="AE21" s="191"/>
      <c r="AF21" s="191"/>
      <c r="AG21" s="191"/>
      <c r="AH21" s="191"/>
      <c r="AI21" s="191"/>
      <c r="AJ21" s="191"/>
    </row>
    <row r="22" spans="1:36" ht="18" customHeight="1">
      <c r="D22" s="77"/>
      <c r="E22" s="890" t="s">
        <v>4433</v>
      </c>
      <c r="F22" s="891"/>
      <c r="G22" s="891"/>
      <c r="H22" s="891"/>
      <c r="I22" s="891"/>
      <c r="J22" s="891"/>
      <c r="K22" s="891"/>
      <c r="L22" s="892"/>
      <c r="M22" s="676"/>
      <c r="N22" s="57" t="s">
        <v>4535</v>
      </c>
      <c r="O22" s="279"/>
      <c r="P22" s="279"/>
      <c r="Q22" s="277"/>
      <c r="R22" s="278"/>
      <c r="S22" s="28"/>
      <c r="T22" s="77"/>
      <c r="U22" s="197"/>
      <c r="V22" s="191"/>
      <c r="W22" s="191"/>
      <c r="X22" s="191"/>
      <c r="Y22" s="191"/>
      <c r="Z22" s="191"/>
      <c r="AA22" s="191"/>
      <c r="AB22" s="191"/>
      <c r="AC22" s="199"/>
      <c r="AD22" s="191"/>
      <c r="AE22" s="191"/>
      <c r="AF22" s="191"/>
      <c r="AG22" s="191"/>
      <c r="AH22" s="191"/>
      <c r="AI22" s="191"/>
      <c r="AJ22" s="191"/>
    </row>
    <row r="23" spans="1:36" ht="18" customHeight="1">
      <c r="D23" s="77"/>
      <c r="E23" s="890" t="s">
        <v>4413</v>
      </c>
      <c r="F23" s="891"/>
      <c r="G23" s="891"/>
      <c r="H23" s="891"/>
      <c r="I23" s="891"/>
      <c r="J23" s="891"/>
      <c r="K23" s="891"/>
      <c r="L23" s="892"/>
      <c r="M23" s="676"/>
      <c r="N23" s="57" t="s">
        <v>4112</v>
      </c>
      <c r="O23" s="279"/>
      <c r="P23" s="279"/>
      <c r="Q23" s="277"/>
      <c r="R23" s="278"/>
      <c r="S23" s="28"/>
      <c r="T23" s="77"/>
      <c r="U23" s="191"/>
      <c r="V23" s="191"/>
      <c r="W23" s="191"/>
      <c r="X23" s="191"/>
      <c r="Y23" s="191"/>
      <c r="Z23" s="191"/>
      <c r="AA23" s="191"/>
      <c r="AB23" s="199"/>
      <c r="AC23" s="191"/>
      <c r="AD23" s="191"/>
      <c r="AE23" s="191"/>
    </row>
    <row r="24" spans="1:36" ht="18" customHeight="1">
      <c r="D24" s="77"/>
      <c r="E24" s="890" t="s">
        <v>4512</v>
      </c>
      <c r="F24" s="891"/>
      <c r="G24" s="891"/>
      <c r="H24" s="891"/>
      <c r="I24" s="891"/>
      <c r="J24" s="891"/>
      <c r="K24" s="891"/>
      <c r="L24" s="892"/>
      <c r="M24" s="676"/>
      <c r="N24" s="57" t="s">
        <v>4113</v>
      </c>
      <c r="O24" s="279"/>
      <c r="P24" s="279"/>
      <c r="Q24" s="277"/>
      <c r="R24" s="278"/>
      <c r="S24" s="28"/>
      <c r="T24" s="77"/>
      <c r="U24" s="197"/>
      <c r="V24" s="191"/>
      <c r="W24" s="191"/>
      <c r="X24" s="191"/>
      <c r="Y24" s="191"/>
      <c r="Z24" s="191"/>
      <c r="AA24" s="191"/>
      <c r="AB24" s="191"/>
      <c r="AC24" s="199"/>
      <c r="AD24" s="191"/>
      <c r="AE24" s="191"/>
      <c r="AF24" s="191"/>
    </row>
    <row r="25" spans="1:36" ht="18" customHeight="1">
      <c r="D25" s="77"/>
      <c r="E25" s="890" t="s">
        <v>4513</v>
      </c>
      <c r="F25" s="891"/>
      <c r="G25" s="891"/>
      <c r="H25" s="891"/>
      <c r="I25" s="891"/>
      <c r="J25" s="891"/>
      <c r="K25" s="891"/>
      <c r="L25" s="892"/>
      <c r="M25" s="676"/>
      <c r="N25" s="57" t="s">
        <v>4113</v>
      </c>
      <c r="O25" s="279"/>
      <c r="P25" s="279"/>
      <c r="Q25" s="277"/>
      <c r="R25" s="278"/>
      <c r="S25" s="28"/>
      <c r="T25" s="77"/>
      <c r="U25" s="197"/>
      <c r="V25" s="191"/>
      <c r="W25" s="191"/>
      <c r="X25" s="191"/>
      <c r="Y25" s="191"/>
      <c r="Z25" s="191"/>
      <c r="AA25" s="191"/>
      <c r="AB25" s="191"/>
      <c r="AC25" s="199"/>
      <c r="AD25" s="191"/>
      <c r="AE25" s="191"/>
      <c r="AF25" s="191"/>
      <c r="AG25" s="191"/>
    </row>
    <row r="26" spans="1:36" ht="18" customHeight="1" thickBot="1">
      <c r="D26" s="77"/>
      <c r="E26" s="893" t="s">
        <v>4406</v>
      </c>
      <c r="F26" s="894"/>
      <c r="G26" s="885"/>
      <c r="H26" s="885"/>
      <c r="I26" s="885"/>
      <c r="J26" s="885"/>
      <c r="K26" s="885"/>
      <c r="L26" s="886"/>
      <c r="M26" s="677"/>
      <c r="N26" s="679"/>
      <c r="O26" s="680"/>
      <c r="P26" s="681"/>
      <c r="Q26" s="152"/>
      <c r="R26" s="139"/>
      <c r="S26" s="14"/>
      <c r="T26" s="77"/>
      <c r="U26" s="191"/>
      <c r="V26" s="191"/>
      <c r="W26" s="191"/>
      <c r="X26" s="191"/>
      <c r="Y26" s="191"/>
      <c r="Z26" s="199"/>
      <c r="AA26" s="191"/>
      <c r="AB26" s="191"/>
      <c r="AC26" s="191"/>
      <c r="AD26" s="191"/>
      <c r="AE26" s="191"/>
      <c r="AF26" s="191"/>
      <c r="AG26" s="191"/>
      <c r="AH26" s="197"/>
      <c r="AI26" s="197"/>
      <c r="AJ26" s="197"/>
    </row>
    <row r="27" spans="1:36" s="191" customFormat="1" ht="19.25" customHeight="1">
      <c r="A27" s="187"/>
      <c r="B27" s="187"/>
      <c r="C27" s="188"/>
      <c r="D27" s="14"/>
      <c r="E27" s="14"/>
      <c r="F27" s="14"/>
      <c r="G27" s="14"/>
      <c r="H27" s="105"/>
      <c r="I27" s="105"/>
      <c r="J27" s="106"/>
      <c r="K27" s="107"/>
      <c r="L27" s="79"/>
      <c r="M27" s="28"/>
      <c r="N27" s="14"/>
      <c r="O27" s="14"/>
      <c r="P27" s="14"/>
      <c r="Q27" s="108"/>
      <c r="R27" s="108"/>
      <c r="S27" s="77"/>
      <c r="T27" s="109"/>
      <c r="U27" s="209"/>
      <c r="V27" s="209"/>
      <c r="W27" s="209"/>
      <c r="X27" s="209"/>
      <c r="Y27" s="209"/>
      <c r="Z27" s="209"/>
      <c r="AA27" s="199"/>
    </row>
    <row r="28" spans="1:36" s="191" customFormat="1" ht="18" customHeight="1">
      <c r="A28" s="187"/>
      <c r="B28" s="187"/>
      <c r="C28" s="188"/>
      <c r="D28" s="32"/>
      <c r="E28" s="14"/>
      <c r="F28" s="14"/>
      <c r="G28" s="14"/>
      <c r="H28" s="28"/>
      <c r="I28" s="28"/>
      <c r="J28" s="28"/>
      <c r="K28" s="28"/>
      <c r="L28" s="28"/>
      <c r="M28" s="28"/>
      <c r="N28" s="28"/>
      <c r="O28" s="28"/>
      <c r="P28" s="28"/>
      <c r="Q28" s="14"/>
      <c r="R28" s="28"/>
      <c r="S28" s="28"/>
      <c r="T28" s="14"/>
      <c r="Z28" s="200"/>
      <c r="AA28" s="201"/>
      <c r="AB28" s="200"/>
      <c r="AC28" s="200"/>
      <c r="AD28" s="200"/>
      <c r="AE28" s="200"/>
      <c r="AJ28" s="208"/>
    </row>
    <row r="29" spans="1:36" s="191" customFormat="1" ht="18" customHeight="1">
      <c r="A29" s="187"/>
      <c r="B29" s="187"/>
      <c r="C29" s="188"/>
      <c r="D29" s="34" t="s">
        <v>4522</v>
      </c>
      <c r="E29" s="14"/>
      <c r="F29" s="14"/>
      <c r="G29" s="14"/>
      <c r="H29" s="28"/>
      <c r="I29" s="28"/>
      <c r="J29" s="28"/>
      <c r="K29" s="28"/>
      <c r="L29" s="28"/>
      <c r="M29" s="28"/>
      <c r="N29" s="28"/>
      <c r="O29" s="28"/>
      <c r="P29" s="28"/>
      <c r="Q29" s="28"/>
      <c r="R29" s="28"/>
      <c r="S29" s="28"/>
      <c r="T29" s="14"/>
      <c r="Y29" s="200"/>
      <c r="Z29" s="200"/>
      <c r="AA29" s="201"/>
      <c r="AB29" s="200"/>
      <c r="AC29" s="200"/>
      <c r="AD29" s="200"/>
      <c r="AJ29" s="208"/>
    </row>
    <row r="30" spans="1:36" s="191" customFormat="1" ht="18" customHeight="1">
      <c r="A30" s="187"/>
      <c r="B30" s="187"/>
      <c r="C30" s="188"/>
      <c r="D30" s="34"/>
      <c r="E30" s="14"/>
      <c r="F30" s="14"/>
      <c r="G30" s="14"/>
      <c r="H30" s="28"/>
      <c r="I30" s="28"/>
      <c r="J30" s="28"/>
      <c r="K30" s="28"/>
      <c r="L30" s="28"/>
      <c r="M30" s="28"/>
      <c r="N30" s="28"/>
      <c r="O30" s="28"/>
      <c r="P30" s="28"/>
      <c r="Q30" s="28"/>
      <c r="R30" s="28"/>
      <c r="S30" s="28"/>
      <c r="T30" s="14"/>
      <c r="Y30" s="200"/>
      <c r="Z30" s="200"/>
      <c r="AA30" s="201"/>
      <c r="AB30" s="200"/>
      <c r="AC30" s="200"/>
      <c r="AD30" s="200"/>
      <c r="AJ30" s="208"/>
    </row>
    <row r="31" spans="1:36" s="191" customFormat="1" ht="18" customHeight="1">
      <c r="A31" s="187"/>
      <c r="B31" s="187"/>
      <c r="C31" s="188"/>
      <c r="D31" s="31"/>
      <c r="E31" s="16" t="s">
        <v>4515</v>
      </c>
      <c r="F31" s="24"/>
      <c r="G31" s="24"/>
      <c r="H31" s="24"/>
      <c r="I31" s="24"/>
      <c r="J31" s="47"/>
      <c r="K31" s="102"/>
      <c r="L31" s="32"/>
      <c r="M31" s="32"/>
      <c r="N31" s="32"/>
      <c r="O31" s="32"/>
      <c r="P31" s="32"/>
      <c r="Q31" s="31"/>
      <c r="R31" s="31"/>
      <c r="S31" s="31"/>
      <c r="T31" s="31"/>
      <c r="U31" s="200"/>
      <c r="Y31" s="210"/>
      <c r="AA31" s="199"/>
    </row>
    <row r="32" spans="1:36" s="191" customFormat="1" ht="18" customHeight="1">
      <c r="A32" s="187"/>
      <c r="B32" s="187"/>
      <c r="C32" s="188"/>
      <c r="D32" s="34"/>
      <c r="E32" s="14"/>
      <c r="F32" s="99" t="s">
        <v>4285</v>
      </c>
      <c r="G32" s="99" t="s">
        <v>4278</v>
      </c>
      <c r="H32" s="28"/>
      <c r="I32" s="28"/>
      <c r="J32" s="28"/>
      <c r="K32" s="28"/>
      <c r="L32" s="28"/>
      <c r="M32" s="28"/>
      <c r="N32" s="28"/>
      <c r="O32" s="28"/>
      <c r="P32" s="28"/>
      <c r="Q32" s="28"/>
      <c r="R32" s="28"/>
      <c r="S32" s="28"/>
      <c r="T32" s="14"/>
      <c r="Y32" s="200"/>
      <c r="Z32" s="200"/>
      <c r="AA32" s="201"/>
      <c r="AB32" s="200"/>
      <c r="AC32" s="200"/>
      <c r="AD32" s="200"/>
    </row>
    <row r="33" spans="1:41" s="191" customFormat="1" ht="3" customHeight="1">
      <c r="A33" s="187"/>
      <c r="B33" s="187"/>
      <c r="C33" s="188"/>
      <c r="D33" s="34"/>
      <c r="E33" s="14"/>
      <c r="F33" s="14"/>
      <c r="G33" s="14"/>
      <c r="H33" s="28"/>
      <c r="I33" s="28"/>
      <c r="J33" s="28"/>
      <c r="K33" s="28"/>
      <c r="L33" s="28"/>
      <c r="M33" s="14"/>
      <c r="N33" s="28"/>
      <c r="O33" s="28"/>
      <c r="P33" s="28"/>
      <c r="Q33" s="28"/>
      <c r="R33" s="28"/>
      <c r="S33" s="28"/>
      <c r="T33" s="14"/>
      <c r="Y33" s="200"/>
      <c r="Z33" s="200"/>
      <c r="AA33" s="201"/>
      <c r="AB33" s="200"/>
      <c r="AC33" s="200"/>
      <c r="AD33" s="200"/>
      <c r="AJ33" s="208"/>
    </row>
    <row r="34" spans="1:41" s="191" customFormat="1" ht="18" customHeight="1">
      <c r="A34" s="187"/>
      <c r="B34" s="187"/>
      <c r="C34" s="188"/>
      <c r="D34" s="32"/>
      <c r="E34" s="14"/>
      <c r="F34" s="14"/>
      <c r="G34" s="14"/>
      <c r="H34" s="28"/>
      <c r="I34" s="28"/>
      <c r="J34" s="28"/>
      <c r="K34" s="28"/>
      <c r="L34" s="28"/>
      <c r="M34" s="28"/>
      <c r="N34" s="28"/>
      <c r="O34" s="28"/>
      <c r="P34" s="28"/>
      <c r="Q34" s="14"/>
      <c r="R34" s="28"/>
      <c r="S34" s="28"/>
      <c r="T34" s="14"/>
      <c r="Z34" s="200"/>
      <c r="AA34" s="201"/>
      <c r="AB34" s="200"/>
      <c r="AC34" s="200"/>
      <c r="AD34" s="200"/>
      <c r="AE34" s="200"/>
      <c r="AJ34" s="208"/>
    </row>
    <row r="35" spans="1:41" s="191" customFormat="1" ht="18" customHeight="1">
      <c r="A35" s="187"/>
      <c r="B35" s="187"/>
      <c r="C35" s="188"/>
      <c r="D35" s="32"/>
      <c r="E35" s="16" t="s">
        <v>4514</v>
      </c>
      <c r="F35" s="24"/>
      <c r="G35" s="14"/>
      <c r="H35" s="14"/>
      <c r="I35" s="14"/>
      <c r="J35" s="14"/>
      <c r="K35" s="14"/>
      <c r="L35" s="14"/>
      <c r="M35" s="14"/>
      <c r="N35" s="14"/>
      <c r="O35" s="14"/>
      <c r="P35" s="14"/>
      <c r="Q35" s="14"/>
      <c r="R35" s="28"/>
      <c r="S35" s="28"/>
      <c r="T35" s="14"/>
      <c r="Z35" s="200"/>
      <c r="AA35" s="201"/>
      <c r="AB35" s="200"/>
      <c r="AC35" s="200"/>
      <c r="AD35" s="200"/>
      <c r="AE35" s="200"/>
      <c r="AJ35" s="208"/>
    </row>
    <row r="36" spans="1:41" s="191" customFormat="1" ht="18" customHeight="1">
      <c r="A36" s="187"/>
      <c r="B36" s="187"/>
      <c r="C36" s="188"/>
      <c r="D36" s="32"/>
      <c r="E36" s="77"/>
      <c r="F36" s="99" t="s">
        <v>4285</v>
      </c>
      <c r="G36" s="99" t="s">
        <v>4278</v>
      </c>
      <c r="H36" s="14"/>
      <c r="I36" s="14"/>
      <c r="J36" s="14"/>
      <c r="K36" s="14"/>
      <c r="L36" s="14"/>
      <c r="M36" s="14"/>
      <c r="N36" s="14"/>
      <c r="O36" s="14"/>
      <c r="P36" s="14"/>
      <c r="Q36" s="14"/>
      <c r="R36" s="28"/>
      <c r="S36" s="28"/>
      <c r="T36" s="24"/>
      <c r="Z36" s="200"/>
      <c r="AA36" s="227" t="str">
        <f>IF(OR(C32=2,C36=2)=TRUE,"検索ツール画像B","検索ツール画像A")</f>
        <v>検索ツール画像A</v>
      </c>
      <c r="AB36" s="200"/>
      <c r="AC36" s="200"/>
      <c r="AD36" s="200"/>
      <c r="AE36" s="200"/>
      <c r="AJ36" s="208"/>
    </row>
    <row r="37" spans="1:41" s="191" customFormat="1" ht="3" customHeight="1">
      <c r="A37" s="187"/>
      <c r="B37" s="187"/>
      <c r="C37" s="188"/>
      <c r="D37" s="32"/>
      <c r="E37" s="77"/>
      <c r="F37" s="99"/>
      <c r="G37" s="99"/>
      <c r="H37" s="14"/>
      <c r="I37" s="14"/>
      <c r="J37" s="14"/>
      <c r="K37" s="14"/>
      <c r="L37" s="14"/>
      <c r="M37" s="14"/>
      <c r="N37" s="14"/>
      <c r="O37" s="14"/>
      <c r="P37" s="14"/>
      <c r="Q37" s="14"/>
      <c r="R37" s="28"/>
      <c r="S37" s="28"/>
      <c r="T37" s="14"/>
      <c r="Z37" s="200"/>
      <c r="AA37" s="201"/>
      <c r="AB37" s="200"/>
      <c r="AC37" s="200"/>
      <c r="AD37" s="200"/>
      <c r="AE37" s="200"/>
    </row>
    <row r="38" spans="1:41" s="191" customFormat="1" ht="18" customHeight="1">
      <c r="A38" s="187"/>
      <c r="B38" s="187"/>
      <c r="C38" s="284"/>
      <c r="D38" s="14"/>
      <c r="E38" s="14"/>
      <c r="F38" s="14" t="str">
        <f xml:space="preserve"> $AB$1+1 &amp;"年度（第１年度）における電気事業者との契約メニュー、買電量（車両の充電に使用した電力量）、排出係数をご入力ください。"</f>
        <v>1年度（第１年度）における電気事業者との契約メニュー、買電量（車両の充電に使用した電力量）、排出係数をご入力ください。</v>
      </c>
      <c r="G38" s="14"/>
      <c r="H38" s="24"/>
      <c r="I38" s="14"/>
      <c r="J38" s="14"/>
      <c r="K38" s="14"/>
      <c r="L38" s="14"/>
      <c r="M38" s="14"/>
      <c r="N38" s="14"/>
      <c r="O38" s="14"/>
      <c r="P38" s="14"/>
      <c r="Q38" s="14"/>
      <c r="R38" s="28"/>
      <c r="S38" s="28"/>
      <c r="T38" s="14"/>
      <c r="Z38" s="286"/>
      <c r="AA38" s="287"/>
      <c r="AB38" s="286"/>
      <c r="AC38" s="286"/>
      <c r="AD38" s="286"/>
      <c r="AE38" s="286"/>
    </row>
    <row r="39" spans="1:41" s="191" customFormat="1" ht="18" customHeight="1">
      <c r="A39" s="187"/>
      <c r="B39" s="187"/>
      <c r="C39" s="284"/>
      <c r="D39" s="14"/>
      <c r="E39" s="14"/>
      <c r="F39" s="14" t="str">
        <f>$AB$1+1&amp;"年度（第１年度）において、複数の契約や、年度途中の契約の変更があった場合には、全ての情報を入力してください。"</f>
        <v>1年度（第１年度）において、複数の契約や、年度途中の契約の変更があった場合には、全ての情報を入力してください。</v>
      </c>
      <c r="G39" s="14"/>
      <c r="H39" s="14"/>
      <c r="I39" s="14"/>
      <c r="J39" s="14"/>
      <c r="K39" s="14"/>
      <c r="L39" s="14"/>
      <c r="M39" s="14"/>
      <c r="N39" s="14"/>
      <c r="O39" s="14"/>
      <c r="P39" s="14"/>
      <c r="Q39" s="14"/>
      <c r="R39" s="28"/>
      <c r="S39" s="28"/>
      <c r="T39" s="14"/>
      <c r="Z39" s="286"/>
      <c r="AA39" s="287"/>
      <c r="AB39" s="286"/>
      <c r="AC39" s="286"/>
      <c r="AD39" s="286"/>
      <c r="AE39" s="286"/>
    </row>
    <row r="40" spans="1:41" s="191" customFormat="1" ht="18" customHeight="1">
      <c r="A40" s="187"/>
      <c r="B40" s="187"/>
      <c r="C40" s="284"/>
      <c r="D40" s="14"/>
      <c r="E40" s="14"/>
      <c r="F40" s="38" t="s">
        <v>4376</v>
      </c>
      <c r="G40" s="14"/>
      <c r="H40" s="14"/>
      <c r="I40" s="14"/>
      <c r="J40" s="14"/>
      <c r="K40" s="14"/>
      <c r="L40" s="14"/>
      <c r="M40" s="14"/>
      <c r="N40" s="14"/>
      <c r="O40" s="14"/>
      <c r="P40" s="14"/>
      <c r="Q40" s="14"/>
      <c r="R40" s="28"/>
      <c r="S40" s="28"/>
      <c r="T40" s="14"/>
      <c r="Z40" s="286"/>
      <c r="AA40" s="287"/>
      <c r="AB40" s="286"/>
      <c r="AC40" s="286"/>
      <c r="AD40" s="286"/>
      <c r="AE40" s="286"/>
    </row>
    <row r="41" spans="1:41" s="191" customFormat="1" ht="18" customHeight="1">
      <c r="A41" s="187"/>
      <c r="B41" s="187"/>
      <c r="C41" s="284"/>
      <c r="D41" s="288"/>
      <c r="E41" s="14"/>
      <c r="F41" s="904" t="s">
        <v>4528</v>
      </c>
      <c r="G41" s="904"/>
      <c r="H41" s="904"/>
      <c r="I41" s="904"/>
      <c r="J41" s="904"/>
      <c r="K41" s="904"/>
      <c r="L41" s="904"/>
      <c r="M41" s="904"/>
      <c r="N41" s="14"/>
      <c r="O41" s="14"/>
      <c r="P41" s="14"/>
      <c r="Q41" s="14"/>
      <c r="R41" s="28"/>
      <c r="S41" s="28"/>
      <c r="T41" s="14"/>
      <c r="Z41" s="286"/>
      <c r="AA41" s="287"/>
      <c r="AB41" s="286"/>
      <c r="AC41" s="286"/>
      <c r="AD41" s="286"/>
      <c r="AE41" s="286"/>
    </row>
    <row r="42" spans="1:41" s="191" customFormat="1" ht="18" customHeight="1" thickBot="1">
      <c r="A42" s="187"/>
      <c r="B42" s="187"/>
      <c r="C42" s="284"/>
      <c r="D42" s="288"/>
      <c r="E42" s="14"/>
      <c r="F42" s="155" t="s">
        <v>4373</v>
      </c>
      <c r="G42" s="14"/>
      <c r="H42" s="14"/>
      <c r="I42" s="14"/>
      <c r="J42" s="14"/>
      <c r="K42" s="14"/>
      <c r="L42" s="14"/>
      <c r="M42" s="14"/>
      <c r="N42" s="14"/>
      <c r="O42" s="14"/>
      <c r="P42" s="14"/>
      <c r="Q42" s="14"/>
      <c r="R42" s="28"/>
      <c r="S42" s="28"/>
      <c r="T42" s="14"/>
      <c r="Z42" s="286"/>
      <c r="AA42" s="287"/>
      <c r="AB42" s="286"/>
      <c r="AC42" s="286"/>
      <c r="AD42" s="286"/>
      <c r="AE42" s="286"/>
    </row>
    <row r="43" spans="1:41" ht="33" customHeight="1">
      <c r="D43" s="77"/>
      <c r="E43" s="77"/>
      <c r="F43" s="45" t="s">
        <v>4372</v>
      </c>
      <c r="G43" s="46" t="s">
        <v>4529</v>
      </c>
      <c r="H43" s="46"/>
      <c r="I43" s="294" t="s">
        <v>4541</v>
      </c>
      <c r="J43" s="280"/>
      <c r="K43" s="13"/>
      <c r="L43" s="13"/>
      <c r="M43" s="77"/>
      <c r="N43" s="77"/>
      <c r="O43" s="77"/>
      <c r="P43" s="77"/>
      <c r="Q43" s="77"/>
      <c r="R43" s="77"/>
      <c r="S43" s="28"/>
      <c r="T43" s="28"/>
      <c r="U43" s="197"/>
      <c r="V43" s="197"/>
      <c r="W43" s="191"/>
      <c r="X43" s="191"/>
      <c r="Y43" s="191"/>
      <c r="Z43" s="191"/>
      <c r="AA43" s="191"/>
      <c r="AB43" s="191"/>
      <c r="AC43" s="191"/>
      <c r="AD43" s="199"/>
      <c r="AE43" s="191"/>
      <c r="AF43" s="191"/>
      <c r="AG43" s="191"/>
      <c r="AH43" s="191"/>
      <c r="AI43" s="191"/>
      <c r="AJ43" s="191"/>
      <c r="AK43" s="191"/>
      <c r="AL43" s="197"/>
      <c r="AM43" s="197"/>
      <c r="AN43" s="197"/>
      <c r="AO43" s="197"/>
    </row>
    <row r="44" spans="1:41" ht="18" customHeight="1">
      <c r="D44" s="77"/>
      <c r="E44" s="77"/>
      <c r="F44" s="137"/>
      <c r="G44" s="897"/>
      <c r="H44" s="898"/>
      <c r="I44" s="883"/>
      <c r="J44" s="884"/>
      <c r="K44" s="13"/>
      <c r="L44" s="13"/>
      <c r="M44" s="79"/>
      <c r="N44" s="100"/>
      <c r="O44" s="101"/>
      <c r="P44" s="100"/>
      <c r="Q44" s="100"/>
      <c r="R44" s="102"/>
      <c r="S44" s="31"/>
      <c r="T44" s="31"/>
      <c r="U44" s="197"/>
      <c r="V44" s="197"/>
      <c r="W44" s="191"/>
      <c r="X44" s="191"/>
      <c r="Y44" s="191"/>
      <c r="Z44" s="191"/>
      <c r="AA44" s="191"/>
      <c r="AB44" s="191"/>
      <c r="AC44" s="191"/>
      <c r="AD44" s="199"/>
      <c r="AE44" s="191"/>
      <c r="AF44" s="191"/>
      <c r="AG44" s="191"/>
      <c r="AH44" s="191"/>
      <c r="AI44" s="191"/>
      <c r="AJ44" s="191"/>
      <c r="AK44" s="191"/>
    </row>
    <row r="45" spans="1:41" ht="18" customHeight="1">
      <c r="D45" s="77"/>
      <c r="E45" s="77"/>
      <c r="F45" s="137"/>
      <c r="G45" s="897"/>
      <c r="H45" s="898"/>
      <c r="I45" s="883"/>
      <c r="J45" s="884"/>
      <c r="K45" s="13"/>
      <c r="L45" s="13"/>
      <c r="M45" s="100"/>
      <c r="N45" s="100"/>
      <c r="O45" s="103"/>
      <c r="P45" s="100"/>
      <c r="Q45" s="100"/>
      <c r="R45" s="102"/>
      <c r="S45" s="31"/>
      <c r="T45" s="31"/>
      <c r="U45" s="197"/>
      <c r="V45" s="197"/>
      <c r="W45" s="191"/>
      <c r="X45" s="191"/>
      <c r="Y45" s="191"/>
      <c r="Z45" s="191"/>
      <c r="AA45" s="191"/>
      <c r="AB45" s="191"/>
      <c r="AC45" s="191"/>
      <c r="AD45" s="199"/>
      <c r="AE45" s="191"/>
      <c r="AF45" s="191"/>
      <c r="AG45" s="191"/>
      <c r="AH45" s="191"/>
      <c r="AI45" s="191"/>
      <c r="AJ45" s="191"/>
      <c r="AK45" s="191"/>
    </row>
    <row r="46" spans="1:41" ht="18" customHeight="1">
      <c r="D46" s="77"/>
      <c r="E46" s="77"/>
      <c r="F46" s="137"/>
      <c r="G46" s="897"/>
      <c r="H46" s="898"/>
      <c r="I46" s="883"/>
      <c r="J46" s="884"/>
      <c r="K46" s="13"/>
      <c r="L46" s="13"/>
      <c r="M46" s="100"/>
      <c r="N46" s="100"/>
      <c r="O46" s="103"/>
      <c r="P46" s="100"/>
      <c r="Q46" s="100"/>
      <c r="R46" s="102"/>
      <c r="S46" s="31"/>
      <c r="T46" s="31"/>
      <c r="U46" s="197"/>
      <c r="V46" s="197"/>
      <c r="W46" s="191"/>
      <c r="X46" s="191"/>
      <c r="Y46" s="191"/>
      <c r="Z46" s="191"/>
      <c r="AA46" s="191"/>
      <c r="AB46" s="191"/>
      <c r="AC46" s="191"/>
      <c r="AD46" s="199"/>
      <c r="AE46" s="191"/>
      <c r="AF46" s="191"/>
      <c r="AG46" s="191"/>
      <c r="AH46" s="191"/>
      <c r="AI46" s="191"/>
      <c r="AJ46" s="191"/>
      <c r="AK46" s="191"/>
    </row>
    <row r="47" spans="1:41" ht="18" customHeight="1">
      <c r="D47" s="77"/>
      <c r="E47" s="77"/>
      <c r="F47" s="137"/>
      <c r="G47" s="897"/>
      <c r="H47" s="898"/>
      <c r="I47" s="883"/>
      <c r="J47" s="884"/>
      <c r="K47" s="13"/>
      <c r="L47" s="13"/>
      <c r="M47" s="100"/>
      <c r="N47" s="100"/>
      <c r="O47" s="103"/>
      <c r="P47" s="100"/>
      <c r="Q47" s="100"/>
      <c r="R47" s="102"/>
      <c r="S47" s="31"/>
      <c r="T47" s="31"/>
      <c r="U47" s="197"/>
      <c r="V47" s="197"/>
      <c r="W47" s="191"/>
      <c r="X47" s="191"/>
      <c r="Y47" s="191"/>
      <c r="Z47" s="191"/>
      <c r="AA47" s="191"/>
      <c r="AB47" s="191"/>
      <c r="AC47" s="191"/>
      <c r="AD47" s="199"/>
      <c r="AE47" s="191"/>
      <c r="AF47" s="191"/>
      <c r="AG47" s="191"/>
      <c r="AH47" s="191"/>
      <c r="AI47" s="191"/>
      <c r="AJ47" s="191"/>
      <c r="AK47" s="191"/>
    </row>
    <row r="48" spans="1:41" ht="18" customHeight="1" thickBot="1">
      <c r="D48" s="77"/>
      <c r="E48" s="77"/>
      <c r="F48" s="138"/>
      <c r="G48" s="895"/>
      <c r="H48" s="896"/>
      <c r="I48" s="900"/>
      <c r="J48" s="901"/>
      <c r="K48" s="13"/>
      <c r="L48" s="13"/>
      <c r="M48" s="100"/>
      <c r="N48" s="100"/>
      <c r="O48" s="103"/>
      <c r="P48" s="100"/>
      <c r="Q48" s="100"/>
      <c r="R48" s="102"/>
      <c r="S48" s="31"/>
      <c r="T48" s="31"/>
      <c r="U48" s="197"/>
      <c r="V48" s="197"/>
      <c r="W48" s="191"/>
      <c r="X48" s="191"/>
      <c r="Y48" s="191"/>
      <c r="Z48" s="191"/>
      <c r="AA48" s="191"/>
      <c r="AB48" s="191"/>
      <c r="AC48" s="191"/>
      <c r="AD48" s="199"/>
      <c r="AE48" s="191"/>
      <c r="AF48" s="191"/>
      <c r="AG48" s="191"/>
      <c r="AH48" s="191"/>
      <c r="AI48" s="191"/>
      <c r="AJ48" s="191"/>
      <c r="AK48" s="191"/>
    </row>
    <row r="49" spans="1:37" ht="150" customHeight="1">
      <c r="D49" s="77"/>
      <c r="E49" s="77"/>
      <c r="F49" s="77"/>
      <c r="G49" s="77"/>
      <c r="H49" s="77"/>
      <c r="I49" s="77"/>
      <c r="J49" s="77"/>
      <c r="K49" s="77"/>
      <c r="L49" s="103"/>
      <c r="M49" s="100"/>
      <c r="N49" s="100"/>
      <c r="O49" s="102"/>
      <c r="P49" s="31"/>
      <c r="Q49" s="31"/>
      <c r="R49" s="28"/>
      <c r="S49" s="28"/>
      <c r="T49" s="14"/>
      <c r="U49" s="191"/>
      <c r="V49" s="191"/>
      <c r="W49" s="191"/>
      <c r="X49" s="191"/>
      <c r="Y49" s="191"/>
      <c r="Z49" s="191"/>
      <c r="AA49" s="199"/>
      <c r="AB49" s="191"/>
      <c r="AC49" s="191"/>
      <c r="AD49" s="191"/>
      <c r="AE49" s="191"/>
      <c r="AF49" s="191"/>
      <c r="AG49" s="191"/>
      <c r="AH49" s="191"/>
    </row>
    <row r="50" spans="1:37" ht="18" customHeight="1">
      <c r="D50" s="77"/>
      <c r="E50" s="42" t="s">
        <v>4547</v>
      </c>
      <c r="F50" s="104"/>
      <c r="G50" s="77"/>
      <c r="H50" s="77"/>
      <c r="I50" s="77"/>
      <c r="J50" s="77"/>
      <c r="K50" s="77"/>
      <c r="L50" s="28"/>
      <c r="M50" s="28"/>
      <c r="N50" s="28"/>
      <c r="O50" s="28"/>
      <c r="P50" s="28"/>
      <c r="Q50" s="28"/>
      <c r="R50" s="28"/>
      <c r="S50" s="28"/>
      <c r="T50" s="14"/>
      <c r="U50" s="191"/>
      <c r="V50" s="191"/>
      <c r="W50" s="191"/>
      <c r="X50" s="191"/>
      <c r="Y50" s="191"/>
      <c r="Z50" s="191"/>
      <c r="AA50" s="199"/>
      <c r="AB50" s="191"/>
      <c r="AC50" s="191"/>
      <c r="AD50" s="191"/>
      <c r="AE50" s="191"/>
      <c r="AF50" s="191"/>
      <c r="AG50" s="191"/>
      <c r="AH50" s="191"/>
    </row>
    <row r="51" spans="1:37" ht="22.25" customHeight="1">
      <c r="D51" s="77"/>
      <c r="E51" s="77"/>
      <c r="F51" s="99" t="s">
        <v>4285</v>
      </c>
      <c r="G51" s="99" t="s">
        <v>4278</v>
      </c>
      <c r="H51" s="77"/>
      <c r="I51" s="77"/>
      <c r="J51" s="77"/>
      <c r="K51" s="77"/>
      <c r="L51" s="77"/>
      <c r="M51" s="28"/>
      <c r="N51" s="28"/>
      <c r="O51" s="28"/>
      <c r="P51" s="28"/>
      <c r="Q51" s="28"/>
      <c r="R51" s="28"/>
      <c r="S51" s="28"/>
      <c r="T51" s="14"/>
      <c r="U51" s="191"/>
      <c r="V51" s="191"/>
      <c r="W51" s="191"/>
      <c r="X51" s="191"/>
      <c r="Y51" s="191"/>
      <c r="Z51" s="191"/>
      <c r="AA51" s="199"/>
      <c r="AB51" s="191"/>
      <c r="AC51" s="191"/>
      <c r="AD51" s="191"/>
      <c r="AE51" s="191"/>
      <c r="AF51" s="191"/>
      <c r="AG51" s="191"/>
    </row>
    <row r="52" spans="1:37" ht="3" customHeight="1">
      <c r="D52" s="77"/>
      <c r="E52" s="77"/>
      <c r="F52" s="99"/>
      <c r="G52" s="99"/>
      <c r="H52" s="77"/>
      <c r="I52" s="77"/>
      <c r="J52" s="77"/>
      <c r="K52" s="77"/>
      <c r="L52" s="77"/>
      <c r="M52" s="28"/>
      <c r="N52" s="28"/>
      <c r="O52" s="28"/>
      <c r="P52" s="28"/>
      <c r="Q52" s="28"/>
      <c r="R52" s="28"/>
      <c r="S52" s="28"/>
      <c r="T52" s="14"/>
      <c r="U52" s="191"/>
      <c r="V52" s="191"/>
      <c r="W52" s="191"/>
      <c r="X52" s="191"/>
      <c r="Y52" s="191"/>
      <c r="Z52" s="191"/>
      <c r="AA52" s="199"/>
      <c r="AB52" s="191"/>
      <c r="AC52" s="191"/>
      <c r="AD52" s="191"/>
      <c r="AE52" s="191"/>
      <c r="AF52" s="191"/>
      <c r="AG52" s="191"/>
    </row>
    <row r="53" spans="1:37" s="191" customFormat="1" ht="22.25" customHeight="1" thickBot="1">
      <c r="A53" s="187"/>
      <c r="B53" s="187"/>
      <c r="C53" s="187"/>
      <c r="D53" s="14"/>
      <c r="E53" s="14"/>
      <c r="F53" s="14" t="str">
        <f>$AB$1+1&amp;"年度（第１年度）において、上記（２-１）以外に下記の買電がある場合は、そのうち車両の充電に使用した電力量をご入力ください。"</f>
        <v>1年度（第１年度）において、上記（２-１）以外に下記の買電がある場合は、そのうち車両の充電に使用した電力量をご入力ください。</v>
      </c>
      <c r="G53" s="14"/>
      <c r="H53" s="14"/>
      <c r="I53" s="14"/>
      <c r="J53" s="14"/>
      <c r="K53" s="14"/>
      <c r="L53" s="14"/>
      <c r="M53" s="28"/>
      <c r="N53" s="28"/>
      <c r="O53" s="28"/>
      <c r="P53" s="28"/>
      <c r="Q53" s="28"/>
      <c r="R53" s="28"/>
      <c r="S53" s="28"/>
      <c r="T53" s="14"/>
      <c r="AA53" s="199"/>
    </row>
    <row r="54" spans="1:37" ht="30.75" customHeight="1">
      <c r="D54" s="77"/>
      <c r="E54" s="77"/>
      <c r="F54" s="295" t="s">
        <v>4219</v>
      </c>
      <c r="G54" s="46" t="s">
        <v>4529</v>
      </c>
      <c r="H54" s="46"/>
      <c r="I54" s="294" t="s">
        <v>4541</v>
      </c>
      <c r="J54" s="280"/>
      <c r="K54" s="13"/>
      <c r="L54" s="13"/>
      <c r="M54" s="28"/>
      <c r="N54" s="28"/>
      <c r="O54" s="28"/>
      <c r="P54" s="28"/>
      <c r="Q54" s="28"/>
      <c r="R54" s="28"/>
      <c r="S54" s="28"/>
      <c r="T54" s="28"/>
      <c r="U54" s="197"/>
      <c r="V54" s="197"/>
      <c r="W54" s="191"/>
      <c r="X54" s="191"/>
      <c r="Y54" s="191"/>
      <c r="Z54" s="191"/>
      <c r="AA54" s="191"/>
      <c r="AB54" s="191"/>
      <c r="AC54" s="191"/>
      <c r="AD54" s="199"/>
      <c r="AE54" s="191"/>
      <c r="AF54" s="191"/>
      <c r="AG54" s="191"/>
      <c r="AH54" s="191"/>
      <c r="AI54" s="191"/>
      <c r="AJ54" s="191"/>
      <c r="AK54" s="191"/>
    </row>
    <row r="55" spans="1:37" ht="18" customHeight="1">
      <c r="D55" s="77"/>
      <c r="E55" s="77"/>
      <c r="F55" s="296"/>
      <c r="G55" s="897"/>
      <c r="H55" s="898"/>
      <c r="I55" s="883"/>
      <c r="J55" s="884"/>
      <c r="K55" s="13"/>
      <c r="L55" s="13"/>
      <c r="M55" s="28"/>
      <c r="N55" s="28"/>
      <c r="O55" s="28"/>
      <c r="P55" s="28"/>
      <c r="Q55" s="28"/>
      <c r="R55" s="28"/>
      <c r="S55" s="28"/>
      <c r="T55" s="28"/>
      <c r="U55" s="197"/>
      <c r="V55" s="197"/>
      <c r="W55" s="191"/>
      <c r="X55" s="191"/>
      <c r="Y55" s="191"/>
      <c r="Z55" s="191"/>
      <c r="AA55" s="191"/>
      <c r="AB55" s="191"/>
      <c r="AC55" s="191"/>
      <c r="AD55" s="199"/>
      <c r="AE55" s="191"/>
      <c r="AF55" s="191"/>
      <c r="AG55" s="191"/>
      <c r="AH55" s="191"/>
      <c r="AI55" s="191"/>
      <c r="AJ55" s="191"/>
      <c r="AK55" s="191"/>
    </row>
    <row r="56" spans="1:37" ht="18" customHeight="1">
      <c r="D56" s="77"/>
      <c r="E56" s="77"/>
      <c r="F56" s="296"/>
      <c r="G56" s="897"/>
      <c r="H56" s="898"/>
      <c r="I56" s="883"/>
      <c r="J56" s="884"/>
      <c r="K56" s="13"/>
      <c r="L56" s="13"/>
      <c r="M56" s="28"/>
      <c r="N56" s="28"/>
      <c r="O56" s="28"/>
      <c r="P56" s="28"/>
      <c r="Q56" s="28"/>
      <c r="R56" s="28"/>
      <c r="S56" s="28"/>
      <c r="T56" s="28"/>
      <c r="U56" s="197"/>
      <c r="V56" s="197"/>
      <c r="W56" s="191"/>
      <c r="X56" s="191"/>
      <c r="Y56" s="191"/>
      <c r="Z56" s="191"/>
      <c r="AA56" s="191"/>
      <c r="AB56" s="191"/>
      <c r="AC56" s="191"/>
      <c r="AD56" s="199"/>
      <c r="AE56" s="191"/>
      <c r="AF56" s="191"/>
      <c r="AG56" s="191"/>
      <c r="AH56" s="191"/>
      <c r="AI56" s="191"/>
      <c r="AJ56" s="191"/>
      <c r="AK56" s="191"/>
    </row>
    <row r="57" spans="1:37" ht="18" customHeight="1">
      <c r="D57" s="77"/>
      <c r="E57" s="77"/>
      <c r="F57" s="296"/>
      <c r="G57" s="897"/>
      <c r="H57" s="898"/>
      <c r="I57" s="883"/>
      <c r="J57" s="884"/>
      <c r="K57" s="13"/>
      <c r="L57" s="13"/>
      <c r="M57" s="28"/>
      <c r="N57" s="28"/>
      <c r="O57" s="28"/>
      <c r="P57" s="28"/>
      <c r="Q57" s="28"/>
      <c r="R57" s="28"/>
      <c r="S57" s="28"/>
      <c r="T57" s="28"/>
      <c r="U57" s="197"/>
      <c r="V57" s="197"/>
      <c r="W57" s="191"/>
      <c r="X57" s="191"/>
      <c r="Y57" s="191"/>
      <c r="Z57" s="191"/>
      <c r="AA57" s="191"/>
      <c r="AB57" s="191"/>
      <c r="AC57" s="191"/>
      <c r="AD57" s="199"/>
      <c r="AE57" s="191"/>
      <c r="AF57" s="191"/>
      <c r="AG57" s="191"/>
      <c r="AH57" s="191"/>
      <c r="AI57" s="191"/>
      <c r="AJ57" s="191"/>
      <c r="AK57" s="191"/>
    </row>
    <row r="58" spans="1:37" ht="18" customHeight="1">
      <c r="D58" s="77"/>
      <c r="E58" s="77"/>
      <c r="F58" s="296"/>
      <c r="G58" s="897"/>
      <c r="H58" s="898"/>
      <c r="I58" s="883"/>
      <c r="J58" s="884"/>
      <c r="K58" s="13"/>
      <c r="L58" s="13"/>
      <c r="M58" s="28"/>
      <c r="N58" s="28"/>
      <c r="O58" s="28"/>
      <c r="P58" s="28"/>
      <c r="Q58" s="28"/>
      <c r="R58" s="28"/>
      <c r="S58" s="28"/>
      <c r="T58" s="28"/>
      <c r="U58" s="197"/>
      <c r="V58" s="197"/>
      <c r="W58" s="191"/>
      <c r="X58" s="191"/>
      <c r="Y58" s="191"/>
      <c r="Z58" s="191"/>
      <c r="AA58" s="191"/>
      <c r="AB58" s="191"/>
      <c r="AC58" s="191"/>
      <c r="AD58" s="199"/>
      <c r="AE58" s="191"/>
      <c r="AF58" s="191"/>
      <c r="AG58" s="191"/>
      <c r="AH58" s="191"/>
      <c r="AI58" s="191"/>
      <c r="AJ58" s="191"/>
      <c r="AK58" s="191"/>
    </row>
    <row r="59" spans="1:37" ht="18" customHeight="1" thickBot="1">
      <c r="D59" s="77"/>
      <c r="E59" s="77"/>
      <c r="F59" s="297"/>
      <c r="G59" s="895"/>
      <c r="H59" s="896"/>
      <c r="I59" s="900"/>
      <c r="J59" s="901"/>
      <c r="K59" s="13"/>
      <c r="L59" s="13"/>
      <c r="M59" s="28"/>
      <c r="N59" s="28"/>
      <c r="O59" s="28"/>
      <c r="P59" s="28"/>
      <c r="Q59" s="28"/>
      <c r="R59" s="28"/>
      <c r="S59" s="28"/>
      <c r="T59" s="28"/>
      <c r="U59" s="197"/>
      <c r="V59" s="197"/>
      <c r="W59" s="191"/>
      <c r="X59" s="191"/>
      <c r="Y59" s="191"/>
      <c r="Z59" s="191"/>
      <c r="AA59" s="191"/>
      <c r="AB59" s="191"/>
      <c r="AC59" s="191"/>
      <c r="AD59" s="199"/>
      <c r="AE59" s="191"/>
      <c r="AF59" s="191"/>
      <c r="AG59" s="191"/>
      <c r="AH59" s="191"/>
      <c r="AI59" s="191"/>
      <c r="AJ59" s="191"/>
      <c r="AK59" s="191"/>
    </row>
    <row r="60" spans="1:37" ht="18" customHeight="1">
      <c r="D60" s="77"/>
      <c r="E60" s="13"/>
      <c r="F60" s="13"/>
      <c r="G60" s="13"/>
      <c r="H60" s="13"/>
      <c r="I60" s="13"/>
      <c r="J60" s="13"/>
      <c r="K60" s="13"/>
      <c r="L60" s="13"/>
      <c r="M60" s="13"/>
      <c r="N60" s="77"/>
      <c r="O60" s="28"/>
      <c r="P60" s="28"/>
      <c r="Q60" s="28"/>
      <c r="R60" s="28"/>
      <c r="S60" s="28"/>
      <c r="T60" s="28"/>
      <c r="U60" s="28"/>
      <c r="V60" s="28"/>
      <c r="W60" s="14"/>
      <c r="X60" s="14"/>
      <c r="Y60" s="14"/>
      <c r="Z60" s="14"/>
      <c r="AA60" s="14"/>
      <c r="AB60" s="14"/>
      <c r="AC60" s="14"/>
      <c r="AD60" s="39"/>
      <c r="AE60" s="14"/>
      <c r="AF60" s="14"/>
      <c r="AG60" s="14"/>
      <c r="AH60" s="14"/>
      <c r="AI60" s="14"/>
      <c r="AJ60" s="191"/>
      <c r="AK60" s="191"/>
    </row>
    <row r="61" spans="1:37" ht="18" customHeight="1">
      <c r="D61" s="77"/>
      <c r="E61" s="13"/>
      <c r="F61" s="13"/>
      <c r="G61" s="13"/>
      <c r="H61" s="13"/>
      <c r="I61" s="13"/>
      <c r="J61" s="13"/>
      <c r="K61" s="13"/>
      <c r="L61" s="13"/>
      <c r="M61" s="13"/>
      <c r="N61" s="28"/>
      <c r="O61" s="28"/>
      <c r="P61" s="28"/>
      <c r="Q61" s="28"/>
      <c r="R61" s="28"/>
      <c r="S61" s="28"/>
      <c r="T61" s="14"/>
      <c r="U61" s="14"/>
      <c r="V61" s="14"/>
      <c r="W61" s="14"/>
      <c r="X61" s="14"/>
      <c r="Y61" s="14"/>
      <c r="Z61" s="14"/>
      <c r="AA61" s="39"/>
      <c r="AB61" s="14"/>
      <c r="AC61" s="14"/>
      <c r="AD61" s="14"/>
      <c r="AE61" s="14"/>
      <c r="AF61" s="14"/>
      <c r="AG61" s="14"/>
      <c r="AH61" s="14"/>
      <c r="AI61" s="77"/>
    </row>
    <row r="62" spans="1:37" s="191" customFormat="1" ht="18" customHeight="1">
      <c r="A62" s="189"/>
      <c r="B62" s="189"/>
      <c r="C62" s="189"/>
      <c r="D62" s="34" t="s">
        <v>4493</v>
      </c>
      <c r="E62" s="14"/>
      <c r="F62" s="14"/>
      <c r="G62" s="14"/>
      <c r="H62" s="28"/>
      <c r="I62" s="28"/>
      <c r="J62" s="28"/>
      <c r="K62" s="28"/>
      <c r="L62" s="28"/>
      <c r="M62" s="28"/>
      <c r="N62" s="28"/>
      <c r="O62" s="28"/>
      <c r="P62" s="31"/>
      <c r="Q62" s="28"/>
      <c r="R62" s="28"/>
      <c r="S62" s="28"/>
      <c r="T62" s="32"/>
      <c r="U62" s="210"/>
      <c r="V62" s="210"/>
      <c r="W62" s="210"/>
      <c r="X62" s="210"/>
      <c r="Y62" s="210"/>
      <c r="Z62" s="212"/>
      <c r="AA62" s="211"/>
      <c r="AB62" s="209"/>
      <c r="AC62" s="209"/>
      <c r="AD62" s="209"/>
    </row>
    <row r="63" spans="1:37" s="191" customFormat="1" ht="18" customHeight="1">
      <c r="A63" s="187"/>
      <c r="B63" s="187"/>
      <c r="C63" s="188"/>
      <c r="D63" s="32"/>
      <c r="E63" s="53" t="s">
        <v>4531</v>
      </c>
      <c r="F63" s="14"/>
      <c r="G63" s="14"/>
      <c r="H63" s="14"/>
      <c r="I63" s="110"/>
      <c r="J63" s="110"/>
      <c r="K63" s="110"/>
      <c r="L63" s="110"/>
      <c r="M63" s="110"/>
      <c r="N63" s="28"/>
      <c r="O63" s="28"/>
      <c r="P63" s="28"/>
      <c r="Q63" s="28"/>
      <c r="R63" s="31"/>
      <c r="S63" s="31"/>
      <c r="T63" s="31"/>
      <c r="U63" s="200"/>
      <c r="V63" s="200"/>
      <c r="W63" s="200"/>
      <c r="X63" s="200"/>
      <c r="Y63" s="200"/>
      <c r="Z63" s="200"/>
      <c r="AA63" s="201"/>
      <c r="AB63" s="200"/>
      <c r="AC63" s="200"/>
      <c r="AD63" s="200"/>
      <c r="AE63" s="200"/>
    </row>
    <row r="64" spans="1:37" s="191" customFormat="1" ht="22.25" customHeight="1">
      <c r="A64" s="187"/>
      <c r="B64" s="187"/>
      <c r="C64" s="188"/>
      <c r="D64" s="32"/>
      <c r="E64" s="111"/>
      <c r="F64" s="99" t="s">
        <v>4285</v>
      </c>
      <c r="G64" s="99" t="s">
        <v>4278</v>
      </c>
      <c r="H64" s="31"/>
      <c r="I64" s="28"/>
      <c r="J64" s="28"/>
      <c r="K64" s="28"/>
      <c r="L64" s="14"/>
      <c r="M64" s="110"/>
      <c r="N64" s="28"/>
      <c r="O64" s="28"/>
      <c r="P64" s="28"/>
      <c r="Q64" s="28"/>
      <c r="R64" s="31"/>
      <c r="S64" s="31"/>
      <c r="T64" s="31"/>
      <c r="U64" s="200"/>
      <c r="V64" s="200"/>
      <c r="W64" s="200"/>
      <c r="X64" s="200"/>
      <c r="Y64" s="200"/>
      <c r="Z64" s="200"/>
      <c r="AA64" s="201"/>
      <c r="AB64" s="200"/>
      <c r="AC64" s="200"/>
      <c r="AD64" s="200"/>
      <c r="AE64" s="200"/>
    </row>
    <row r="65" spans="1:32" s="191" customFormat="1" ht="3" customHeight="1">
      <c r="A65" s="187"/>
      <c r="B65" s="187"/>
      <c r="C65" s="188"/>
      <c r="D65" s="32"/>
      <c r="E65" s="111"/>
      <c r="F65" s="99"/>
      <c r="G65" s="99"/>
      <c r="H65" s="31"/>
      <c r="I65" s="28"/>
      <c r="J65" s="28"/>
      <c r="K65" s="28"/>
      <c r="L65" s="110"/>
      <c r="M65" s="110"/>
      <c r="N65" s="28"/>
      <c r="O65" s="28"/>
      <c r="P65" s="28"/>
      <c r="Q65" s="28"/>
      <c r="R65" s="31"/>
      <c r="S65" s="31"/>
      <c r="T65" s="31"/>
      <c r="U65" s="200"/>
      <c r="V65" s="200"/>
      <c r="W65" s="200"/>
      <c r="X65" s="200"/>
      <c r="Y65" s="200"/>
      <c r="Z65" s="200"/>
      <c r="AA65" s="201"/>
      <c r="AB65" s="200"/>
      <c r="AC65" s="200"/>
      <c r="AD65" s="200"/>
      <c r="AE65" s="200"/>
    </row>
    <row r="66" spans="1:32" s="191" customFormat="1" ht="22.25" customHeight="1" thickBot="1">
      <c r="A66" s="187"/>
      <c r="B66" s="187"/>
      <c r="C66" s="284"/>
      <c r="D66" s="288"/>
      <c r="E66" s="14" t="str">
        <f>$AB$1+1&amp;"年度（第１年度）において、エネルギー起源二酸化炭素（CO₂）以外の温室効果ガスの排出がある場合はご入力ください。"</f>
        <v>1年度（第１年度）において、エネルギー起源二酸化炭素（CO₂）以外の温室効果ガスの排出がある場合はご入力ください。</v>
      </c>
      <c r="F66" s="14"/>
      <c r="G66" s="14"/>
      <c r="H66" s="285"/>
      <c r="I66" s="28"/>
      <c r="J66" s="28"/>
      <c r="K66" s="28"/>
      <c r="L66" s="110"/>
      <c r="M66" s="110"/>
      <c r="N66" s="28"/>
      <c r="O66" s="28"/>
      <c r="P66" s="28"/>
      <c r="Q66" s="28"/>
      <c r="R66" s="285"/>
      <c r="S66" s="285"/>
      <c r="T66" s="285"/>
      <c r="U66" s="286"/>
      <c r="V66" s="286"/>
      <c r="W66" s="286"/>
      <c r="X66" s="286"/>
      <c r="Y66" s="286"/>
      <c r="Z66" s="286"/>
      <c r="AA66" s="287"/>
      <c r="AB66" s="286"/>
      <c r="AC66" s="286"/>
      <c r="AD66" s="286"/>
      <c r="AE66" s="286"/>
    </row>
    <row r="67" spans="1:32" s="191" customFormat="1" ht="38" customHeight="1">
      <c r="A67" s="187"/>
      <c r="B67" s="190">
        <v>1</v>
      </c>
      <c r="D67" s="32"/>
      <c r="E67" s="164" t="s">
        <v>4220</v>
      </c>
      <c r="F67" s="162"/>
      <c r="G67" s="157" t="s">
        <v>4497</v>
      </c>
      <c r="H67" s="158"/>
      <c r="I67" s="159"/>
      <c r="J67" s="160"/>
      <c r="K67" s="165" t="s">
        <v>4287</v>
      </c>
      <c r="L67" s="157"/>
      <c r="M67" s="157"/>
      <c r="N67" s="157" t="s">
        <v>4288</v>
      </c>
      <c r="O67" s="159"/>
      <c r="P67" s="110"/>
      <c r="Q67" s="28"/>
      <c r="R67" s="28"/>
      <c r="S67" s="28"/>
      <c r="T67" s="28"/>
      <c r="U67" s="200"/>
      <c r="V67" s="200"/>
      <c r="W67" s="200"/>
      <c r="X67" s="200"/>
      <c r="Y67" s="200"/>
      <c r="Z67" s="200"/>
      <c r="AA67" s="200"/>
      <c r="AB67" s="200"/>
      <c r="AC67" s="200"/>
      <c r="AD67" s="201"/>
      <c r="AE67" s="200"/>
      <c r="AF67" s="200"/>
    </row>
    <row r="68" spans="1:32" s="191" customFormat="1" ht="18" customHeight="1">
      <c r="A68" s="187"/>
      <c r="B68" s="187"/>
      <c r="C68" s="188"/>
      <c r="D68" s="32"/>
      <c r="E68" s="61" t="s">
        <v>4498</v>
      </c>
      <c r="F68" s="62"/>
      <c r="G68" s="815"/>
      <c r="H68" s="816"/>
      <c r="I68" s="816"/>
      <c r="J68" s="816"/>
      <c r="K68" s="880"/>
      <c r="L68" s="881"/>
      <c r="M68" s="882"/>
      <c r="N68" s="902"/>
      <c r="O68" s="903"/>
      <c r="P68" s="31"/>
      <c r="Q68" s="28"/>
      <c r="R68" s="951"/>
      <c r="S68" s="951"/>
      <c r="T68" s="951"/>
      <c r="U68" s="200"/>
      <c r="V68" s="200"/>
      <c r="W68" s="200"/>
      <c r="X68" s="200"/>
      <c r="Y68" s="200"/>
      <c r="Z68" s="200"/>
      <c r="AA68" s="200"/>
      <c r="AB68" s="200"/>
      <c r="AC68" s="200"/>
      <c r="AD68" s="201"/>
      <c r="AE68" s="200"/>
      <c r="AF68" s="200"/>
    </row>
    <row r="69" spans="1:32" s="191" customFormat="1" ht="18" customHeight="1">
      <c r="A69" s="187"/>
      <c r="B69" s="187"/>
      <c r="C69" s="188"/>
      <c r="D69" s="32"/>
      <c r="E69" s="63" t="s">
        <v>4171</v>
      </c>
      <c r="F69" s="64"/>
      <c r="G69" s="869"/>
      <c r="H69" s="870"/>
      <c r="I69" s="870"/>
      <c r="J69" s="870"/>
      <c r="K69" s="855"/>
      <c r="L69" s="856"/>
      <c r="M69" s="857"/>
      <c r="N69" s="878"/>
      <c r="O69" s="879"/>
      <c r="P69" s="31"/>
      <c r="Q69" s="28"/>
      <c r="R69" s="951"/>
      <c r="S69" s="951"/>
      <c r="T69" s="951"/>
      <c r="U69" s="200"/>
      <c r="V69" s="200"/>
      <c r="W69" s="200"/>
      <c r="X69" s="200"/>
      <c r="Y69" s="200"/>
      <c r="Z69" s="200"/>
      <c r="AA69" s="200"/>
      <c r="AB69" s="200"/>
      <c r="AC69" s="200"/>
      <c r="AD69" s="201"/>
      <c r="AE69" s="200"/>
      <c r="AF69" s="200"/>
    </row>
    <row r="70" spans="1:32" s="191" customFormat="1" ht="18" customHeight="1">
      <c r="A70" s="187"/>
      <c r="B70" s="187"/>
      <c r="C70" s="188"/>
      <c r="D70" s="32"/>
      <c r="E70" s="63" t="s">
        <v>4172</v>
      </c>
      <c r="F70" s="64"/>
      <c r="G70" s="869"/>
      <c r="H70" s="870"/>
      <c r="I70" s="870"/>
      <c r="J70" s="870"/>
      <c r="K70" s="855"/>
      <c r="L70" s="856"/>
      <c r="M70" s="857"/>
      <c r="N70" s="878"/>
      <c r="O70" s="879"/>
      <c r="P70" s="31"/>
      <c r="Q70" s="31"/>
      <c r="R70" s="952"/>
      <c r="S70" s="952"/>
      <c r="T70" s="952"/>
      <c r="U70" s="200"/>
      <c r="V70" s="200"/>
      <c r="W70" s="200"/>
      <c r="X70" s="200"/>
      <c r="Y70" s="200"/>
      <c r="Z70" s="200"/>
      <c r="AA70" s="200"/>
      <c r="AB70" s="200"/>
      <c r="AC70" s="200"/>
      <c r="AD70" s="201"/>
      <c r="AE70" s="200"/>
      <c r="AF70" s="200"/>
    </row>
    <row r="71" spans="1:32" s="191" customFormat="1" ht="18" customHeight="1">
      <c r="A71" s="187"/>
      <c r="B71" s="187"/>
      <c r="C71" s="188"/>
      <c r="D71" s="32"/>
      <c r="E71" s="63" t="s">
        <v>95</v>
      </c>
      <c r="F71" s="64"/>
      <c r="G71" s="869"/>
      <c r="H71" s="870"/>
      <c r="I71" s="870"/>
      <c r="J71" s="870"/>
      <c r="K71" s="855"/>
      <c r="L71" s="856"/>
      <c r="M71" s="857"/>
      <c r="N71" s="878"/>
      <c r="O71" s="879"/>
      <c r="P71" s="31"/>
      <c r="Q71" s="31"/>
      <c r="R71" s="952"/>
      <c r="S71" s="952"/>
      <c r="T71" s="952"/>
      <c r="U71" s="200"/>
      <c r="V71" s="200"/>
      <c r="W71" s="200"/>
      <c r="X71" s="200"/>
      <c r="Y71" s="200"/>
      <c r="Z71" s="200"/>
      <c r="AA71" s="200"/>
      <c r="AB71" s="200"/>
      <c r="AC71" s="200"/>
      <c r="AD71" s="201"/>
      <c r="AE71" s="200"/>
      <c r="AF71" s="200"/>
    </row>
    <row r="72" spans="1:32" s="191" customFormat="1" ht="18" customHeight="1">
      <c r="A72" s="187"/>
      <c r="B72" s="187"/>
      <c r="C72" s="188"/>
      <c r="D72" s="32"/>
      <c r="E72" s="63" t="s">
        <v>96</v>
      </c>
      <c r="F72" s="64"/>
      <c r="G72" s="869"/>
      <c r="H72" s="870"/>
      <c r="I72" s="870"/>
      <c r="J72" s="870"/>
      <c r="K72" s="855"/>
      <c r="L72" s="856"/>
      <c r="M72" s="857"/>
      <c r="N72" s="878"/>
      <c r="O72" s="879"/>
      <c r="P72" s="31"/>
      <c r="Q72" s="31"/>
      <c r="R72" s="952"/>
      <c r="S72" s="952"/>
      <c r="T72" s="952"/>
      <c r="U72" s="200"/>
      <c r="V72" s="200"/>
      <c r="W72" s="200"/>
      <c r="X72" s="200"/>
      <c r="Y72" s="200"/>
      <c r="Z72" s="200"/>
      <c r="AA72" s="200"/>
      <c r="AB72" s="200"/>
      <c r="AC72" s="200"/>
      <c r="AD72" s="201"/>
      <c r="AE72" s="200"/>
      <c r="AF72" s="200"/>
    </row>
    <row r="73" spans="1:32" s="191" customFormat="1" ht="18" customHeight="1">
      <c r="A73" s="187"/>
      <c r="B73" s="187"/>
      <c r="C73" s="188"/>
      <c r="D73" s="32"/>
      <c r="E73" s="63" t="s">
        <v>4173</v>
      </c>
      <c r="F73" s="64"/>
      <c r="G73" s="869"/>
      <c r="H73" s="870"/>
      <c r="I73" s="870"/>
      <c r="J73" s="870"/>
      <c r="K73" s="855"/>
      <c r="L73" s="856"/>
      <c r="M73" s="857"/>
      <c r="N73" s="878"/>
      <c r="O73" s="879"/>
      <c r="P73" s="31"/>
      <c r="Q73" s="31"/>
      <c r="R73" s="952"/>
      <c r="S73" s="952"/>
      <c r="T73" s="952"/>
      <c r="U73" s="200"/>
      <c r="V73" s="200"/>
      <c r="W73" s="200"/>
      <c r="X73" s="200"/>
      <c r="Y73" s="200"/>
      <c r="Z73" s="200"/>
      <c r="AA73" s="200"/>
      <c r="AB73" s="200"/>
      <c r="AC73" s="200"/>
      <c r="AD73" s="201"/>
      <c r="AE73" s="200"/>
      <c r="AF73" s="200"/>
    </row>
    <row r="74" spans="1:32" s="191" customFormat="1" ht="18" customHeight="1" thickBot="1">
      <c r="A74" s="187"/>
      <c r="B74" s="187"/>
      <c r="C74" s="188"/>
      <c r="D74" s="32"/>
      <c r="E74" s="65" t="s">
        <v>4174</v>
      </c>
      <c r="F74" s="66"/>
      <c r="G74" s="838"/>
      <c r="H74" s="839"/>
      <c r="I74" s="839"/>
      <c r="J74" s="839"/>
      <c r="K74" s="810"/>
      <c r="L74" s="811"/>
      <c r="M74" s="812"/>
      <c r="N74" s="813"/>
      <c r="O74" s="814"/>
      <c r="P74" s="31"/>
      <c r="Q74" s="31"/>
      <c r="R74" s="31"/>
      <c r="S74" s="31"/>
      <c r="T74" s="31"/>
      <c r="U74" s="200"/>
      <c r="V74" s="200"/>
      <c r="W74" s="200"/>
      <c r="X74" s="200"/>
      <c r="Y74" s="200"/>
      <c r="Z74" s="200"/>
      <c r="AA74" s="200"/>
      <c r="AB74" s="200"/>
      <c r="AC74" s="200"/>
      <c r="AD74" s="201"/>
      <c r="AE74" s="200"/>
      <c r="AF74" s="200"/>
    </row>
    <row r="75" spans="1:32" s="191" customFormat="1" ht="18" customHeight="1">
      <c r="A75" s="187"/>
      <c r="B75" s="187"/>
      <c r="C75" s="188"/>
      <c r="D75" s="32"/>
      <c r="E75" s="28"/>
      <c r="F75" s="28"/>
      <c r="G75" s="28"/>
      <c r="H75" s="28"/>
      <c r="I75" s="31"/>
      <c r="J75" s="31"/>
      <c r="K75" s="31"/>
      <c r="L75" s="31"/>
      <c r="M75" s="31"/>
      <c r="N75" s="31"/>
      <c r="O75" s="29" t="s">
        <v>4375</v>
      </c>
      <c r="P75" s="31"/>
      <c r="Q75" s="31"/>
      <c r="R75" s="31"/>
      <c r="S75" s="31"/>
      <c r="T75" s="31"/>
      <c r="U75" s="200"/>
      <c r="V75" s="200"/>
      <c r="W75" s="200"/>
      <c r="X75" s="200"/>
      <c r="Y75" s="200"/>
      <c r="Z75" s="200"/>
      <c r="AA75" s="201"/>
      <c r="AB75" s="200"/>
      <c r="AC75" s="200"/>
    </row>
    <row r="76" spans="1:32" s="191" customFormat="1" ht="18" customHeight="1">
      <c r="A76" s="187"/>
      <c r="B76" s="187"/>
      <c r="C76" s="188"/>
      <c r="D76" s="32"/>
      <c r="E76" s="28"/>
      <c r="F76" s="28"/>
      <c r="G76" s="28"/>
      <c r="H76" s="28"/>
      <c r="I76" s="31"/>
      <c r="J76" s="31"/>
      <c r="K76" s="31"/>
      <c r="L76" s="31"/>
      <c r="M76" s="31"/>
      <c r="N76" s="31"/>
      <c r="O76" s="31"/>
      <c r="P76" s="31"/>
      <c r="Q76" s="31"/>
      <c r="R76" s="31"/>
      <c r="S76" s="31"/>
      <c r="T76" s="31"/>
      <c r="U76" s="200"/>
      <c r="V76" s="200"/>
      <c r="W76" s="200"/>
      <c r="X76" s="200"/>
      <c r="Y76" s="200"/>
      <c r="Z76" s="200"/>
      <c r="AA76" s="201"/>
      <c r="AB76" s="200"/>
      <c r="AC76" s="200"/>
    </row>
    <row r="77" spans="1:32" s="191" customFormat="1" ht="18" customHeight="1">
      <c r="A77" s="187"/>
      <c r="B77" s="187"/>
      <c r="C77" s="188"/>
      <c r="D77" s="34" t="s">
        <v>4230</v>
      </c>
      <c r="E77" s="14"/>
      <c r="F77" s="14"/>
      <c r="G77" s="105"/>
      <c r="H77" s="105"/>
      <c r="I77" s="112"/>
      <c r="J77" s="112"/>
      <c r="K77" s="31"/>
      <c r="L77" s="31"/>
      <c r="M77" s="31"/>
      <c r="N77" s="31"/>
      <c r="O77" s="31"/>
      <c r="P77" s="31"/>
      <c r="Q77" s="31"/>
      <c r="R77" s="31"/>
      <c r="S77" s="31"/>
      <c r="T77" s="31"/>
      <c r="U77" s="200"/>
      <c r="V77" s="200"/>
      <c r="W77" s="200"/>
      <c r="X77" s="200"/>
      <c r="Y77" s="200"/>
      <c r="Z77" s="200"/>
      <c r="AA77" s="201"/>
      <c r="AB77" s="200"/>
      <c r="AC77" s="200"/>
      <c r="AD77" s="200"/>
      <c r="AE77" s="200"/>
    </row>
    <row r="78" spans="1:32" s="191" customFormat="1" ht="18" customHeight="1">
      <c r="A78" s="187"/>
      <c r="B78" s="187"/>
      <c r="C78" s="188"/>
      <c r="D78" s="14"/>
      <c r="E78" s="16" t="s">
        <v>4302</v>
      </c>
      <c r="F78" s="14"/>
      <c r="G78" s="14"/>
      <c r="H78" s="14"/>
      <c r="I78" s="14"/>
      <c r="J78" s="14"/>
      <c r="K78" s="14"/>
      <c r="L78" s="14"/>
      <c r="M78" s="14"/>
      <c r="N78" s="14"/>
      <c r="O78" s="14"/>
      <c r="P78" s="31"/>
      <c r="Q78" s="31"/>
      <c r="R78" s="31"/>
      <c r="S78" s="31"/>
      <c r="T78" s="31"/>
      <c r="U78" s="200"/>
      <c r="V78" s="200"/>
      <c r="W78" s="200"/>
      <c r="X78" s="200"/>
      <c r="Y78" s="200"/>
      <c r="Z78" s="200"/>
      <c r="AA78" s="201"/>
      <c r="AB78" s="200"/>
      <c r="AC78" s="200"/>
      <c r="AD78" s="200"/>
      <c r="AE78" s="200"/>
    </row>
    <row r="79" spans="1:32" s="191" customFormat="1" ht="22.25" customHeight="1">
      <c r="A79" s="187"/>
      <c r="B79" s="187"/>
      <c r="C79" s="188"/>
      <c r="D79" s="14"/>
      <c r="E79" s="14"/>
      <c r="F79" s="99" t="s">
        <v>4285</v>
      </c>
      <c r="G79" s="99" t="s">
        <v>4278</v>
      </c>
      <c r="H79" s="14"/>
      <c r="I79" s="14"/>
      <c r="J79" s="14"/>
      <c r="K79" s="14"/>
      <c r="L79" s="14"/>
      <c r="M79" s="14"/>
      <c r="N79" s="14"/>
      <c r="O79" s="14"/>
      <c r="P79" s="31"/>
      <c r="Q79" s="31"/>
      <c r="R79" s="31"/>
      <c r="S79" s="31"/>
      <c r="T79" s="31"/>
      <c r="U79" s="200"/>
      <c r="V79" s="200"/>
      <c r="W79" s="200"/>
      <c r="X79" s="200"/>
      <c r="Y79" s="200"/>
      <c r="Z79" s="200"/>
      <c r="AA79" s="201"/>
      <c r="AB79" s="200"/>
      <c r="AC79" s="200"/>
      <c r="AD79" s="200"/>
      <c r="AE79" s="200"/>
    </row>
    <row r="80" spans="1:32" s="191" customFormat="1" ht="3" customHeight="1">
      <c r="A80" s="187"/>
      <c r="B80" s="187"/>
      <c r="C80" s="188"/>
      <c r="D80" s="14"/>
      <c r="E80" s="14"/>
      <c r="F80" s="99"/>
      <c r="G80" s="99"/>
      <c r="H80" s="14"/>
      <c r="I80" s="14"/>
      <c r="J80" s="14"/>
      <c r="K80" s="14"/>
      <c r="L80" s="14"/>
      <c r="M80" s="14"/>
      <c r="N80" s="14"/>
      <c r="O80" s="14"/>
      <c r="P80" s="31"/>
      <c r="Q80" s="31"/>
      <c r="R80" s="31"/>
      <c r="S80" s="31"/>
      <c r="T80" s="31"/>
      <c r="U80" s="200"/>
      <c r="V80" s="200"/>
      <c r="W80" s="200"/>
      <c r="X80" s="200"/>
      <c r="Y80" s="200"/>
      <c r="Z80" s="200"/>
      <c r="AA80" s="201"/>
      <c r="AB80" s="200"/>
      <c r="AC80" s="200"/>
      <c r="AD80" s="200"/>
      <c r="AE80" s="200"/>
    </row>
    <row r="81" spans="1:49" s="191" customFormat="1" ht="22.25" customHeight="1">
      <c r="A81" s="187"/>
      <c r="B81" s="187"/>
      <c r="C81" s="284"/>
      <c r="D81" s="14"/>
      <c r="E81" s="14" t="str">
        <f>$AB$1+1&amp;"年度（第１年度）において、クレジット等による排出量の削減を行った場合はご入力ください。"</f>
        <v>1年度（第１年度）において、クレジット等による排出量の削減を行った場合はご入力ください。</v>
      </c>
      <c r="F81" s="14"/>
      <c r="G81" s="14"/>
      <c r="H81" s="14"/>
      <c r="I81" s="14"/>
      <c r="J81" s="14"/>
      <c r="K81" s="14"/>
      <c r="L81" s="14"/>
      <c r="M81" s="14"/>
      <c r="N81" s="14"/>
      <c r="O81" s="14"/>
      <c r="P81" s="285"/>
      <c r="Q81" s="285"/>
      <c r="R81" s="285"/>
      <c r="S81" s="285"/>
      <c r="T81" s="285"/>
      <c r="U81" s="286"/>
      <c r="V81" s="286"/>
      <c r="W81" s="286"/>
      <c r="X81" s="286"/>
      <c r="Y81" s="286"/>
      <c r="Z81" s="286"/>
      <c r="AA81" s="287"/>
      <c r="AB81" s="286"/>
      <c r="AC81" s="286"/>
      <c r="AD81" s="286"/>
      <c r="AE81" s="286"/>
    </row>
    <row r="82" spans="1:49" s="191" customFormat="1" ht="22.25" customHeight="1">
      <c r="A82" s="187"/>
      <c r="B82" s="187"/>
      <c r="C82" s="284"/>
      <c r="D82" s="14"/>
      <c r="E82" s="863" t="s">
        <v>4303</v>
      </c>
      <c r="F82" s="863"/>
      <c r="G82" s="863"/>
      <c r="H82" s="863"/>
      <c r="I82" s="863"/>
      <c r="J82" s="863"/>
      <c r="K82" s="863"/>
      <c r="L82" s="14"/>
      <c r="M82" s="14"/>
      <c r="N82" s="14"/>
      <c r="O82" s="14"/>
      <c r="P82" s="285"/>
      <c r="Q82" s="285"/>
      <c r="R82" s="285"/>
      <c r="S82" s="285"/>
      <c r="T82" s="113"/>
      <c r="U82" s="286"/>
      <c r="V82" s="286"/>
      <c r="W82" s="286"/>
      <c r="X82" s="286"/>
      <c r="Y82" s="286"/>
      <c r="Z82" s="286"/>
      <c r="AA82" s="287"/>
      <c r="AB82" s="286"/>
      <c r="AC82" s="286"/>
      <c r="AD82" s="286"/>
      <c r="AE82" s="286"/>
    </row>
    <row r="83" spans="1:49" s="191" customFormat="1" ht="22.25" customHeight="1" thickBot="1">
      <c r="A83" s="187"/>
      <c r="B83" s="187"/>
      <c r="C83" s="284"/>
      <c r="D83" s="23"/>
      <c r="E83" s="14" t="s">
        <v>4367</v>
      </c>
      <c r="F83"/>
      <c r="G83"/>
      <c r="H83"/>
      <c r="I83"/>
      <c r="J83"/>
      <c r="K83"/>
      <c r="L83"/>
      <c r="M83"/>
      <c r="N83" s="285"/>
      <c r="O83" s="285"/>
      <c r="P83" s="285"/>
      <c r="Q83" s="285"/>
      <c r="R83" s="285"/>
      <c r="S83" s="285"/>
      <c r="T83" s="285"/>
      <c r="U83" s="286"/>
      <c r="V83" s="286"/>
      <c r="W83" s="286"/>
      <c r="X83" s="286"/>
      <c r="Y83" s="286"/>
      <c r="Z83" s="286"/>
      <c r="AA83" s="286"/>
      <c r="AB83" s="287"/>
      <c r="AC83" s="286"/>
      <c r="AD83" s="286"/>
    </row>
    <row r="84" spans="1:49" s="191" customFormat="1" ht="38" customHeight="1">
      <c r="A84" s="187"/>
      <c r="B84" s="187"/>
      <c r="C84" s="188"/>
      <c r="D84" s="32"/>
      <c r="E84" s="840" t="s">
        <v>4221</v>
      </c>
      <c r="F84" s="841"/>
      <c r="G84" s="864" t="s">
        <v>4527</v>
      </c>
      <c r="H84" s="865"/>
      <c r="I84" s="866"/>
      <c r="J84" s="31"/>
      <c r="K84" s="31"/>
      <c r="L84" s="31"/>
      <c r="M84" s="31"/>
      <c r="N84" s="79"/>
      <c r="O84" s="31"/>
      <c r="P84" s="31"/>
      <c r="Q84" s="31"/>
      <c r="R84" s="31"/>
      <c r="S84" s="31"/>
      <c r="T84" s="31"/>
      <c r="U84" s="200"/>
      <c r="V84" s="200"/>
      <c r="W84" s="200"/>
      <c r="X84" s="200"/>
      <c r="Y84" s="200"/>
      <c r="Z84" s="200"/>
      <c r="AA84" s="200"/>
      <c r="AB84" s="201"/>
      <c r="AC84" s="200"/>
      <c r="AD84" s="200"/>
    </row>
    <row r="85" spans="1:49" s="191" customFormat="1" ht="18" customHeight="1">
      <c r="A85" s="187"/>
      <c r="B85" s="187"/>
      <c r="C85" s="188"/>
      <c r="D85" s="32"/>
      <c r="E85" s="867"/>
      <c r="F85" s="868"/>
      <c r="G85" s="815"/>
      <c r="H85" s="816"/>
      <c r="I85" s="817"/>
      <c r="J85" s="31"/>
      <c r="K85" s="31"/>
      <c r="L85" s="31"/>
      <c r="M85" s="31"/>
      <c r="N85" s="31"/>
      <c r="O85" s="31"/>
      <c r="P85" s="31"/>
      <c r="Q85" s="31"/>
      <c r="R85" s="31"/>
      <c r="S85" s="31"/>
      <c r="T85" s="31"/>
      <c r="U85" s="200"/>
      <c r="V85" s="200"/>
      <c r="W85" s="200"/>
      <c r="X85" s="200"/>
      <c r="Y85" s="200"/>
      <c r="Z85" s="200"/>
      <c r="AA85" s="200"/>
      <c r="AB85" s="201"/>
      <c r="AC85" s="200"/>
      <c r="AD85" s="200"/>
    </row>
    <row r="86" spans="1:49" s="191" customFormat="1" ht="18" customHeight="1">
      <c r="A86" s="187"/>
      <c r="B86" s="187"/>
      <c r="C86" s="188"/>
      <c r="D86" s="32"/>
      <c r="E86" s="861"/>
      <c r="F86" s="862"/>
      <c r="G86" s="869"/>
      <c r="H86" s="870"/>
      <c r="I86" s="871"/>
      <c r="J86" s="31"/>
      <c r="K86" s="31"/>
      <c r="L86" s="31"/>
      <c r="M86" s="31"/>
      <c r="N86" s="31"/>
      <c r="O86" s="31"/>
      <c r="P86" s="31"/>
      <c r="Q86" s="31"/>
      <c r="R86" s="31"/>
      <c r="S86" s="31"/>
      <c r="T86" s="31"/>
      <c r="U86" s="200"/>
      <c r="V86" s="200"/>
      <c r="W86" s="200"/>
      <c r="X86" s="200"/>
      <c r="Y86" s="200"/>
      <c r="Z86" s="200"/>
      <c r="AA86" s="200"/>
      <c r="AB86" s="201"/>
      <c r="AC86" s="200"/>
      <c r="AD86" s="200"/>
    </row>
    <row r="87" spans="1:49" s="191" customFormat="1" ht="18" customHeight="1">
      <c r="A87" s="187"/>
      <c r="B87" s="187"/>
      <c r="C87" s="188"/>
      <c r="D87" s="32"/>
      <c r="E87" s="861"/>
      <c r="F87" s="862"/>
      <c r="G87" s="869"/>
      <c r="H87" s="870"/>
      <c r="I87" s="871"/>
      <c r="J87" s="31"/>
      <c r="K87" s="31"/>
      <c r="L87" s="31"/>
      <c r="M87" s="31"/>
      <c r="N87" s="31"/>
      <c r="O87" s="31"/>
      <c r="P87" s="31"/>
      <c r="Q87" s="31"/>
      <c r="R87" s="31"/>
      <c r="S87" s="31"/>
      <c r="T87" s="31"/>
      <c r="U87" s="200"/>
      <c r="V87" s="200"/>
      <c r="W87" s="200"/>
      <c r="X87" s="200"/>
      <c r="Y87" s="200"/>
      <c r="Z87" s="200"/>
      <c r="AA87" s="200"/>
      <c r="AB87" s="201"/>
      <c r="AC87" s="200"/>
      <c r="AD87" s="200"/>
    </row>
    <row r="88" spans="1:49" s="191" customFormat="1" ht="18" customHeight="1">
      <c r="A88" s="187"/>
      <c r="B88" s="187"/>
      <c r="C88" s="188"/>
      <c r="D88" s="32"/>
      <c r="E88" s="861"/>
      <c r="F88" s="862"/>
      <c r="G88" s="869"/>
      <c r="H88" s="870"/>
      <c r="I88" s="871"/>
      <c r="J88" s="31"/>
      <c r="K88" s="31"/>
      <c r="L88" s="31"/>
      <c r="M88" s="31"/>
      <c r="N88" s="31"/>
      <c r="O88" s="31"/>
      <c r="P88" s="31"/>
      <c r="Q88" s="31"/>
      <c r="R88" s="31"/>
      <c r="S88" s="31"/>
      <c r="T88" s="31"/>
      <c r="U88" s="200"/>
      <c r="V88" s="200"/>
      <c r="W88" s="200"/>
      <c r="X88" s="200"/>
      <c r="Y88" s="200"/>
      <c r="Z88" s="200"/>
      <c r="AA88" s="200"/>
      <c r="AB88" s="201"/>
      <c r="AC88" s="200"/>
      <c r="AD88" s="200"/>
    </row>
    <row r="89" spans="1:49" s="191" customFormat="1" ht="18" customHeight="1">
      <c r="A89" s="187"/>
      <c r="B89" s="187"/>
      <c r="C89" s="188"/>
      <c r="D89" s="32"/>
      <c r="E89" s="861"/>
      <c r="F89" s="862"/>
      <c r="G89" s="869"/>
      <c r="H89" s="870"/>
      <c r="I89" s="871"/>
      <c r="J89" s="31"/>
      <c r="K89" s="31"/>
      <c r="L89" s="31"/>
      <c r="M89" s="31"/>
      <c r="N89" s="31"/>
      <c r="O89" s="31"/>
      <c r="P89" s="31"/>
      <c r="Q89" s="31"/>
      <c r="R89" s="31"/>
      <c r="S89" s="31"/>
      <c r="T89" s="31"/>
      <c r="U89" s="200"/>
      <c r="V89" s="200"/>
      <c r="W89" s="200"/>
      <c r="X89" s="200"/>
      <c r="Y89" s="200"/>
      <c r="Z89" s="200"/>
      <c r="AA89" s="200"/>
      <c r="AB89" s="201"/>
      <c r="AC89" s="200"/>
      <c r="AD89" s="200"/>
    </row>
    <row r="90" spans="1:49" s="191" customFormat="1" ht="18" customHeight="1">
      <c r="A90" s="187"/>
      <c r="B90" s="187"/>
      <c r="C90" s="188"/>
      <c r="D90" s="32"/>
      <c r="E90" s="861"/>
      <c r="F90" s="862"/>
      <c r="G90" s="869"/>
      <c r="H90" s="870"/>
      <c r="I90" s="871"/>
      <c r="J90" s="31"/>
      <c r="K90" s="31"/>
      <c r="L90" s="31"/>
      <c r="M90" s="31"/>
      <c r="N90" s="31"/>
      <c r="O90" s="31"/>
      <c r="P90" s="31"/>
      <c r="Q90" s="31"/>
      <c r="R90" s="31"/>
      <c r="S90" s="31"/>
      <c r="T90" s="31"/>
      <c r="U90" s="200"/>
      <c r="V90" s="200"/>
      <c r="W90" s="200"/>
      <c r="X90" s="200"/>
      <c r="Y90" s="200"/>
      <c r="Z90" s="200"/>
      <c r="AA90" s="200"/>
      <c r="AB90" s="201"/>
      <c r="AC90" s="200"/>
      <c r="AD90" s="200"/>
    </row>
    <row r="91" spans="1:49" s="191" customFormat="1" ht="18" customHeight="1" thickBot="1">
      <c r="A91" s="187"/>
      <c r="B91" s="187"/>
      <c r="C91" s="188"/>
      <c r="D91" s="32"/>
      <c r="E91" s="859"/>
      <c r="F91" s="860"/>
      <c r="G91" s="838"/>
      <c r="H91" s="839"/>
      <c r="I91" s="858"/>
      <c r="J91" s="31"/>
      <c r="K91" s="31"/>
      <c r="L91" s="31"/>
      <c r="M91" s="31"/>
      <c r="N91" s="31"/>
      <c r="O91" s="31"/>
      <c r="P91" s="31"/>
      <c r="Q91" s="31"/>
      <c r="R91" s="31"/>
      <c r="S91" s="31"/>
      <c r="T91" s="31"/>
      <c r="U91" s="200"/>
      <c r="V91" s="200"/>
      <c r="W91" s="200"/>
      <c r="X91" s="200"/>
      <c r="Y91" s="200"/>
      <c r="Z91" s="200"/>
      <c r="AA91" s="201"/>
      <c r="AB91" s="200"/>
      <c r="AC91" s="200"/>
    </row>
    <row r="92" spans="1:49" s="191" customFormat="1" ht="36" customHeight="1">
      <c r="A92" s="187"/>
      <c r="B92" s="187"/>
      <c r="C92" s="188"/>
      <c r="D92" s="32"/>
      <c r="E92" s="31"/>
      <c r="F92" s="31"/>
      <c r="G92" s="31"/>
      <c r="H92" s="31"/>
      <c r="I92" s="31"/>
      <c r="J92" s="31"/>
      <c r="K92" s="31"/>
      <c r="L92" s="31"/>
      <c r="M92" s="31"/>
      <c r="N92" s="31"/>
      <c r="O92" s="31"/>
      <c r="P92" s="31"/>
      <c r="Q92" s="31"/>
      <c r="R92" s="31"/>
      <c r="S92" s="31"/>
      <c r="T92" s="31"/>
      <c r="U92" s="200"/>
      <c r="V92" s="200"/>
      <c r="W92" s="200"/>
      <c r="X92" s="200"/>
      <c r="Y92" s="200"/>
      <c r="Z92" s="200"/>
      <c r="AA92" s="201"/>
      <c r="AB92" s="200"/>
      <c r="AC92" s="200"/>
      <c r="AD92" s="200"/>
      <c r="AE92" s="200"/>
    </row>
    <row r="93" spans="1:49" s="191" customFormat="1" ht="18" customHeight="1">
      <c r="A93" s="187"/>
      <c r="B93" s="187"/>
      <c r="C93" s="188"/>
      <c r="D93" s="52" t="s">
        <v>4345</v>
      </c>
      <c r="E93" s="14"/>
      <c r="F93" s="14"/>
      <c r="G93" s="14"/>
      <c r="H93" s="14"/>
      <c r="I93" s="14"/>
      <c r="J93" s="14"/>
      <c r="K93" s="14"/>
      <c r="L93" s="14"/>
      <c r="M93" s="14"/>
      <c r="N93" s="14"/>
      <c r="O93" s="14"/>
      <c r="P93" s="14"/>
      <c r="Q93" s="14"/>
      <c r="R93" s="14"/>
      <c r="S93" s="31"/>
      <c r="T93" s="31"/>
      <c r="U93" s="200"/>
      <c r="V93" s="200"/>
      <c r="W93" s="200"/>
      <c r="X93" s="200"/>
      <c r="Y93" s="200"/>
      <c r="Z93" s="200"/>
      <c r="AA93" s="201"/>
      <c r="AB93" s="200"/>
      <c r="AC93" s="200"/>
      <c r="AD93" s="200"/>
    </row>
    <row r="94" spans="1:49" s="191" customFormat="1" ht="18" customHeight="1" thickBot="1">
      <c r="A94" s="187"/>
      <c r="B94" s="187"/>
      <c r="C94" s="188"/>
      <c r="D94" s="14"/>
      <c r="E94" s="16" t="s">
        <v>4252</v>
      </c>
      <c r="F94" s="14"/>
      <c r="G94" s="14"/>
      <c r="H94" s="14"/>
      <c r="I94" s="14"/>
      <c r="J94" s="79"/>
      <c r="K94" s="14"/>
      <c r="L94" s="14"/>
      <c r="M94" s="131"/>
      <c r="N94" s="41"/>
      <c r="O94" s="956"/>
      <c r="P94" s="956"/>
      <c r="Q94" s="956"/>
      <c r="R94" s="956"/>
      <c r="S94" s="31"/>
      <c r="T94" s="31"/>
      <c r="U94" s="200"/>
      <c r="V94" s="200"/>
      <c r="AA94" s="199"/>
    </row>
    <row r="95" spans="1:49" s="191" customFormat="1" ht="38" customHeight="1">
      <c r="A95" s="187"/>
      <c r="B95" s="187"/>
      <c r="C95" s="188"/>
      <c r="D95" s="32"/>
      <c r="E95" s="164" t="s">
        <v>100</v>
      </c>
      <c r="F95" s="246"/>
      <c r="G95" s="247"/>
      <c r="H95" s="247"/>
      <c r="I95" s="247"/>
      <c r="J95" s="31"/>
      <c r="K95" s="31"/>
      <c r="L95" s="31"/>
      <c r="M95" s="31"/>
      <c r="N95" s="31"/>
      <c r="O95" s="31"/>
      <c r="P95" s="14"/>
      <c r="Q95" s="31"/>
      <c r="R95" s="31"/>
      <c r="S95" s="31"/>
      <c r="T95" s="31"/>
      <c r="U95" s="200"/>
      <c r="V95" s="200"/>
      <c r="W95" s="200"/>
      <c r="X95" s="200"/>
      <c r="Y95" s="200"/>
      <c r="Z95" s="200"/>
      <c r="AA95" s="200"/>
      <c r="AB95" s="201"/>
      <c r="AC95" s="200"/>
      <c r="AD95" s="200"/>
      <c r="AW95" s="187"/>
    </row>
    <row r="96" spans="1:49" s="191" customFormat="1" ht="18" customHeight="1">
      <c r="A96" s="187"/>
      <c r="B96" s="187"/>
      <c r="C96" s="188"/>
      <c r="D96" s="32"/>
      <c r="E96" s="71" t="s">
        <v>67</v>
      </c>
      <c r="F96" s="72"/>
      <c r="G96" s="948" t="str">
        <f>'入力シート（計画書）'!G96&amp;""</f>
        <v/>
      </c>
      <c r="H96" s="949"/>
      <c r="I96" s="950"/>
      <c r="J96" s="31"/>
      <c r="K96" s="31"/>
      <c r="L96" s="31"/>
      <c r="M96" s="31"/>
      <c r="N96" s="31"/>
      <c r="O96" s="31"/>
      <c r="P96" s="31"/>
      <c r="Q96" s="31"/>
      <c r="R96" s="31"/>
      <c r="S96" s="31"/>
      <c r="T96" s="31"/>
      <c r="U96" s="200"/>
      <c r="V96" s="200"/>
      <c r="W96" s="200"/>
      <c r="X96" s="200"/>
      <c r="Y96" s="200"/>
      <c r="Z96" s="200"/>
      <c r="AA96" s="200"/>
      <c r="AB96" s="201"/>
      <c r="AC96" s="200"/>
      <c r="AD96" s="200"/>
    </row>
    <row r="97" spans="1:34" s="191" customFormat="1" ht="18" customHeight="1">
      <c r="A97" s="187"/>
      <c r="B97" s="187"/>
      <c r="C97" s="188"/>
      <c r="D97" s="32"/>
      <c r="E97" s="73" t="s">
        <v>103</v>
      </c>
      <c r="F97" s="74"/>
      <c r="G97" s="945" t="str">
        <f>'入力シート（計画書）'!G97&amp;""</f>
        <v/>
      </c>
      <c r="H97" s="946"/>
      <c r="I97" s="947"/>
      <c r="J97" s="31"/>
      <c r="K97" s="31"/>
      <c r="L97" s="31"/>
      <c r="M97" s="31"/>
      <c r="N97" s="31"/>
      <c r="O97" s="31"/>
      <c r="P97" s="31"/>
      <c r="Q97" s="31"/>
      <c r="R97" s="31"/>
      <c r="S97" s="31"/>
      <c r="T97" s="31"/>
      <c r="U97" s="200"/>
      <c r="V97" s="200"/>
      <c r="W97" s="200"/>
      <c r="X97" s="200"/>
      <c r="Y97" s="200"/>
      <c r="Z97" s="200"/>
      <c r="AA97" s="200"/>
      <c r="AB97" s="201"/>
      <c r="AC97" s="200"/>
      <c r="AD97" s="200"/>
    </row>
    <row r="98" spans="1:34" s="191" customFormat="1" ht="18" customHeight="1" thickBot="1">
      <c r="A98" s="187"/>
      <c r="B98" s="187"/>
      <c r="C98" s="188"/>
      <c r="D98" s="32"/>
      <c r="E98" s="75" t="s">
        <v>102</v>
      </c>
      <c r="F98" s="76"/>
      <c r="G98" s="842"/>
      <c r="H98" s="843"/>
      <c r="I98" s="844"/>
      <c r="J98" s="14" t="str">
        <f>"　←"&amp;$AB$1+1&amp;"年度（第１年度）の数値をご入力ください。"</f>
        <v>　←1年度（第１年度）の数値をご入力ください。</v>
      </c>
      <c r="K98" s="31"/>
      <c r="L98" s="31"/>
      <c r="M98" s="31"/>
      <c r="N98" s="31"/>
      <c r="O98" s="31"/>
      <c r="P98" s="31"/>
      <c r="Q98" s="31"/>
      <c r="R98" s="31"/>
      <c r="S98" s="31"/>
      <c r="T98" s="31"/>
      <c r="U98" s="200"/>
      <c r="V98" s="200"/>
      <c r="W98" s="200"/>
      <c r="X98" s="200"/>
      <c r="Y98" s="200"/>
      <c r="Z98" s="200"/>
      <c r="AA98" s="200"/>
      <c r="AB98" s="201"/>
      <c r="AC98" s="200"/>
      <c r="AD98" s="200"/>
    </row>
    <row r="99" spans="1:34" s="197" customFormat="1" ht="18" customHeight="1">
      <c r="A99" s="192"/>
      <c r="B99" s="192"/>
      <c r="C99" s="192"/>
      <c r="D99" s="28"/>
      <c r="E99" s="28"/>
      <c r="F99" s="28"/>
      <c r="G99" s="28"/>
      <c r="H99" s="28"/>
      <c r="I99" s="28"/>
      <c r="J99" s="28"/>
      <c r="K99" s="28"/>
      <c r="L99" s="28"/>
      <c r="M99" s="28"/>
      <c r="N99" s="28"/>
      <c r="O99" s="28"/>
      <c r="P99" s="28"/>
      <c r="Q99" s="28"/>
      <c r="R99" s="28"/>
      <c r="S99" s="28"/>
      <c r="T99" s="14"/>
      <c r="U99" s="191"/>
      <c r="V99" s="191"/>
      <c r="W99" s="191"/>
      <c r="X99" s="191"/>
      <c r="Y99" s="191"/>
      <c r="Z99" s="191"/>
      <c r="AA99" s="199"/>
      <c r="AB99" s="191"/>
      <c r="AC99" s="191"/>
      <c r="AD99" s="191"/>
      <c r="AE99" s="191"/>
      <c r="AF99" s="191"/>
      <c r="AG99" s="191"/>
      <c r="AH99" s="191"/>
    </row>
    <row r="100" spans="1:34" s="197" customFormat="1" ht="18" hidden="1" customHeight="1">
      <c r="A100" s="192"/>
      <c r="B100" s="192"/>
      <c r="C100" s="192"/>
      <c r="D100" s="28"/>
      <c r="E100" s="28"/>
      <c r="F100" s="14"/>
      <c r="G100" s="28"/>
      <c r="H100" s="28"/>
      <c r="I100" s="28"/>
      <c r="J100" s="28"/>
      <c r="K100" s="28"/>
      <c r="L100" s="28"/>
      <c r="M100" s="28"/>
      <c r="N100" s="28"/>
      <c r="O100" s="28"/>
      <c r="P100" s="28"/>
      <c r="Q100" s="28"/>
      <c r="R100" s="28"/>
      <c r="S100" s="28"/>
      <c r="T100" s="14"/>
      <c r="U100" s="191"/>
      <c r="V100" s="191"/>
      <c r="W100" s="191"/>
      <c r="X100" s="191"/>
      <c r="Y100" s="191"/>
      <c r="Z100" s="191"/>
      <c r="AA100" s="199"/>
      <c r="AB100" s="191"/>
      <c r="AC100" s="191"/>
      <c r="AD100" s="191"/>
      <c r="AE100" s="191"/>
      <c r="AF100" s="191"/>
      <c r="AG100" s="191"/>
      <c r="AH100" s="191"/>
    </row>
    <row r="101" spans="1:34" s="191" customFormat="1" ht="18" hidden="1" customHeight="1">
      <c r="A101" s="187"/>
      <c r="B101" s="187"/>
      <c r="C101" s="188"/>
      <c r="D101" s="14"/>
      <c r="E101" s="14"/>
      <c r="F101" s="14"/>
      <c r="G101" s="14"/>
      <c r="H101" s="14"/>
      <c r="I101" s="14"/>
      <c r="J101" s="14"/>
      <c r="K101" s="14"/>
      <c r="L101" s="14"/>
      <c r="M101" s="14"/>
      <c r="N101" s="14"/>
      <c r="O101" s="14"/>
      <c r="P101" s="14"/>
      <c r="Q101" s="31"/>
      <c r="R101" s="31"/>
      <c r="S101" s="31"/>
      <c r="T101" s="31"/>
      <c r="U101" s="200"/>
      <c r="V101" s="200"/>
      <c r="W101" s="200"/>
      <c r="X101" s="200"/>
      <c r="Y101" s="200"/>
      <c r="Z101" s="200"/>
      <c r="AA101" s="199"/>
      <c r="AG101" s="200"/>
    </row>
    <row r="102" spans="1:34" s="191" customFormat="1" ht="18" hidden="1" customHeight="1">
      <c r="A102" s="187"/>
      <c r="B102" s="187"/>
      <c r="C102" s="192"/>
      <c r="D102" s="28"/>
      <c r="E102" s="28"/>
      <c r="F102" s="28"/>
      <c r="G102" s="28"/>
      <c r="H102" s="28"/>
      <c r="I102" s="28"/>
      <c r="J102" s="28"/>
      <c r="K102" s="28"/>
      <c r="L102" s="28"/>
      <c r="M102" s="28"/>
      <c r="N102" s="28"/>
      <c r="O102" s="28"/>
      <c r="P102" s="28"/>
      <c r="Q102" s="28"/>
      <c r="R102" s="28"/>
      <c r="S102" s="28"/>
      <c r="T102" s="28"/>
      <c r="U102" s="200"/>
      <c r="V102" s="200"/>
      <c r="W102" s="200"/>
      <c r="X102" s="200"/>
      <c r="Y102" s="200"/>
      <c r="Z102" s="200"/>
      <c r="AA102" s="199"/>
      <c r="AG102" s="200"/>
    </row>
    <row r="103" spans="1:34" s="191" customFormat="1" ht="18" hidden="1" customHeight="1">
      <c r="A103" s="187"/>
      <c r="B103" s="187"/>
      <c r="C103" s="192"/>
      <c r="D103" s="28"/>
      <c r="E103" s="28"/>
      <c r="F103" s="28"/>
      <c r="G103" s="28"/>
      <c r="H103" s="28"/>
      <c r="I103" s="28"/>
      <c r="J103" s="28"/>
      <c r="K103" s="28"/>
      <c r="L103" s="28"/>
      <c r="M103" s="28"/>
      <c r="N103" s="28"/>
      <c r="O103" s="28"/>
      <c r="P103" s="28"/>
      <c r="Q103" s="28"/>
      <c r="R103" s="28"/>
      <c r="S103" s="28"/>
      <c r="T103" s="28"/>
      <c r="U103" s="200"/>
      <c r="V103" s="200"/>
      <c r="W103" s="200"/>
      <c r="X103" s="200"/>
      <c r="Y103" s="200"/>
      <c r="Z103" s="200"/>
      <c r="AA103" s="199"/>
      <c r="AG103" s="200"/>
    </row>
    <row r="104" spans="1:34" s="191" customFormat="1" ht="18" hidden="1" customHeight="1">
      <c r="A104" s="187"/>
      <c r="B104" s="187"/>
      <c r="C104" s="192"/>
      <c r="D104" s="28"/>
      <c r="E104" s="28"/>
      <c r="F104" s="28"/>
      <c r="G104" s="28"/>
      <c r="H104" s="28"/>
      <c r="I104" s="28"/>
      <c r="J104" s="28"/>
      <c r="K104" s="28"/>
      <c r="L104" s="28"/>
      <c r="M104" s="28"/>
      <c r="N104" s="28"/>
      <c r="O104" s="28"/>
      <c r="P104" s="28"/>
      <c r="Q104" s="28"/>
      <c r="R104" s="28"/>
      <c r="S104" s="28"/>
      <c r="T104" s="28"/>
      <c r="U104" s="200"/>
      <c r="V104" s="200"/>
      <c r="W104" s="200"/>
      <c r="X104" s="200"/>
      <c r="Y104" s="200"/>
      <c r="Z104" s="200"/>
      <c r="AA104" s="201"/>
      <c r="AH104" s="200"/>
    </row>
    <row r="105" spans="1:34" s="191" customFormat="1" ht="18" hidden="1" customHeight="1">
      <c r="A105" s="187"/>
      <c r="B105" s="187"/>
      <c r="C105" s="192"/>
      <c r="D105" s="28"/>
      <c r="E105" s="28"/>
      <c r="F105" s="28"/>
      <c r="G105" s="28"/>
      <c r="H105" s="28"/>
      <c r="I105" s="28"/>
      <c r="J105" s="28"/>
      <c r="K105" s="28"/>
      <c r="L105" s="28"/>
      <c r="M105" s="28"/>
      <c r="N105" s="28"/>
      <c r="O105" s="28"/>
      <c r="P105" s="28"/>
      <c r="Q105" s="28"/>
      <c r="R105" s="28"/>
      <c r="S105" s="28"/>
      <c r="T105" s="28"/>
      <c r="U105" s="200"/>
      <c r="V105" s="200"/>
      <c r="W105" s="200"/>
      <c r="X105" s="200"/>
      <c r="Y105" s="200"/>
      <c r="Z105" s="200"/>
      <c r="AA105" s="201"/>
      <c r="AH105" s="200"/>
    </row>
    <row r="106" spans="1:34" s="191" customFormat="1" ht="18" hidden="1" customHeight="1">
      <c r="A106" s="187"/>
      <c r="B106" s="187"/>
      <c r="C106" s="192"/>
      <c r="D106" s="28"/>
      <c r="E106" s="28"/>
      <c r="F106" s="28"/>
      <c r="G106" s="28"/>
      <c r="H106" s="28"/>
      <c r="I106" s="28"/>
      <c r="J106" s="28"/>
      <c r="K106" s="28"/>
      <c r="L106" s="28"/>
      <c r="M106" s="28"/>
      <c r="N106" s="28"/>
      <c r="O106" s="28"/>
      <c r="P106" s="28"/>
      <c r="Q106" s="28"/>
      <c r="R106" s="28"/>
      <c r="S106" s="28"/>
      <c r="T106" s="28"/>
      <c r="U106" s="200"/>
      <c r="V106" s="200"/>
      <c r="W106" s="200"/>
      <c r="X106" s="200"/>
      <c r="Y106" s="200"/>
      <c r="Z106" s="200"/>
      <c r="AA106" s="201"/>
      <c r="AH106" s="200"/>
    </row>
    <row r="107" spans="1:34" s="230" customFormat="1" ht="18" hidden="1" customHeight="1">
      <c r="A107" s="193"/>
      <c r="B107" s="193"/>
      <c r="C107" s="192"/>
      <c r="D107" s="28"/>
      <c r="E107" s="28"/>
      <c r="F107" s="28"/>
      <c r="G107" s="28"/>
      <c r="H107" s="28"/>
      <c r="I107" s="28"/>
      <c r="J107" s="28"/>
      <c r="K107" s="28"/>
      <c r="L107" s="28"/>
      <c r="M107" s="28"/>
      <c r="N107" s="28"/>
      <c r="O107" s="28"/>
      <c r="P107" s="28"/>
      <c r="Q107" s="28"/>
      <c r="R107" s="28"/>
      <c r="S107" s="28"/>
      <c r="T107" s="28"/>
      <c r="U107" s="228"/>
      <c r="V107" s="228"/>
      <c r="W107" s="228"/>
      <c r="X107" s="228"/>
      <c r="Y107" s="228"/>
      <c r="Z107" s="228"/>
      <c r="AA107" s="229"/>
      <c r="AG107" s="228"/>
    </row>
    <row r="108" spans="1:34" s="230" customFormat="1" ht="18" customHeight="1">
      <c r="A108" s="193"/>
      <c r="B108" s="193"/>
      <c r="C108" s="192"/>
      <c r="D108" s="28"/>
      <c r="E108" s="28"/>
      <c r="F108" s="28"/>
      <c r="G108" s="28"/>
      <c r="H108" s="28"/>
      <c r="I108" s="28"/>
      <c r="J108" s="28"/>
      <c r="K108" s="28"/>
      <c r="L108" s="28"/>
      <c r="M108" s="28"/>
      <c r="N108" s="28"/>
      <c r="O108" s="28"/>
      <c r="P108" s="28"/>
      <c r="Q108" s="28"/>
      <c r="R108" s="28"/>
      <c r="S108" s="28"/>
      <c r="T108" s="28"/>
      <c r="U108" s="228"/>
      <c r="V108" s="228"/>
      <c r="W108" s="228"/>
      <c r="X108" s="228"/>
      <c r="Y108" s="228"/>
      <c r="Z108" s="228"/>
      <c r="AA108" s="229"/>
      <c r="AG108" s="228"/>
    </row>
    <row r="109" spans="1:34" s="230" customFormat="1" ht="18" customHeight="1">
      <c r="A109" s="193"/>
      <c r="B109" s="193"/>
      <c r="C109" s="192"/>
      <c r="D109" s="52" t="s">
        <v>4434</v>
      </c>
      <c r="E109" s="28"/>
      <c r="F109" s="28"/>
      <c r="G109" s="28"/>
      <c r="H109" s="28"/>
      <c r="I109" s="28"/>
      <c r="J109" s="28"/>
      <c r="K109" s="28"/>
      <c r="L109" s="28"/>
      <c r="M109" s="28"/>
      <c r="N109" s="28"/>
      <c r="O109" s="28"/>
      <c r="P109" s="28"/>
      <c r="Q109" s="28"/>
      <c r="R109" s="28"/>
      <c r="S109" s="28"/>
      <c r="T109" s="28"/>
      <c r="U109" s="228"/>
      <c r="V109" s="228"/>
      <c r="W109" s="228"/>
      <c r="X109" s="228"/>
      <c r="Y109" s="228"/>
      <c r="Z109" s="228"/>
      <c r="AA109" s="229"/>
      <c r="AG109" s="228"/>
    </row>
    <row r="110" spans="1:34" s="230" customFormat="1" ht="18" customHeight="1" thickBot="1">
      <c r="A110" s="193"/>
      <c r="B110" s="193"/>
      <c r="C110" s="192"/>
      <c r="D110" s="28"/>
      <c r="E110" s="711" t="str">
        <f>"６-１．" &amp; $AB$1+1&amp; "年度末における使用車両数をご入力ください。"</f>
        <v>６-１．1年度末における使用車両数をご入力ください。</v>
      </c>
      <c r="F110" s="168"/>
      <c r="G110" s="168"/>
      <c r="H110" s="168"/>
      <c r="I110" s="28"/>
      <c r="J110" s="28"/>
      <c r="K110" s="28"/>
      <c r="L110" s="28"/>
      <c r="M110" s="28"/>
      <c r="N110" s="28"/>
      <c r="O110" s="28"/>
      <c r="P110" s="28"/>
      <c r="Q110" s="28"/>
      <c r="R110" s="28"/>
      <c r="S110" s="28"/>
      <c r="T110" s="28"/>
      <c r="U110" s="228"/>
      <c r="V110" s="228"/>
      <c r="W110" s="228"/>
      <c r="X110" s="228"/>
      <c r="Y110" s="228"/>
      <c r="Z110" s="228"/>
      <c r="AA110" s="229"/>
      <c r="AG110" s="228"/>
    </row>
    <row r="111" spans="1:34" s="230" customFormat="1" ht="18" customHeight="1">
      <c r="A111" s="193"/>
      <c r="B111" s="193"/>
      <c r="C111" s="192"/>
      <c r="D111" s="28"/>
      <c r="E111" s="933" t="s">
        <v>4422</v>
      </c>
      <c r="F111" s="934"/>
      <c r="G111" s="929" t="s">
        <v>4416</v>
      </c>
      <c r="H111" s="930"/>
      <c r="I111" s="933" t="s">
        <v>4417</v>
      </c>
      <c r="J111" s="934"/>
      <c r="K111" s="934"/>
      <c r="L111" s="934"/>
      <c r="M111" s="934"/>
      <c r="N111" s="960" t="s">
        <v>4418</v>
      </c>
      <c r="O111" s="28"/>
      <c r="P111" s="28"/>
      <c r="Q111" s="28"/>
      <c r="R111" s="28"/>
      <c r="S111" s="28"/>
      <c r="T111" s="28"/>
      <c r="U111" s="228"/>
      <c r="V111" s="228"/>
      <c r="W111" s="228"/>
      <c r="X111" s="228"/>
      <c r="Y111" s="228"/>
      <c r="Z111" s="228"/>
      <c r="AA111" s="229"/>
      <c r="AG111" s="228"/>
    </row>
    <row r="112" spans="1:34" s="230" customFormat="1" ht="18" customHeight="1">
      <c r="A112" s="193"/>
      <c r="B112" s="193"/>
      <c r="C112" s="192"/>
      <c r="D112" s="28"/>
      <c r="E112" s="935"/>
      <c r="F112" s="936"/>
      <c r="G112" s="931"/>
      <c r="H112" s="932"/>
      <c r="I112" s="935"/>
      <c r="J112" s="936"/>
      <c r="K112" s="936"/>
      <c r="L112" s="936"/>
      <c r="M112" s="936"/>
      <c r="N112" s="961"/>
      <c r="O112" s="28"/>
      <c r="P112" s="28"/>
      <c r="Q112" s="28"/>
      <c r="R112" s="28"/>
      <c r="S112" s="28"/>
      <c r="T112" s="28"/>
      <c r="U112" s="228"/>
      <c r="V112" s="228"/>
      <c r="W112" s="228"/>
      <c r="X112" s="228"/>
      <c r="Y112" s="228"/>
      <c r="Z112" s="228"/>
      <c r="AA112" s="229"/>
      <c r="AG112" s="228"/>
    </row>
    <row r="113" spans="1:34" s="230" customFormat="1" ht="18" customHeight="1">
      <c r="A113" s="193"/>
      <c r="B113" s="193"/>
      <c r="C113" s="192"/>
      <c r="D113" s="28"/>
      <c r="E113" s="834" t="s">
        <v>4423</v>
      </c>
      <c r="F113" s="835"/>
      <c r="G113" s="909"/>
      <c r="H113" s="910"/>
      <c r="I113" s="173" t="s">
        <v>4419</v>
      </c>
      <c r="J113" s="173"/>
      <c r="K113" s="251"/>
      <c r="L113" s="252"/>
      <c r="M113" s="252"/>
      <c r="N113" s="381"/>
      <c r="O113" s="28"/>
      <c r="P113" s="28"/>
      <c r="Q113" s="28"/>
      <c r="R113" s="28"/>
      <c r="S113" s="28"/>
      <c r="T113" s="28"/>
      <c r="U113" s="228"/>
      <c r="V113" s="228"/>
      <c r="W113" s="228"/>
      <c r="X113" s="228"/>
      <c r="Y113" s="228"/>
      <c r="Z113" s="228"/>
      <c r="AA113" s="229"/>
      <c r="AG113" s="228"/>
    </row>
    <row r="114" spans="1:34" s="230" customFormat="1" ht="18" customHeight="1">
      <c r="A114" s="193"/>
      <c r="B114" s="193"/>
      <c r="C114" s="192"/>
      <c r="D114" s="28"/>
      <c r="E114" s="836"/>
      <c r="F114" s="837"/>
      <c r="G114" s="905"/>
      <c r="H114" s="906"/>
      <c r="I114" s="170" t="s">
        <v>4420</v>
      </c>
      <c r="J114" s="170"/>
      <c r="K114" s="177"/>
      <c r="L114" s="178"/>
      <c r="M114" s="178"/>
      <c r="N114" s="382"/>
      <c r="O114" s="28"/>
      <c r="P114" s="28"/>
      <c r="Q114" s="28"/>
      <c r="R114" s="28"/>
      <c r="S114" s="28"/>
      <c r="T114" s="28"/>
      <c r="U114" s="228"/>
      <c r="V114" s="228"/>
      <c r="W114" s="228"/>
      <c r="X114" s="228"/>
      <c r="Y114" s="228"/>
      <c r="Z114" s="228"/>
      <c r="AA114" s="229"/>
      <c r="AG114" s="228"/>
    </row>
    <row r="115" spans="1:34" s="230" customFormat="1" ht="18" customHeight="1">
      <c r="A115" s="193"/>
      <c r="B115" s="193"/>
      <c r="C115" s="192"/>
      <c r="D115" s="28"/>
      <c r="E115" s="836"/>
      <c r="F115" s="837"/>
      <c r="G115" s="905"/>
      <c r="H115" s="906"/>
      <c r="I115" s="171" t="s">
        <v>4421</v>
      </c>
      <c r="J115" s="171"/>
      <c r="K115" s="171"/>
      <c r="L115" s="174"/>
      <c r="M115" s="174"/>
      <c r="N115" s="385"/>
      <c r="O115" s="28"/>
      <c r="P115" s="28"/>
      <c r="Q115" s="28"/>
      <c r="R115" s="28"/>
      <c r="S115" s="28"/>
      <c r="T115" s="28"/>
      <c r="U115" s="228"/>
      <c r="V115" s="228"/>
      <c r="W115" s="228"/>
      <c r="X115" s="228"/>
      <c r="Y115" s="228"/>
      <c r="Z115" s="228"/>
      <c r="AA115" s="229"/>
      <c r="AG115" s="228"/>
    </row>
    <row r="116" spans="1:34" s="230" customFormat="1" ht="18" customHeight="1">
      <c r="A116" s="193"/>
      <c r="B116" s="193"/>
      <c r="C116" s="192"/>
      <c r="D116" s="28"/>
      <c r="E116" s="830" t="s">
        <v>4424</v>
      </c>
      <c r="F116" s="831"/>
      <c r="G116" s="905"/>
      <c r="H116" s="906"/>
      <c r="I116" s="169" t="s">
        <v>4419</v>
      </c>
      <c r="J116" s="175"/>
      <c r="K116" s="175"/>
      <c r="L116" s="175"/>
      <c r="M116" s="175"/>
      <c r="N116" s="386"/>
      <c r="O116" s="28"/>
      <c r="P116" s="28"/>
      <c r="Q116" s="28"/>
      <c r="R116" s="28"/>
      <c r="S116" s="28"/>
      <c r="T116" s="28"/>
      <c r="U116" s="228"/>
      <c r="V116" s="228"/>
      <c r="W116" s="228"/>
      <c r="X116" s="228"/>
      <c r="Y116" s="228"/>
      <c r="Z116" s="228"/>
      <c r="AA116" s="229"/>
      <c r="AG116" s="228"/>
    </row>
    <row r="117" spans="1:34" s="230" customFormat="1" ht="18" customHeight="1">
      <c r="A117" s="193"/>
      <c r="B117" s="193"/>
      <c r="C117" s="192"/>
      <c r="D117" s="28"/>
      <c r="E117" s="830"/>
      <c r="F117" s="831"/>
      <c r="G117" s="905"/>
      <c r="H117" s="906"/>
      <c r="I117" s="170" t="s">
        <v>4420</v>
      </c>
      <c r="J117" s="176"/>
      <c r="K117" s="176"/>
      <c r="L117" s="176"/>
      <c r="M117" s="176"/>
      <c r="N117" s="382"/>
      <c r="O117" s="28"/>
      <c r="P117" s="28"/>
      <c r="Q117" s="28"/>
      <c r="R117" s="28"/>
      <c r="S117" s="28"/>
      <c r="T117" s="28"/>
      <c r="U117" s="228"/>
      <c r="V117" s="228"/>
      <c r="W117" s="228"/>
      <c r="X117" s="228"/>
      <c r="Y117" s="228"/>
      <c r="Z117" s="228"/>
      <c r="AA117" s="229"/>
      <c r="AG117" s="228"/>
    </row>
    <row r="118" spans="1:34" s="230" customFormat="1" ht="18" customHeight="1">
      <c r="A118" s="193"/>
      <c r="B118" s="193"/>
      <c r="C118" s="192"/>
      <c r="D118" s="28"/>
      <c r="E118" s="830"/>
      <c r="F118" s="831"/>
      <c r="G118" s="905"/>
      <c r="H118" s="906"/>
      <c r="I118" s="171" t="s">
        <v>4421</v>
      </c>
      <c r="J118" s="174"/>
      <c r="K118" s="174"/>
      <c r="L118" s="174"/>
      <c r="M118" s="174"/>
      <c r="N118" s="385"/>
      <c r="O118" s="28"/>
      <c r="P118" s="28"/>
      <c r="Q118" s="28"/>
      <c r="R118" s="28"/>
      <c r="S118" s="28"/>
      <c r="T118" s="28"/>
      <c r="U118" s="228"/>
      <c r="V118" s="228"/>
      <c r="W118" s="228"/>
      <c r="X118" s="228"/>
      <c r="Y118" s="228"/>
      <c r="Z118" s="228"/>
      <c r="AA118" s="229"/>
      <c r="AG118" s="228"/>
    </row>
    <row r="119" spans="1:34" s="230" customFormat="1" ht="18" customHeight="1">
      <c r="A119" s="193"/>
      <c r="B119" s="193"/>
      <c r="C119" s="192"/>
      <c r="D119" s="28"/>
      <c r="E119" s="830" t="s">
        <v>4425</v>
      </c>
      <c r="F119" s="831"/>
      <c r="G119" s="905"/>
      <c r="H119" s="906"/>
      <c r="I119" s="169" t="s">
        <v>4419</v>
      </c>
      <c r="J119" s="175"/>
      <c r="K119" s="175"/>
      <c r="L119" s="175"/>
      <c r="M119" s="175"/>
      <c r="N119" s="386"/>
      <c r="O119" s="28"/>
      <c r="P119" s="28"/>
      <c r="Q119" s="28"/>
      <c r="R119" s="28"/>
      <c r="S119" s="28"/>
      <c r="T119" s="28"/>
      <c r="U119" s="228"/>
      <c r="V119" s="228"/>
      <c r="W119" s="228"/>
      <c r="X119" s="228"/>
      <c r="Y119" s="228"/>
      <c r="Z119" s="228"/>
      <c r="AA119" s="229"/>
      <c r="AG119" s="228"/>
    </row>
    <row r="120" spans="1:34" s="230" customFormat="1" ht="18" customHeight="1" thickBot="1">
      <c r="A120" s="193"/>
      <c r="B120" s="193"/>
      <c r="C120" s="192"/>
      <c r="D120" s="28"/>
      <c r="E120" s="832"/>
      <c r="F120" s="833"/>
      <c r="G120" s="907"/>
      <c r="H120" s="908"/>
      <c r="I120" s="732" t="s">
        <v>4420</v>
      </c>
      <c r="J120" s="733"/>
      <c r="K120" s="733"/>
      <c r="L120" s="733"/>
      <c r="M120" s="733"/>
      <c r="N120" s="734"/>
      <c r="O120" s="28"/>
      <c r="P120" s="28"/>
      <c r="Q120" s="28"/>
      <c r="R120" s="28"/>
      <c r="S120" s="28"/>
      <c r="T120" s="28"/>
      <c r="U120" s="228"/>
      <c r="V120" s="228"/>
      <c r="W120" s="228"/>
      <c r="X120" s="228"/>
      <c r="Y120" s="228"/>
      <c r="Z120" s="228"/>
      <c r="AA120" s="229"/>
      <c r="AG120" s="228"/>
    </row>
    <row r="121" spans="1:34" s="230" customFormat="1" ht="18" customHeight="1" thickTop="1" thickBot="1">
      <c r="A121" s="193"/>
      <c r="B121" s="193"/>
      <c r="C121" s="192"/>
      <c r="D121" s="28"/>
      <c r="E121" s="851" t="s">
        <v>4426</v>
      </c>
      <c r="F121" s="852"/>
      <c r="G121" s="853" t="str">
        <f>IF(COUNTBLANK(G113:G120)=8,"",SUM(G113,G116,G119))</f>
        <v/>
      </c>
      <c r="H121" s="854"/>
      <c r="I121" s="729" t="s">
        <v>4427</v>
      </c>
      <c r="J121" s="730"/>
      <c r="K121" s="730"/>
      <c r="L121" s="730"/>
      <c r="M121" s="731"/>
      <c r="N121" s="735" t="str">
        <f>IF(COUNTBLANK(N113:N120)=8,"",SUM(N113:N120))</f>
        <v/>
      </c>
      <c r="O121" s="28"/>
      <c r="P121" s="28"/>
      <c r="Q121" s="28"/>
      <c r="R121" s="28"/>
      <c r="S121" s="28"/>
      <c r="T121" s="28"/>
      <c r="U121" s="228"/>
      <c r="V121" s="228"/>
      <c r="W121" s="228"/>
      <c r="X121" s="228"/>
      <c r="Y121" s="228"/>
      <c r="Z121" s="228"/>
      <c r="AA121" s="229"/>
      <c r="AG121" s="228"/>
    </row>
    <row r="122" spans="1:34" s="230" customFormat="1" ht="18" customHeight="1">
      <c r="A122" s="193"/>
      <c r="B122" s="193"/>
      <c r="C122" s="192"/>
      <c r="D122" s="28"/>
      <c r="E122" s="28"/>
      <c r="F122" s="28"/>
      <c r="G122" s="37"/>
      <c r="H122" s="28"/>
      <c r="I122" s="31"/>
      <c r="J122" s="28"/>
      <c r="K122" s="28"/>
      <c r="L122" s="28"/>
      <c r="M122" s="28"/>
      <c r="N122" s="37"/>
      <c r="O122" s="28"/>
      <c r="P122" s="28"/>
      <c r="Q122" s="28"/>
      <c r="R122" s="28"/>
      <c r="S122" s="28"/>
      <c r="T122" s="28"/>
      <c r="U122" s="228"/>
      <c r="V122" s="228"/>
      <c r="W122" s="228"/>
      <c r="X122" s="228"/>
      <c r="Y122" s="228"/>
      <c r="Z122" s="228"/>
      <c r="AA122" s="229"/>
      <c r="AG122" s="228"/>
    </row>
    <row r="123" spans="1:34" s="230" customFormat="1" ht="18" hidden="1" customHeight="1">
      <c r="A123" s="193"/>
      <c r="B123" s="193"/>
      <c r="C123" s="192"/>
      <c r="D123" s="28"/>
      <c r="E123" s="28"/>
      <c r="F123" s="28"/>
      <c r="G123" s="28"/>
      <c r="H123" s="28"/>
      <c r="I123" s="31"/>
      <c r="J123" s="28"/>
      <c r="K123" s="28"/>
      <c r="L123" s="28"/>
      <c r="M123" s="28"/>
      <c r="N123" s="28"/>
      <c r="O123" s="28"/>
      <c r="P123" s="28"/>
      <c r="Q123" s="28"/>
      <c r="R123" s="28"/>
      <c r="S123" s="28"/>
      <c r="T123" s="28"/>
      <c r="U123" s="228"/>
      <c r="V123" s="228"/>
      <c r="W123" s="228"/>
      <c r="X123" s="228"/>
      <c r="Y123" s="228"/>
      <c r="Z123" s="228"/>
      <c r="AA123" s="229"/>
      <c r="AG123" s="228"/>
    </row>
    <row r="124" spans="1:34" s="230" customFormat="1" ht="18" hidden="1" customHeight="1">
      <c r="A124" s="193"/>
      <c r="B124" s="193"/>
      <c r="C124" s="192"/>
      <c r="D124" s="28"/>
      <c r="E124" s="28"/>
      <c r="F124" s="28"/>
      <c r="G124" s="28"/>
      <c r="H124" s="28"/>
      <c r="I124" s="31"/>
      <c r="J124" s="28"/>
      <c r="K124" s="28"/>
      <c r="L124" s="28"/>
      <c r="M124" s="28"/>
      <c r="N124" s="28"/>
      <c r="O124" s="28"/>
      <c r="P124" s="28"/>
      <c r="Q124" s="28"/>
      <c r="R124" s="28"/>
      <c r="S124" s="28"/>
      <c r="T124" s="28"/>
      <c r="U124" s="228"/>
      <c r="V124" s="228"/>
      <c r="W124" s="228"/>
      <c r="X124" s="228"/>
      <c r="Y124" s="228"/>
      <c r="Z124" s="228"/>
      <c r="AA124" s="229"/>
      <c r="AG124" s="228"/>
    </row>
    <row r="125" spans="1:34" s="191" customFormat="1" ht="18" customHeight="1">
      <c r="A125" s="187"/>
      <c r="B125" s="187"/>
      <c r="C125" s="192"/>
      <c r="D125" s="28"/>
      <c r="E125" s="28"/>
      <c r="F125" s="28"/>
      <c r="G125" s="28"/>
      <c r="H125" s="28"/>
      <c r="I125" s="28"/>
      <c r="J125" s="28"/>
      <c r="K125" s="28"/>
      <c r="L125" s="28"/>
      <c r="M125" s="28"/>
      <c r="N125" s="28"/>
      <c r="O125" s="28"/>
      <c r="P125" s="28"/>
      <c r="Q125" s="28"/>
      <c r="R125" s="28"/>
      <c r="S125" s="28"/>
      <c r="T125" s="28"/>
      <c r="U125" s="200"/>
      <c r="V125" s="200"/>
      <c r="W125" s="200"/>
      <c r="X125" s="200"/>
      <c r="Y125" s="200"/>
      <c r="Z125" s="200"/>
      <c r="AA125" s="201"/>
      <c r="AH125" s="200"/>
    </row>
    <row r="126" spans="1:34" s="197" customFormat="1" ht="18" customHeight="1">
      <c r="A126" s="192"/>
      <c r="B126" s="192"/>
      <c r="C126" s="192"/>
      <c r="D126" s="34" t="s">
        <v>4537</v>
      </c>
      <c r="E126" s="32"/>
      <c r="F126" s="32"/>
      <c r="G126" s="32"/>
      <c r="H126" s="32"/>
      <c r="I126" s="32"/>
      <c r="J126" s="32"/>
      <c r="K126" s="32"/>
      <c r="L126" s="32"/>
      <c r="M126" s="32"/>
      <c r="N126" s="32"/>
      <c r="O126" s="32"/>
      <c r="P126" s="32"/>
      <c r="Q126" s="28"/>
      <c r="R126" s="28"/>
      <c r="S126" s="28"/>
      <c r="T126" s="14"/>
      <c r="U126" s="191"/>
      <c r="V126" s="191"/>
      <c r="W126" s="191"/>
      <c r="X126" s="191"/>
      <c r="Y126" s="191"/>
      <c r="Z126" s="191"/>
      <c r="AA126" s="199"/>
      <c r="AB126" s="191"/>
      <c r="AC126" s="191"/>
      <c r="AD126" s="191"/>
      <c r="AE126" s="191"/>
      <c r="AF126" s="191"/>
      <c r="AG126" s="191"/>
      <c r="AH126" s="191"/>
    </row>
    <row r="127" spans="1:34" s="191" customFormat="1" ht="18" hidden="1" customHeight="1">
      <c r="A127" s="187"/>
      <c r="B127" s="187"/>
      <c r="C127" s="192"/>
      <c r="D127" s="14"/>
      <c r="E127" s="99" t="str">
        <f>"７-１．『"&amp;N3&amp;"』の"&amp;AB1&amp;"年度（基準年度）における温室効果ガスの排出状況は以下のとおりです。"</f>
        <v>７-１．『』の0年度（基準年度）における温室効果ガスの排出状況は以下のとおりです。</v>
      </c>
      <c r="F127" s="28"/>
      <c r="G127" s="28"/>
      <c r="H127" s="28"/>
      <c r="I127" s="28"/>
      <c r="J127" s="28"/>
      <c r="K127" s="28"/>
      <c r="L127" s="28"/>
      <c r="M127" s="28"/>
      <c r="N127" s="28"/>
      <c r="O127" s="28"/>
      <c r="P127" s="14"/>
      <c r="Q127" s="31"/>
      <c r="R127" s="31"/>
      <c r="S127" s="31"/>
      <c r="T127" s="14"/>
      <c r="AA127" s="199"/>
      <c r="AG127" s="200"/>
    </row>
    <row r="128" spans="1:34" s="191" customFormat="1" ht="18" customHeight="1">
      <c r="A128" s="187"/>
      <c r="B128" s="187"/>
      <c r="C128" s="192"/>
      <c r="D128" s="14"/>
      <c r="E128" s="16" t="s">
        <v>4530</v>
      </c>
      <c r="F128" s="28"/>
      <c r="G128" s="28"/>
      <c r="H128" s="28"/>
      <c r="I128" s="28"/>
      <c r="J128" s="28"/>
      <c r="K128" s="28"/>
      <c r="L128" s="28"/>
      <c r="M128" s="28"/>
      <c r="N128" s="28"/>
      <c r="O128" s="28"/>
      <c r="P128" s="14"/>
      <c r="Q128" s="31"/>
      <c r="R128" s="31"/>
      <c r="S128" s="31"/>
      <c r="T128" s="14"/>
      <c r="AA128" s="199"/>
      <c r="AG128" s="200"/>
    </row>
    <row r="129" spans="1:37" s="191" customFormat="1" ht="18" hidden="1" customHeight="1">
      <c r="A129" s="187"/>
      <c r="B129" s="187"/>
      <c r="C129" s="192"/>
      <c r="D129" s="28"/>
      <c r="E129" s="28"/>
      <c r="F129" s="28"/>
      <c r="G129" s="28"/>
      <c r="H129" s="28"/>
      <c r="I129" s="28"/>
      <c r="J129" s="28"/>
      <c r="K129" s="28"/>
      <c r="L129" s="28"/>
      <c r="M129" s="28"/>
      <c r="N129" s="28"/>
      <c r="O129" s="14"/>
      <c r="P129" s="14"/>
      <c r="Q129" s="31"/>
      <c r="R129" s="31"/>
      <c r="S129" s="31"/>
      <c r="T129" s="14"/>
      <c r="AA129" s="199"/>
      <c r="AD129" s="200"/>
      <c r="AE129" s="200"/>
      <c r="AF129" s="200"/>
      <c r="AG129" s="200"/>
    </row>
    <row r="130" spans="1:37" s="191" customFormat="1" ht="36" customHeight="1">
      <c r="A130" s="187"/>
      <c r="B130" s="187"/>
      <c r="C130" s="192"/>
      <c r="D130" s="28"/>
      <c r="E130" s="772" t="s">
        <v>4226</v>
      </c>
      <c r="F130" s="773"/>
      <c r="G130" s="786" t="str">
        <f>IF($AB$1=0,"",$AB$1)</f>
        <v/>
      </c>
      <c r="H130" s="826"/>
      <c r="I130" s="764" t="s">
        <v>4277</v>
      </c>
      <c r="J130" s="765"/>
      <c r="K130" s="765"/>
      <c r="L130" s="766"/>
      <c r="M130" s="254" t="s">
        <v>4231</v>
      </c>
      <c r="N130" s="264" t="str">
        <f>IF('P1'!R4=0,"",'P1'!V14)</f>
        <v/>
      </c>
      <c r="O130" s="258" t="s">
        <v>4499</v>
      </c>
      <c r="P130" s="265" t="s">
        <v>4232</v>
      </c>
      <c r="Q130" s="707" t="str">
        <f>IF('P1'!R4=0,"",'P1'!V17)</f>
        <v/>
      </c>
      <c r="R130" s="259" t="str">
        <f>"t-CO₂/"&amp;$G$97</f>
        <v>t-CO₂/</v>
      </c>
      <c r="S130" s="31"/>
      <c r="T130" s="31"/>
      <c r="U130" s="200"/>
      <c r="V130" s="200"/>
      <c r="AD130" s="199"/>
      <c r="AG130" s="200"/>
      <c r="AH130" s="200"/>
      <c r="AI130" s="200"/>
      <c r="AJ130" s="200"/>
    </row>
    <row r="131" spans="1:37" s="191" customFormat="1" ht="36" customHeight="1">
      <c r="A131" s="187"/>
      <c r="B131" s="187"/>
      <c r="C131" s="192"/>
      <c r="D131" s="28"/>
      <c r="E131" s="776"/>
      <c r="F131" s="777"/>
      <c r="G131" s="790"/>
      <c r="H131" s="827"/>
      <c r="I131" s="748" t="s">
        <v>4511</v>
      </c>
      <c r="J131" s="749"/>
      <c r="K131" s="749"/>
      <c r="L131" s="749"/>
      <c r="M131" s="749"/>
      <c r="N131" s="749"/>
      <c r="O131" s="749"/>
      <c r="P131" s="750"/>
      <c r="Q131" s="266" t="str">
        <f>'入力シート（計画書）'!Q131</f>
        <v/>
      </c>
      <c r="R131" s="267" t="s">
        <v>106</v>
      </c>
      <c r="S131" s="31"/>
      <c r="T131" s="31"/>
      <c r="U131" s="200"/>
      <c r="V131" s="200"/>
      <c r="W131" s="200"/>
      <c r="X131" s="200"/>
      <c r="Y131" s="200"/>
      <c r="Z131" s="200"/>
      <c r="AA131" s="200"/>
      <c r="AB131" s="200"/>
      <c r="AC131" s="200"/>
      <c r="AD131" s="199"/>
      <c r="AG131" s="200"/>
      <c r="AH131" s="200"/>
      <c r="AI131" s="200"/>
      <c r="AJ131" s="200"/>
    </row>
    <row r="132" spans="1:37" s="191" customFormat="1" ht="53.75" hidden="1" customHeight="1">
      <c r="A132" s="187"/>
      <c r="B132" s="187"/>
      <c r="C132" s="192"/>
      <c r="D132" s="28"/>
      <c r="E132" s="14"/>
      <c r="F132" s="14"/>
      <c r="G132" s="14"/>
      <c r="H132" s="14"/>
      <c r="I132" s="14"/>
      <c r="J132" s="14"/>
      <c r="K132" s="14"/>
      <c r="L132" s="14"/>
      <c r="M132" s="14"/>
      <c r="N132" s="148"/>
      <c r="O132" s="14"/>
      <c r="P132" s="28"/>
      <c r="Q132" s="149"/>
      <c r="R132" s="28"/>
      <c r="S132" s="31"/>
      <c r="T132" s="14"/>
      <c r="AA132" s="199"/>
      <c r="AD132" s="200"/>
      <c r="AE132" s="200"/>
      <c r="AF132" s="200"/>
      <c r="AG132" s="200"/>
    </row>
    <row r="133" spans="1:37" s="191" customFormat="1" ht="53.75" hidden="1" customHeight="1">
      <c r="A133" s="187"/>
      <c r="B133" s="187"/>
      <c r="C133" s="192"/>
      <c r="D133" s="28"/>
      <c r="E133" s="14"/>
      <c r="F133" s="14"/>
      <c r="G133" s="14"/>
      <c r="H133" s="14"/>
      <c r="I133" s="14"/>
      <c r="J133" s="14"/>
      <c r="K133" s="14"/>
      <c r="L133" s="14"/>
      <c r="M133" s="14"/>
      <c r="N133" s="148"/>
      <c r="O133" s="14"/>
      <c r="P133" s="28"/>
      <c r="Q133" s="149"/>
      <c r="R133" s="28"/>
      <c r="S133" s="31"/>
      <c r="T133" s="14"/>
      <c r="AA133" s="199"/>
      <c r="AD133" s="200"/>
      <c r="AE133" s="200"/>
      <c r="AF133" s="200"/>
      <c r="AG133" s="200"/>
    </row>
    <row r="134" spans="1:37" s="191" customFormat="1" ht="36" customHeight="1">
      <c r="A134" s="187"/>
      <c r="B134" s="187"/>
      <c r="C134" s="192"/>
      <c r="D134" s="28"/>
      <c r="E134" s="772" t="s">
        <v>4037</v>
      </c>
      <c r="F134" s="773"/>
      <c r="G134" s="786" t="str">
        <f>IF($AB$1=0,"",$AB$2)</f>
        <v/>
      </c>
      <c r="H134" s="787"/>
      <c r="I134" s="764" t="s">
        <v>4277</v>
      </c>
      <c r="J134" s="765"/>
      <c r="K134" s="765"/>
      <c r="L134" s="766"/>
      <c r="M134" s="254" t="s">
        <v>3982</v>
      </c>
      <c r="N134" s="264" t="str">
        <f>IF('入力シート（計画書）'!N134="","",'入力シート（計画書）'!N134)</f>
        <v/>
      </c>
      <c r="O134" s="258" t="s">
        <v>4499</v>
      </c>
      <c r="P134" s="254" t="s">
        <v>109</v>
      </c>
      <c r="Q134" s="708" t="str">
        <f>IF('入力シート（計画書）'!Q134="","",'入力シート（計画書）'!Q134)</f>
        <v/>
      </c>
      <c r="R134" s="259" t="str">
        <f>"t-CO₂/"&amp;$G$97</f>
        <v>t-CO₂/</v>
      </c>
      <c r="S134" s="31"/>
      <c r="T134" s="31"/>
      <c r="U134" s="200"/>
      <c r="V134" s="200"/>
      <c r="AD134" s="199"/>
      <c r="AG134" s="200"/>
      <c r="AH134" s="200"/>
      <c r="AI134" s="200"/>
      <c r="AJ134" s="200"/>
    </row>
    <row r="135" spans="1:37" s="191" customFormat="1" ht="36" customHeight="1">
      <c r="A135" s="187"/>
      <c r="B135" s="187"/>
      <c r="C135" s="192"/>
      <c r="D135" s="28"/>
      <c r="E135" s="774"/>
      <c r="F135" s="775"/>
      <c r="G135" s="788"/>
      <c r="H135" s="789"/>
      <c r="I135" s="781"/>
      <c r="J135" s="782"/>
      <c r="K135" s="782"/>
      <c r="L135" s="783"/>
      <c r="M135" s="254" t="s">
        <v>4233</v>
      </c>
      <c r="N135" s="269" t="str">
        <f>IFERROR((IF(N134="","",INT((N$130-N134)/N$130*10000)/100)),"")</f>
        <v/>
      </c>
      <c r="O135" s="258" t="s">
        <v>106</v>
      </c>
      <c r="P135" s="265" t="s">
        <v>4233</v>
      </c>
      <c r="Q135" s="269" t="str">
        <f>IFERROR((IF(Q134="","",INT((Q$130-Q134)/Q$130*10000)/100)),"")</f>
        <v/>
      </c>
      <c r="R135" s="258" t="s">
        <v>106</v>
      </c>
      <c r="S135" s="31"/>
      <c r="T135" s="31"/>
      <c r="U135" s="200"/>
      <c r="V135" s="200"/>
      <c r="W135" s="200"/>
      <c r="X135" s="200"/>
      <c r="Y135" s="200"/>
      <c r="Z135" s="200"/>
      <c r="AA135" s="200"/>
      <c r="AB135" s="200"/>
      <c r="AC135" s="200"/>
      <c r="AD135" s="199"/>
      <c r="AG135" s="200"/>
      <c r="AH135" s="200"/>
      <c r="AI135" s="200"/>
      <c r="AJ135" s="200"/>
    </row>
    <row r="136" spans="1:37" s="191" customFormat="1" ht="36" customHeight="1">
      <c r="A136" s="187"/>
      <c r="B136" s="187"/>
      <c r="C136" s="192"/>
      <c r="D136" s="28"/>
      <c r="E136" s="776"/>
      <c r="F136" s="777"/>
      <c r="G136" s="790"/>
      <c r="H136" s="791"/>
      <c r="I136" s="748" t="s">
        <v>4524</v>
      </c>
      <c r="J136" s="749"/>
      <c r="K136" s="749"/>
      <c r="L136" s="749"/>
      <c r="M136" s="749"/>
      <c r="N136" s="749"/>
      <c r="O136" s="749"/>
      <c r="P136" s="750"/>
      <c r="Q136" s="270" t="str">
        <f>IF('入力シート（計画書）'!Q136="","",'入力シート（計画書）'!Q136)</f>
        <v/>
      </c>
      <c r="R136" s="260" t="s">
        <v>106</v>
      </c>
      <c r="S136" s="31"/>
      <c r="T136" s="31"/>
      <c r="U136" s="200"/>
      <c r="V136" s="200"/>
      <c r="W136" s="200"/>
      <c r="X136" s="200"/>
      <c r="Y136" s="200"/>
      <c r="Z136" s="200"/>
      <c r="AA136" s="200"/>
      <c r="AB136" s="200"/>
      <c r="AC136" s="200"/>
      <c r="AD136" s="201"/>
      <c r="AH136" s="200"/>
      <c r="AI136" s="200"/>
      <c r="AJ136" s="200"/>
      <c r="AK136" s="200"/>
    </row>
    <row r="137" spans="1:37" s="191" customFormat="1" ht="36" customHeight="1">
      <c r="A137" s="187"/>
      <c r="B137" s="187"/>
      <c r="C137" s="192"/>
      <c r="D137" s="28"/>
      <c r="E137" s="772" t="s">
        <v>4009</v>
      </c>
      <c r="F137" s="773"/>
      <c r="G137" s="786" t="str">
        <f>IF($AB$1=0,"",$AB$1+1)</f>
        <v/>
      </c>
      <c r="H137" s="787"/>
      <c r="I137" s="764" t="s">
        <v>4277</v>
      </c>
      <c r="J137" s="765"/>
      <c r="K137" s="765"/>
      <c r="L137" s="766"/>
      <c r="M137" s="254" t="s">
        <v>4023</v>
      </c>
      <c r="N137" s="264" t="str">
        <f>IF('R1-1'!R4=0,"",'R1-1'!V14)</f>
        <v/>
      </c>
      <c r="O137" s="258" t="s">
        <v>4499</v>
      </c>
      <c r="P137" s="265" t="s">
        <v>3041</v>
      </c>
      <c r="Q137" s="708" t="str">
        <f>IF('R1-1'!R4=0,"",'R1-1'!V17)</f>
        <v/>
      </c>
      <c r="R137" s="259" t="str">
        <f>"t-CO₂/"&amp;$G$97</f>
        <v>t-CO₂/</v>
      </c>
      <c r="S137" s="31"/>
      <c r="T137" s="31"/>
      <c r="U137" s="200"/>
      <c r="V137" s="200"/>
      <c r="W137" s="200"/>
      <c r="X137" s="200"/>
      <c r="Y137" s="200"/>
      <c r="Z137" s="200"/>
      <c r="AA137" s="200"/>
      <c r="AB137" s="200"/>
      <c r="AC137" s="200"/>
      <c r="AD137" s="199"/>
      <c r="AG137" s="200"/>
      <c r="AH137" s="200"/>
      <c r="AI137" s="200"/>
      <c r="AJ137" s="200"/>
    </row>
    <row r="138" spans="1:37" s="191" customFormat="1" ht="36" customHeight="1">
      <c r="A138" s="187"/>
      <c r="B138" s="187"/>
      <c r="C138" s="192"/>
      <c r="D138" s="28"/>
      <c r="E138" s="774"/>
      <c r="F138" s="775"/>
      <c r="G138" s="788"/>
      <c r="H138" s="789"/>
      <c r="I138" s="781"/>
      <c r="J138" s="782"/>
      <c r="K138" s="782"/>
      <c r="L138" s="783"/>
      <c r="M138" s="254" t="s">
        <v>4233</v>
      </c>
      <c r="N138" s="262" t="str">
        <f>IFERROR((IF(N137="","",INT((N$130-N137)/N$130*10000)/100)),"")</f>
        <v/>
      </c>
      <c r="O138" s="258" t="s">
        <v>106</v>
      </c>
      <c r="P138" s="254" t="s">
        <v>4233</v>
      </c>
      <c r="Q138" s="262" t="str">
        <f>IFERROR((IF(Q137="","",INT((Q$130-Q137)/Q$130*10000)/100)),"")</f>
        <v/>
      </c>
      <c r="R138" s="258" t="s">
        <v>106</v>
      </c>
      <c r="S138" s="31"/>
      <c r="T138" s="31"/>
      <c r="U138" s="200"/>
      <c r="V138" s="200"/>
      <c r="W138" s="200"/>
      <c r="X138" s="200"/>
      <c r="Y138" s="200"/>
      <c r="Z138" s="200"/>
      <c r="AA138" s="200"/>
      <c r="AB138" s="200"/>
      <c r="AC138" s="200"/>
      <c r="AD138" s="201"/>
      <c r="AH138" s="200"/>
      <c r="AI138" s="200"/>
      <c r="AJ138" s="200"/>
      <c r="AK138" s="200"/>
    </row>
    <row r="139" spans="1:37" s="191" customFormat="1" ht="36" customHeight="1">
      <c r="A139" s="187"/>
      <c r="B139" s="187"/>
      <c r="C139" s="192"/>
      <c r="D139" s="28"/>
      <c r="E139" s="776"/>
      <c r="F139" s="777"/>
      <c r="G139" s="790"/>
      <c r="H139" s="791"/>
      <c r="I139" s="748" t="s">
        <v>4511</v>
      </c>
      <c r="J139" s="749"/>
      <c r="K139" s="749"/>
      <c r="L139" s="749"/>
      <c r="M139" s="749"/>
      <c r="N139" s="749"/>
      <c r="O139" s="749"/>
      <c r="P139" s="750"/>
      <c r="Q139" s="270" t="str">
        <f>IF(OR(G121=0,G121="",N121=0,N121="")=TRUE,"",'R1-1'!V20)</f>
        <v/>
      </c>
      <c r="R139" s="260" t="s">
        <v>106</v>
      </c>
      <c r="S139" s="31"/>
      <c r="T139" s="31"/>
      <c r="U139" s="200"/>
      <c r="V139" s="200"/>
      <c r="W139" s="200"/>
      <c r="X139" s="200"/>
      <c r="Y139" s="200"/>
      <c r="Z139" s="200"/>
      <c r="AA139" s="200"/>
      <c r="AB139" s="200"/>
      <c r="AC139" s="200"/>
      <c r="AD139" s="199"/>
      <c r="AG139" s="200"/>
      <c r="AH139" s="200"/>
      <c r="AI139" s="200"/>
      <c r="AJ139" s="200"/>
    </row>
    <row r="140" spans="1:37" s="191" customFormat="1" ht="36" hidden="1" customHeight="1">
      <c r="A140" s="187"/>
      <c r="B140" s="187"/>
      <c r="C140" s="188"/>
      <c r="D140" s="28"/>
      <c r="E140" s="772" t="s">
        <v>4014</v>
      </c>
      <c r="F140" s="773"/>
      <c r="G140" s="786">
        <f>IF($AB$1+2&lt;=$AB$2,$AB$1+2,"--------")</f>
        <v>2</v>
      </c>
      <c r="H140" s="787"/>
      <c r="I140" s="764" t="s">
        <v>4277</v>
      </c>
      <c r="J140" s="765"/>
      <c r="K140" s="765"/>
      <c r="L140" s="766"/>
      <c r="M140" s="254" t="s">
        <v>4023</v>
      </c>
      <c r="N140" s="264"/>
      <c r="O140" s="258" t="s">
        <v>4499</v>
      </c>
      <c r="P140" s="265" t="s">
        <v>3041</v>
      </c>
      <c r="Q140" s="268"/>
      <c r="R140" s="259" t="str">
        <f>"t-CO₂/"&amp;$G$97</f>
        <v>t-CO₂/</v>
      </c>
      <c r="S140" s="31"/>
      <c r="T140" s="31"/>
      <c r="U140" s="200"/>
      <c r="V140" s="200"/>
      <c r="W140" s="200"/>
      <c r="X140" s="200"/>
      <c r="Y140" s="200"/>
      <c r="Z140" s="200"/>
      <c r="AA140" s="200"/>
      <c r="AB140" s="200"/>
      <c r="AC140" s="200"/>
      <c r="AD140" s="201"/>
      <c r="AH140" s="200"/>
      <c r="AI140" s="200"/>
      <c r="AJ140" s="200"/>
      <c r="AK140" s="200"/>
    </row>
    <row r="141" spans="1:37" s="191" customFormat="1" ht="36" hidden="1" customHeight="1">
      <c r="A141" s="187"/>
      <c r="B141" s="187"/>
      <c r="C141" s="188"/>
      <c r="D141" s="28"/>
      <c r="E141" s="774"/>
      <c r="F141" s="775"/>
      <c r="G141" s="788"/>
      <c r="H141" s="789"/>
      <c r="I141" s="781"/>
      <c r="J141" s="782"/>
      <c r="K141" s="782"/>
      <c r="L141" s="783"/>
      <c r="M141" s="254" t="s">
        <v>4233</v>
      </c>
      <c r="N141" s="269"/>
      <c r="O141" s="258" t="s">
        <v>106</v>
      </c>
      <c r="P141" s="265" t="s">
        <v>4233</v>
      </c>
      <c r="Q141" s="269"/>
      <c r="R141" s="258" t="s">
        <v>106</v>
      </c>
      <c r="S141" s="31"/>
      <c r="T141" s="31"/>
      <c r="U141" s="200"/>
      <c r="V141" s="200"/>
      <c r="W141" s="200"/>
      <c r="X141" s="200"/>
      <c r="Y141" s="200"/>
      <c r="Z141" s="200"/>
      <c r="AA141" s="200"/>
      <c r="AB141" s="200"/>
      <c r="AC141" s="200"/>
      <c r="AD141" s="201"/>
      <c r="AH141" s="200"/>
      <c r="AI141" s="200"/>
      <c r="AJ141" s="200"/>
      <c r="AK141" s="200"/>
    </row>
    <row r="142" spans="1:37" s="191" customFormat="1" ht="36" hidden="1" customHeight="1">
      <c r="A142" s="187"/>
      <c r="B142" s="187"/>
      <c r="C142" s="188"/>
      <c r="D142" s="28"/>
      <c r="E142" s="776"/>
      <c r="F142" s="777"/>
      <c r="G142" s="790"/>
      <c r="H142" s="791"/>
      <c r="I142" s="748" t="s">
        <v>4511</v>
      </c>
      <c r="J142" s="749"/>
      <c r="K142" s="749"/>
      <c r="L142" s="749"/>
      <c r="M142" s="749"/>
      <c r="N142" s="749"/>
      <c r="O142" s="749"/>
      <c r="P142" s="750"/>
      <c r="Q142" s="270">
        <f>'R1-2'!V20</f>
        <v>0</v>
      </c>
      <c r="R142" s="260" t="s">
        <v>106</v>
      </c>
      <c r="S142" s="31"/>
      <c r="T142" s="31"/>
      <c r="U142" s="200"/>
      <c r="V142" s="200"/>
      <c r="AD142" s="199"/>
      <c r="AG142" s="200"/>
      <c r="AH142" s="200"/>
      <c r="AI142" s="200"/>
      <c r="AJ142" s="200"/>
    </row>
    <row r="143" spans="1:37" s="191" customFormat="1" ht="36" hidden="1" customHeight="1">
      <c r="A143" s="187"/>
      <c r="B143" s="187"/>
      <c r="C143" s="188"/>
      <c r="D143" s="28"/>
      <c r="E143" s="772" t="s">
        <v>4015</v>
      </c>
      <c r="F143" s="773"/>
      <c r="G143" s="786">
        <f>IF($AB$1+3&lt;=$AB$2,$AB$1+3,"--------")</f>
        <v>3</v>
      </c>
      <c r="H143" s="787"/>
      <c r="I143" s="764" t="s">
        <v>4277</v>
      </c>
      <c r="J143" s="765"/>
      <c r="K143" s="765"/>
      <c r="L143" s="766"/>
      <c r="M143" s="254" t="s">
        <v>4023</v>
      </c>
      <c r="N143" s="264"/>
      <c r="O143" s="258" t="s">
        <v>4499</v>
      </c>
      <c r="P143" s="265" t="s">
        <v>3041</v>
      </c>
      <c r="Q143" s="268"/>
      <c r="R143" s="259" t="str">
        <f>"t-CO₂/"&amp;$G$97</f>
        <v>t-CO₂/</v>
      </c>
      <c r="S143" s="31"/>
      <c r="T143" s="31"/>
      <c r="U143" s="200"/>
      <c r="V143" s="200"/>
      <c r="AD143" s="199"/>
      <c r="AG143" s="200"/>
      <c r="AH143" s="200"/>
      <c r="AI143" s="200"/>
      <c r="AJ143" s="200"/>
    </row>
    <row r="144" spans="1:37" s="191" customFormat="1" ht="36" hidden="1" customHeight="1">
      <c r="A144" s="187"/>
      <c r="B144" s="187"/>
      <c r="C144" s="188"/>
      <c r="D144" s="28"/>
      <c r="E144" s="774"/>
      <c r="F144" s="775"/>
      <c r="G144" s="788"/>
      <c r="H144" s="789"/>
      <c r="I144" s="781"/>
      <c r="J144" s="782"/>
      <c r="K144" s="782"/>
      <c r="L144" s="783"/>
      <c r="M144" s="254" t="s">
        <v>4233</v>
      </c>
      <c r="N144" s="269"/>
      <c r="O144" s="258" t="s">
        <v>106</v>
      </c>
      <c r="P144" s="265" t="s">
        <v>4233</v>
      </c>
      <c r="Q144" s="269"/>
      <c r="R144" s="258" t="s">
        <v>106</v>
      </c>
      <c r="S144" s="31"/>
      <c r="T144" s="31"/>
      <c r="U144" s="200"/>
      <c r="V144" s="200"/>
      <c r="AD144" s="199"/>
      <c r="AG144" s="200"/>
      <c r="AH144" s="200"/>
      <c r="AI144" s="200"/>
      <c r="AJ144" s="200"/>
    </row>
    <row r="145" spans="1:36" s="191" customFormat="1" ht="36" hidden="1" customHeight="1">
      <c r="A145" s="187"/>
      <c r="B145" s="187"/>
      <c r="C145" s="188"/>
      <c r="D145" s="28"/>
      <c r="E145" s="776"/>
      <c r="F145" s="777"/>
      <c r="G145" s="790"/>
      <c r="H145" s="791"/>
      <c r="I145" s="748" t="s">
        <v>4511</v>
      </c>
      <c r="J145" s="749"/>
      <c r="K145" s="749"/>
      <c r="L145" s="749"/>
      <c r="M145" s="749"/>
      <c r="N145" s="749"/>
      <c r="O145" s="749"/>
      <c r="P145" s="750"/>
      <c r="Q145" s="270">
        <f>'R1-3'!V20</f>
        <v>0</v>
      </c>
      <c r="R145" s="260" t="s">
        <v>106</v>
      </c>
      <c r="S145" s="28"/>
      <c r="T145" s="31"/>
      <c r="U145" s="200"/>
      <c r="V145" s="200"/>
      <c r="AD145" s="199"/>
      <c r="AG145" s="200"/>
      <c r="AH145" s="200"/>
      <c r="AI145" s="200"/>
      <c r="AJ145" s="200"/>
    </row>
    <row r="146" spans="1:36" s="191" customFormat="1" ht="18" hidden="1" customHeight="1">
      <c r="A146" s="187"/>
      <c r="B146" s="187"/>
      <c r="C146" s="188"/>
      <c r="D146" s="28"/>
      <c r="E146" s="14"/>
      <c r="F146" s="14"/>
      <c r="G146" s="14"/>
      <c r="H146" s="14"/>
      <c r="I146" s="14"/>
      <c r="J146" s="14"/>
      <c r="K146" s="14"/>
      <c r="L146" s="14"/>
      <c r="M146" s="14"/>
      <c r="N146" s="14"/>
      <c r="O146" s="14"/>
      <c r="P146" s="79"/>
      <c r="Q146" s="31"/>
      <c r="R146" s="31"/>
      <c r="S146" s="31"/>
      <c r="T146" s="14"/>
      <c r="AA146" s="199"/>
      <c r="AD146" s="200"/>
      <c r="AE146" s="200"/>
      <c r="AF146" s="200"/>
      <c r="AG146" s="200"/>
    </row>
    <row r="147" spans="1:36" s="197" customFormat="1" ht="18" customHeight="1">
      <c r="A147" s="192"/>
      <c r="B147" s="192"/>
      <c r="C147" s="192"/>
      <c r="D147" s="28"/>
      <c r="E147" s="28"/>
      <c r="F147" s="28"/>
      <c r="G147" s="28"/>
      <c r="H147" s="28"/>
      <c r="I147" s="28"/>
      <c r="J147" s="28"/>
      <c r="K147" s="28"/>
      <c r="L147" s="28"/>
      <c r="M147" s="28"/>
      <c r="N147" s="28"/>
      <c r="O147" s="28"/>
      <c r="P147" s="79"/>
      <c r="Q147" s="28"/>
      <c r="R147" s="28"/>
      <c r="S147" s="28"/>
      <c r="T147" s="14"/>
      <c r="U147" s="191"/>
      <c r="V147" s="191"/>
      <c r="W147" s="191"/>
      <c r="X147" s="191"/>
      <c r="Y147" s="191"/>
      <c r="Z147" s="191"/>
      <c r="AA147" s="199"/>
      <c r="AB147" s="191"/>
      <c r="AC147" s="191"/>
      <c r="AD147" s="191"/>
      <c r="AE147" s="191"/>
      <c r="AF147" s="191"/>
      <c r="AG147" s="191"/>
      <c r="AH147" s="191"/>
    </row>
    <row r="148" spans="1:36" s="191" customFormat="1" ht="18" customHeight="1">
      <c r="A148" s="187"/>
      <c r="B148" s="187"/>
      <c r="C148" s="187"/>
      <c r="D148" s="14"/>
      <c r="E148" s="14" t="str">
        <f>"第１年度（"&amp;$AB$1+1&amp;"年度）における温室効果ガス排出量等の増減理由をご入力ください。"</f>
        <v>第１年度（1年度）における温室効果ガス排出量等の増減理由をご入力ください。</v>
      </c>
      <c r="F148" s="141"/>
      <c r="G148" s="14"/>
      <c r="H148" s="14"/>
      <c r="I148" s="14"/>
      <c r="J148" s="14"/>
      <c r="K148" s="14"/>
      <c r="L148" s="14"/>
      <c r="M148" s="14"/>
      <c r="N148" s="14"/>
      <c r="O148" s="14"/>
      <c r="P148" s="14"/>
      <c r="Q148" s="14"/>
      <c r="R148" s="14"/>
      <c r="S148" s="14"/>
      <c r="T148" s="14"/>
      <c r="AA148" s="199"/>
    </row>
    <row r="149" spans="1:36" s="197" customFormat="1" ht="100.25" hidden="1" customHeight="1">
      <c r="A149" s="192"/>
      <c r="B149" s="192"/>
      <c r="C149" s="192"/>
      <c r="D149" s="28"/>
      <c r="E149" s="784" t="s">
        <v>4234</v>
      </c>
      <c r="F149" s="785"/>
      <c r="G149" s="142"/>
      <c r="H149" s="143"/>
      <c r="I149" s="143"/>
      <c r="J149" s="143"/>
      <c r="K149" s="143"/>
      <c r="L149" s="143"/>
      <c r="M149" s="143"/>
      <c r="N149" s="143"/>
      <c r="O149" s="144"/>
      <c r="P149" s="23"/>
      <c r="Q149" s="28"/>
      <c r="R149" s="28"/>
      <c r="S149" s="28"/>
      <c r="T149" s="14"/>
      <c r="U149" s="191"/>
      <c r="V149" s="191"/>
      <c r="W149" s="191"/>
      <c r="X149" s="191"/>
      <c r="Y149" s="191"/>
      <c r="Z149" s="191"/>
      <c r="AA149" s="199"/>
      <c r="AB149" s="191"/>
      <c r="AC149" s="191"/>
      <c r="AD149" s="191"/>
      <c r="AE149" s="191"/>
      <c r="AF149" s="191"/>
      <c r="AG149" s="191"/>
      <c r="AH149" s="191"/>
    </row>
    <row r="150" spans="1:36" s="197" customFormat="1" ht="200" customHeight="1">
      <c r="A150" s="192"/>
      <c r="B150" s="192"/>
      <c r="C150" s="192"/>
      <c r="D150" s="28"/>
      <c r="E150" s="801" t="s">
        <v>4239</v>
      </c>
      <c r="F150" s="802"/>
      <c r="G150" s="953"/>
      <c r="H150" s="954"/>
      <c r="I150" s="954"/>
      <c r="J150" s="954"/>
      <c r="K150" s="954"/>
      <c r="L150" s="954"/>
      <c r="M150" s="954"/>
      <c r="N150" s="954"/>
      <c r="O150" s="954"/>
      <c r="P150" s="954"/>
      <c r="Q150" s="954"/>
      <c r="R150" s="955"/>
      <c r="S150" s="28"/>
      <c r="T150" s="14"/>
      <c r="U150" s="191"/>
      <c r="V150" s="191"/>
      <c r="W150" s="191"/>
      <c r="X150" s="191"/>
      <c r="Y150" s="191"/>
      <c r="Z150" s="191"/>
      <c r="AA150" s="199"/>
      <c r="AB150" s="191"/>
      <c r="AC150" s="191"/>
      <c r="AD150" s="191"/>
      <c r="AE150" s="191"/>
      <c r="AF150" s="191"/>
      <c r="AG150" s="191"/>
      <c r="AH150" s="191"/>
    </row>
    <row r="151" spans="1:36" s="197" customFormat="1" ht="100.25" hidden="1" customHeight="1">
      <c r="A151" s="192"/>
      <c r="B151" s="192"/>
      <c r="C151" s="192"/>
      <c r="D151" s="28"/>
      <c r="E151" s="746" t="s">
        <v>4239</v>
      </c>
      <c r="F151" s="747"/>
      <c r="G151" s="942"/>
      <c r="H151" s="943"/>
      <c r="I151" s="943"/>
      <c r="J151" s="943"/>
      <c r="K151" s="943"/>
      <c r="L151" s="943"/>
      <c r="M151" s="943"/>
      <c r="N151" s="943"/>
      <c r="O151" s="944"/>
      <c r="P151" s="10"/>
      <c r="Q151" s="28"/>
      <c r="R151" s="28"/>
      <c r="S151" s="28"/>
      <c r="T151" s="14"/>
      <c r="U151" s="191"/>
      <c r="V151" s="191"/>
      <c r="W151" s="191"/>
      <c r="X151" s="191"/>
      <c r="Y151" s="191"/>
      <c r="Z151" s="191"/>
      <c r="AA151" s="199"/>
      <c r="AB151" s="191"/>
      <c r="AC151" s="191"/>
      <c r="AD151" s="191"/>
      <c r="AE151" s="191"/>
      <c r="AF151" s="191"/>
      <c r="AG151" s="191"/>
      <c r="AH151" s="191"/>
    </row>
    <row r="152" spans="1:36" ht="100.25" hidden="1" customHeight="1">
      <c r="C152" s="192"/>
      <c r="D152" s="28"/>
      <c r="E152" s="746" t="s">
        <v>4239</v>
      </c>
      <c r="F152" s="747"/>
      <c r="G152" s="957"/>
      <c r="H152" s="958"/>
      <c r="I152" s="958"/>
      <c r="J152" s="958"/>
      <c r="K152" s="958"/>
      <c r="L152" s="958"/>
      <c r="M152" s="958"/>
      <c r="N152" s="958"/>
      <c r="O152" s="958"/>
      <c r="P152" s="958"/>
      <c r="Q152" s="958"/>
      <c r="R152" s="959"/>
      <c r="S152" s="77"/>
      <c r="T152" s="77"/>
    </row>
    <row r="153" spans="1:36" s="191" customFormat="1" ht="18" customHeight="1">
      <c r="A153" s="187"/>
      <c r="B153" s="187"/>
      <c r="C153" s="192"/>
      <c r="D153" s="28"/>
      <c r="E153" s="77"/>
      <c r="F153" s="77"/>
      <c r="G153" s="77"/>
      <c r="H153" s="77"/>
      <c r="I153" s="77"/>
      <c r="J153" s="77"/>
      <c r="K153" s="77"/>
      <c r="L153" s="77"/>
      <c r="M153" s="77"/>
      <c r="N153" s="77"/>
      <c r="O153" s="77"/>
      <c r="P153" s="77"/>
      <c r="Q153" s="31"/>
      <c r="R153" s="31"/>
      <c r="S153" s="31"/>
      <c r="T153" s="14"/>
      <c r="AA153" s="199"/>
      <c r="AD153" s="200"/>
      <c r="AE153" s="200"/>
      <c r="AF153" s="200"/>
      <c r="AG153" s="200"/>
    </row>
    <row r="154" spans="1:36" ht="18" customHeight="1">
      <c r="D154" s="28"/>
      <c r="E154" s="28"/>
      <c r="F154" s="28"/>
      <c r="G154" s="28"/>
      <c r="H154" s="28"/>
      <c r="I154" s="28"/>
      <c r="J154" s="28"/>
      <c r="K154" s="28"/>
      <c r="L154" s="28"/>
      <c r="M154" s="28"/>
      <c r="N154" s="28"/>
      <c r="O154" s="14"/>
      <c r="P154" s="14"/>
      <c r="Q154" s="14"/>
      <c r="R154" s="79"/>
      <c r="S154" s="77"/>
      <c r="T154" s="77"/>
    </row>
    <row r="155" spans="1:36" ht="18" customHeight="1">
      <c r="D155" s="34" t="s">
        <v>4436</v>
      </c>
      <c r="E155" s="14"/>
      <c r="F155" s="28"/>
      <c r="G155" s="28"/>
      <c r="H155" s="28"/>
      <c r="I155" s="28"/>
      <c r="J155" s="28"/>
      <c r="K155" s="28"/>
      <c r="L155" s="28"/>
      <c r="M155" s="28"/>
      <c r="N155" s="28"/>
      <c r="O155" s="14"/>
      <c r="P155" s="14"/>
      <c r="Q155" s="14"/>
      <c r="R155" s="14"/>
      <c r="S155" s="77"/>
      <c r="T155" s="77"/>
    </row>
    <row r="156" spans="1:36" s="191" customFormat="1" ht="18" customHeight="1">
      <c r="A156" s="187"/>
      <c r="B156" s="187"/>
      <c r="C156" s="187"/>
      <c r="D156" s="14"/>
      <c r="E156" s="16" t="s">
        <v>4437</v>
      </c>
      <c r="F156" s="39"/>
      <c r="G156" s="14"/>
      <c r="H156" s="39"/>
      <c r="I156" s="14"/>
      <c r="J156" s="39"/>
      <c r="K156" s="14"/>
      <c r="L156" s="39"/>
      <c r="M156" s="14"/>
      <c r="N156" s="14"/>
      <c r="O156" s="14"/>
      <c r="P156" s="14"/>
      <c r="Q156" s="14"/>
      <c r="R156" s="14"/>
      <c r="S156" s="14"/>
      <c r="T156" s="14"/>
      <c r="AA156" s="199"/>
    </row>
    <row r="157" spans="1:36" s="191" customFormat="1" ht="20" customHeight="1">
      <c r="A157" s="187"/>
      <c r="B157" s="187"/>
      <c r="C157" s="187"/>
      <c r="D157" s="14"/>
      <c r="E157" s="14"/>
      <c r="F157" s="14" t="str">
        <f>$AB$1+1&amp;"年度（第１年度）における実施状況をプルダウンから選択してください。"</f>
        <v>1年度（第１年度）における実施状況をプルダウンから選択してください。</v>
      </c>
      <c r="G157" s="14"/>
      <c r="H157" s="39"/>
      <c r="I157" s="14"/>
      <c r="J157" s="39"/>
      <c r="K157" s="14"/>
      <c r="L157" s="39"/>
      <c r="M157" s="14"/>
      <c r="N157" s="14"/>
      <c r="O157" s="14"/>
      <c r="P157" s="14"/>
      <c r="Q157" s="14"/>
      <c r="R157" s="14"/>
      <c r="S157" s="14"/>
      <c r="T157" s="14"/>
      <c r="AA157" s="199"/>
    </row>
    <row r="158" spans="1:36" s="191" customFormat="1" ht="20" hidden="1" customHeight="1">
      <c r="A158" s="187"/>
      <c r="B158" s="187"/>
      <c r="C158" s="187"/>
      <c r="D158" s="14"/>
      <c r="E158" s="14"/>
      <c r="F158" s="39"/>
      <c r="G158" s="14"/>
      <c r="H158" s="39"/>
      <c r="I158" s="14"/>
      <c r="J158" s="39"/>
      <c r="K158" s="14"/>
      <c r="L158" s="39"/>
      <c r="M158" s="14"/>
      <c r="N158" s="14"/>
      <c r="O158" s="14"/>
      <c r="P158" s="14"/>
      <c r="Q158" s="14"/>
      <c r="R158" s="14"/>
      <c r="S158" s="14"/>
      <c r="T158" s="14"/>
      <c r="AA158" s="199"/>
    </row>
    <row r="159" spans="1:36" s="191" customFormat="1" ht="25.25" hidden="1" customHeight="1">
      <c r="A159" s="187"/>
      <c r="B159" s="187"/>
      <c r="C159" s="187"/>
      <c r="D159" s="14"/>
      <c r="E159" s="14"/>
      <c r="F159" s="39"/>
      <c r="G159" s="14"/>
      <c r="H159" s="39"/>
      <c r="I159" s="14"/>
      <c r="J159" s="39"/>
      <c r="K159" s="14"/>
      <c r="L159" s="39"/>
      <c r="M159" s="14"/>
      <c r="N159" s="14"/>
      <c r="O159" s="14"/>
      <c r="P159" s="14"/>
      <c r="Q159" s="14"/>
      <c r="R159" s="14"/>
      <c r="S159" s="14"/>
      <c r="T159" s="14"/>
      <c r="AA159" s="199"/>
    </row>
    <row r="160" spans="1:36" s="191" customFormat="1" ht="20" hidden="1" customHeight="1">
      <c r="A160" s="187"/>
      <c r="B160" s="187"/>
      <c r="C160" s="187"/>
      <c r="D160" s="14"/>
      <c r="E160" s="14"/>
      <c r="F160" s="39"/>
      <c r="G160" s="14"/>
      <c r="H160" s="14"/>
      <c r="I160" s="39"/>
      <c r="J160" s="39"/>
      <c r="K160" s="14"/>
      <c r="L160" s="14"/>
      <c r="M160" s="39"/>
      <c r="N160" s="14"/>
      <c r="O160" s="39"/>
      <c r="P160" s="14"/>
      <c r="Q160" s="14"/>
      <c r="R160" s="14"/>
      <c r="S160" s="14"/>
      <c r="T160" s="14"/>
      <c r="AD160" s="199"/>
    </row>
    <row r="161" spans="1:30" s="191" customFormat="1" ht="20" customHeight="1">
      <c r="A161" s="187"/>
      <c r="B161" s="187"/>
      <c r="C161" s="187"/>
      <c r="D161" s="14"/>
      <c r="E161" s="249" t="s">
        <v>4240</v>
      </c>
      <c r="F161" s="14"/>
      <c r="G161" s="14"/>
      <c r="H161" s="14"/>
      <c r="I161" s="14"/>
      <c r="J161" s="14"/>
      <c r="K161" s="14"/>
      <c r="L161" s="14"/>
      <c r="M161" s="14"/>
      <c r="N161" s="14"/>
      <c r="O161" s="14"/>
      <c r="P161" s="14"/>
      <c r="Q161" s="14"/>
      <c r="R161" s="14"/>
      <c r="S161" s="14"/>
      <c r="T161" s="14"/>
      <c r="AD161" s="199"/>
    </row>
    <row r="162" spans="1:30" ht="18" customHeight="1">
      <c r="D162" s="77"/>
      <c r="E162" s="745" t="s">
        <v>77</v>
      </c>
      <c r="F162" s="762" t="s">
        <v>78</v>
      </c>
      <c r="G162" s="792" t="s">
        <v>79</v>
      </c>
      <c r="H162" s="793"/>
      <c r="I162" s="793"/>
      <c r="J162" s="793"/>
      <c r="K162" s="793"/>
      <c r="L162" s="793"/>
      <c r="M162" s="794"/>
      <c r="N162" s="117" t="s">
        <v>4020</v>
      </c>
      <c r="O162" s="118"/>
      <c r="P162" s="274"/>
      <c r="Q162" s="274"/>
      <c r="R162" s="77"/>
      <c r="S162" s="77"/>
      <c r="T162" s="77"/>
      <c r="AA162" s="195"/>
      <c r="AD162" s="196"/>
    </row>
    <row r="163" spans="1:30" ht="18" customHeight="1">
      <c r="D163" s="77"/>
      <c r="E163" s="745"/>
      <c r="F163" s="763"/>
      <c r="G163" s="795"/>
      <c r="H163" s="796"/>
      <c r="I163" s="796"/>
      <c r="J163" s="796"/>
      <c r="K163" s="796"/>
      <c r="L163" s="796"/>
      <c r="M163" s="797"/>
      <c r="N163" s="119" t="s">
        <v>4016</v>
      </c>
      <c r="O163" s="119" t="s">
        <v>4009</v>
      </c>
      <c r="P163" s="274"/>
      <c r="Q163" s="274"/>
      <c r="R163" s="77"/>
      <c r="S163" s="77"/>
      <c r="T163" s="77"/>
      <c r="AA163" s="195"/>
      <c r="AD163" s="196"/>
    </row>
    <row r="164" spans="1:30" ht="65" customHeight="1">
      <c r="D164" s="77"/>
      <c r="E164" s="89">
        <v>1</v>
      </c>
      <c r="F164" s="90" t="s">
        <v>3973</v>
      </c>
      <c r="G164" s="755" t="s">
        <v>4464</v>
      </c>
      <c r="H164" s="756"/>
      <c r="I164" s="756"/>
      <c r="J164" s="756"/>
      <c r="K164" s="756"/>
      <c r="L164" s="756"/>
      <c r="M164" s="757"/>
      <c r="N164" s="8" t="str">
        <f>IF('入力シート（計画書）'!N164="","",'入力シート（計画書）'!N164)</f>
        <v/>
      </c>
      <c r="O164" s="1"/>
      <c r="P164" s="274"/>
      <c r="Q164" s="274"/>
      <c r="R164" s="77"/>
      <c r="S164" s="77"/>
      <c r="T164" s="77"/>
      <c r="AA164" s="195"/>
      <c r="AD164" s="196"/>
    </row>
    <row r="165" spans="1:30" ht="65" customHeight="1">
      <c r="D165" s="77"/>
      <c r="E165" s="89">
        <v>2</v>
      </c>
      <c r="F165" s="90" t="s">
        <v>3975</v>
      </c>
      <c r="G165" s="755" t="s">
        <v>4474</v>
      </c>
      <c r="H165" s="756"/>
      <c r="I165" s="756"/>
      <c r="J165" s="756"/>
      <c r="K165" s="756"/>
      <c r="L165" s="756"/>
      <c r="M165" s="757"/>
      <c r="N165" s="8" t="str">
        <f>IF('入力シート（計画書）'!N165="","",'入力シート（計画書）'!N165)</f>
        <v/>
      </c>
      <c r="O165" s="1"/>
      <c r="P165" s="274"/>
      <c r="Q165" s="274"/>
      <c r="R165" s="77"/>
      <c r="S165" s="77"/>
      <c r="T165" s="77"/>
      <c r="AA165" s="195"/>
      <c r="AD165" s="196"/>
    </row>
    <row r="166" spans="1:30" ht="65" customHeight="1">
      <c r="D166" s="77"/>
      <c r="E166" s="89">
        <v>3</v>
      </c>
      <c r="F166" s="90" t="s">
        <v>3974</v>
      </c>
      <c r="G166" s="755" t="s">
        <v>4465</v>
      </c>
      <c r="H166" s="756"/>
      <c r="I166" s="756"/>
      <c r="J166" s="756"/>
      <c r="K166" s="756"/>
      <c r="L166" s="756"/>
      <c r="M166" s="757"/>
      <c r="N166" s="8" t="str">
        <f>IF('入力シート（計画書）'!N166="","",'入力シート（計画書）'!N166)</f>
        <v/>
      </c>
      <c r="O166" s="1"/>
      <c r="P166" s="274"/>
      <c r="Q166" s="274"/>
      <c r="R166" s="77"/>
      <c r="S166" s="77"/>
      <c r="T166" s="77"/>
      <c r="AA166" s="195"/>
      <c r="AD166" s="196"/>
    </row>
    <row r="167" spans="1:30" ht="65" customHeight="1">
      <c r="D167" s="77"/>
      <c r="E167" s="89">
        <v>4</v>
      </c>
      <c r="F167" s="90" t="s">
        <v>4466</v>
      </c>
      <c r="G167" s="755" t="s">
        <v>4467</v>
      </c>
      <c r="H167" s="756"/>
      <c r="I167" s="756"/>
      <c r="J167" s="756"/>
      <c r="K167" s="756"/>
      <c r="L167" s="756"/>
      <c r="M167" s="757"/>
      <c r="N167" s="8" t="str">
        <f>IF('入力シート（計画書）'!N167="","",'入力シート（計画書）'!N167)</f>
        <v/>
      </c>
      <c r="O167" s="1"/>
      <c r="P167" s="274"/>
      <c r="Q167" s="274"/>
      <c r="R167" s="77"/>
      <c r="S167" s="77"/>
      <c r="T167" s="77"/>
      <c r="AA167" s="195"/>
      <c r="AD167" s="196"/>
    </row>
    <row r="168" spans="1:30" ht="65" customHeight="1">
      <c r="D168" s="77"/>
      <c r="E168" s="89">
        <v>5</v>
      </c>
      <c r="F168" s="90" t="s">
        <v>4442</v>
      </c>
      <c r="G168" s="755" t="s">
        <v>4443</v>
      </c>
      <c r="H168" s="756"/>
      <c r="I168" s="756"/>
      <c r="J168" s="756"/>
      <c r="K168" s="756"/>
      <c r="L168" s="756"/>
      <c r="M168" s="757"/>
      <c r="N168" s="8" t="str">
        <f>IF('入力シート（計画書）'!N168="","",'入力シート（計画書）'!N168)</f>
        <v/>
      </c>
      <c r="O168" s="1"/>
      <c r="P168" s="274"/>
      <c r="Q168" s="274"/>
      <c r="R168" s="77"/>
      <c r="S168" s="77"/>
      <c r="T168" s="77"/>
      <c r="AA168" s="195"/>
      <c r="AD168" s="196"/>
    </row>
    <row r="169" spans="1:30" ht="65" customHeight="1">
      <c r="D169" s="77"/>
      <c r="E169" s="89">
        <v>6</v>
      </c>
      <c r="F169" s="90" t="s">
        <v>4444</v>
      </c>
      <c r="G169" s="755" t="s">
        <v>4468</v>
      </c>
      <c r="H169" s="756"/>
      <c r="I169" s="756"/>
      <c r="J169" s="756"/>
      <c r="K169" s="756"/>
      <c r="L169" s="756"/>
      <c r="M169" s="757"/>
      <c r="N169" s="8" t="str">
        <f>IF('入力シート（計画書）'!N169="","",'入力シート（計画書）'!N169)</f>
        <v/>
      </c>
      <c r="O169" s="1"/>
      <c r="P169" s="274"/>
      <c r="Q169" s="274"/>
      <c r="R169" s="77"/>
      <c r="S169" s="77"/>
      <c r="T169" s="77"/>
      <c r="AA169" s="195"/>
      <c r="AD169" s="196"/>
    </row>
    <row r="170" spans="1:30" ht="65" customHeight="1">
      <c r="D170" s="77"/>
      <c r="E170" s="89">
        <v>7</v>
      </c>
      <c r="F170" s="90" t="s">
        <v>3977</v>
      </c>
      <c r="G170" s="755" t="s">
        <v>4475</v>
      </c>
      <c r="H170" s="756"/>
      <c r="I170" s="756"/>
      <c r="J170" s="756"/>
      <c r="K170" s="756"/>
      <c r="L170" s="756"/>
      <c r="M170" s="757"/>
      <c r="N170" s="8" t="str">
        <f>IF('入力シート（計画書）'!N170="","",'入力シート（計画書）'!N170)</f>
        <v/>
      </c>
      <c r="O170" s="1"/>
      <c r="P170" s="274"/>
      <c r="Q170" s="274"/>
      <c r="R170" s="77"/>
      <c r="S170" s="77"/>
      <c r="T170" s="77"/>
      <c r="AA170" s="195"/>
      <c r="AD170" s="196"/>
    </row>
    <row r="171" spans="1:30" ht="65" customHeight="1">
      <c r="D171" s="77"/>
      <c r="E171" s="89">
        <v>8</v>
      </c>
      <c r="F171" s="90" t="s">
        <v>4469</v>
      </c>
      <c r="G171" s="755" t="s">
        <v>4470</v>
      </c>
      <c r="H171" s="756"/>
      <c r="I171" s="756"/>
      <c r="J171" s="756"/>
      <c r="K171" s="756"/>
      <c r="L171" s="756"/>
      <c r="M171" s="757"/>
      <c r="N171" s="8" t="str">
        <f>IF('入力シート（計画書）'!N171="","",'入力シート（計画書）'!N171)</f>
        <v/>
      </c>
      <c r="O171" s="1"/>
      <c r="P171" s="274"/>
      <c r="Q171" s="274"/>
      <c r="R171" s="77"/>
      <c r="S171" s="77"/>
      <c r="T171" s="77"/>
      <c r="AA171" s="195"/>
      <c r="AD171" s="196"/>
    </row>
    <row r="172" spans="1:30" ht="65" customHeight="1">
      <c r="D172" s="77"/>
      <c r="E172" s="89">
        <v>9</v>
      </c>
      <c r="F172" s="90" t="s">
        <v>4461</v>
      </c>
      <c r="G172" s="755" t="s">
        <v>4462</v>
      </c>
      <c r="H172" s="756"/>
      <c r="I172" s="756"/>
      <c r="J172" s="756"/>
      <c r="K172" s="756"/>
      <c r="L172" s="756"/>
      <c r="M172" s="757"/>
      <c r="N172" s="8" t="str">
        <f>IF('入力シート（計画書）'!N172="","",'入力シート（計画書）'!N172)</f>
        <v/>
      </c>
      <c r="O172" s="1"/>
      <c r="P172" s="274"/>
      <c r="Q172" s="274"/>
      <c r="R172" s="77"/>
      <c r="S172" s="77"/>
      <c r="T172" s="77"/>
      <c r="AA172" s="195"/>
      <c r="AD172" s="196"/>
    </row>
    <row r="173" spans="1:30" ht="65" customHeight="1">
      <c r="D173" s="77"/>
      <c r="E173" s="89">
        <v>10</v>
      </c>
      <c r="F173" s="90" t="s">
        <v>4476</v>
      </c>
      <c r="G173" s="755" t="s">
        <v>4445</v>
      </c>
      <c r="H173" s="756"/>
      <c r="I173" s="756"/>
      <c r="J173" s="756"/>
      <c r="K173" s="756"/>
      <c r="L173" s="756"/>
      <c r="M173" s="757"/>
      <c r="N173" s="8" t="str">
        <f>IF('入力シート（計画書）'!N173="","",'入力シート（計画書）'!N173)</f>
        <v/>
      </c>
      <c r="O173" s="1"/>
      <c r="P173" s="274"/>
      <c r="Q173" s="274"/>
      <c r="R173" s="77"/>
      <c r="S173" s="77"/>
      <c r="T173" s="77"/>
      <c r="AA173" s="195"/>
      <c r="AD173" s="196"/>
    </row>
    <row r="174" spans="1:30" ht="65" customHeight="1">
      <c r="D174" s="77"/>
      <c r="E174" s="89">
        <v>11</v>
      </c>
      <c r="F174" s="90" t="s">
        <v>4477</v>
      </c>
      <c r="G174" s="755" t="s">
        <v>4446</v>
      </c>
      <c r="H174" s="756"/>
      <c r="I174" s="756"/>
      <c r="J174" s="756"/>
      <c r="K174" s="756"/>
      <c r="L174" s="756"/>
      <c r="M174" s="757"/>
      <c r="N174" s="8" t="str">
        <f>IF('入力シート（計画書）'!N174="","",'入力シート（計画書）'!N174)</f>
        <v/>
      </c>
      <c r="O174" s="1"/>
      <c r="P174" s="274"/>
      <c r="Q174" s="274"/>
      <c r="R174" s="77"/>
      <c r="S174" s="77"/>
      <c r="T174" s="77"/>
      <c r="AA174" s="195"/>
      <c r="AD174" s="196"/>
    </row>
    <row r="175" spans="1:30" ht="65" customHeight="1">
      <c r="D175" s="77"/>
      <c r="E175" s="89">
        <v>12</v>
      </c>
      <c r="F175" s="90" t="s">
        <v>4447</v>
      </c>
      <c r="G175" s="755" t="s">
        <v>4448</v>
      </c>
      <c r="H175" s="756"/>
      <c r="I175" s="756"/>
      <c r="J175" s="756"/>
      <c r="K175" s="756"/>
      <c r="L175" s="756"/>
      <c r="M175" s="757"/>
      <c r="N175" s="8" t="str">
        <f>IF('入力シート（計画書）'!N175="","",'入力シート（計画書）'!N175)</f>
        <v/>
      </c>
      <c r="O175" s="1"/>
      <c r="P175" s="274"/>
      <c r="Q175" s="274"/>
      <c r="R175" s="77"/>
      <c r="S175" s="77"/>
      <c r="T175" s="77"/>
      <c r="AA175" s="195"/>
      <c r="AD175" s="196"/>
    </row>
    <row r="176" spans="1:30" ht="65" customHeight="1">
      <c r="D176" s="77"/>
      <c r="E176" s="89">
        <v>13</v>
      </c>
      <c r="F176" s="90" t="s">
        <v>4478</v>
      </c>
      <c r="G176" s="755" t="s">
        <v>4479</v>
      </c>
      <c r="H176" s="756"/>
      <c r="I176" s="756"/>
      <c r="J176" s="756"/>
      <c r="K176" s="756"/>
      <c r="L176" s="756"/>
      <c r="M176" s="757"/>
      <c r="N176" s="8" t="str">
        <f>IF('入力シート（計画書）'!N176="","",'入力シート（計画書）'!N176)</f>
        <v/>
      </c>
      <c r="O176" s="1"/>
      <c r="P176" s="274"/>
      <c r="Q176" s="274"/>
      <c r="R176" s="77"/>
      <c r="S176" s="77"/>
      <c r="T176" s="77"/>
      <c r="AA176" s="195"/>
      <c r="AD176" s="196"/>
    </row>
    <row r="177" spans="1:30" ht="65" customHeight="1">
      <c r="D177" s="77"/>
      <c r="E177" s="89">
        <v>14</v>
      </c>
      <c r="F177" s="90" t="s">
        <v>4451</v>
      </c>
      <c r="G177" s="755" t="s">
        <v>4452</v>
      </c>
      <c r="H177" s="756"/>
      <c r="I177" s="756"/>
      <c r="J177" s="756"/>
      <c r="K177" s="756"/>
      <c r="L177" s="756"/>
      <c r="M177" s="757"/>
      <c r="N177" s="8" t="str">
        <f>IF('入力シート（計画書）'!N177="","",'入力シート（計画書）'!N177)</f>
        <v/>
      </c>
      <c r="O177" s="1"/>
      <c r="P177" s="274"/>
      <c r="Q177" s="274"/>
      <c r="R177" s="77"/>
      <c r="S177" s="77"/>
      <c r="T177" s="77"/>
      <c r="AA177" s="195"/>
      <c r="AD177" s="196"/>
    </row>
    <row r="178" spans="1:30" ht="65" customHeight="1">
      <c r="D178" s="77"/>
      <c r="E178" s="89">
        <v>15</v>
      </c>
      <c r="F178" s="90" t="s">
        <v>4450</v>
      </c>
      <c r="G178" s="755" t="s">
        <v>4471</v>
      </c>
      <c r="H178" s="756"/>
      <c r="I178" s="756"/>
      <c r="J178" s="756"/>
      <c r="K178" s="756"/>
      <c r="L178" s="756"/>
      <c r="M178" s="757"/>
      <c r="N178" s="8" t="str">
        <f>IF('入力シート（計画書）'!N178="","",'入力シート（計画書）'!N178)</f>
        <v/>
      </c>
      <c r="O178" s="1"/>
      <c r="P178" s="274"/>
      <c r="Q178" s="274"/>
      <c r="R178" s="77"/>
      <c r="S178" s="77"/>
      <c r="T178" s="77"/>
      <c r="AA178" s="195"/>
      <c r="AD178" s="196"/>
    </row>
    <row r="179" spans="1:30" ht="65" customHeight="1">
      <c r="D179" s="77"/>
      <c r="E179" s="89">
        <v>16</v>
      </c>
      <c r="F179" s="90" t="s">
        <v>3976</v>
      </c>
      <c r="G179" s="755" t="s">
        <v>4472</v>
      </c>
      <c r="H179" s="756"/>
      <c r="I179" s="756"/>
      <c r="J179" s="756"/>
      <c r="K179" s="756"/>
      <c r="L179" s="756"/>
      <c r="M179" s="757"/>
      <c r="N179" s="8" t="str">
        <f>IF('入力シート（計画書）'!N179="","",'入力シート（計画書）'!N179)</f>
        <v/>
      </c>
      <c r="O179" s="1"/>
      <c r="P179" s="274"/>
      <c r="Q179" s="274"/>
      <c r="R179" s="77"/>
      <c r="S179" s="77"/>
      <c r="T179" s="77"/>
      <c r="AA179" s="195"/>
      <c r="AD179" s="196"/>
    </row>
    <row r="180" spans="1:30" ht="65" customHeight="1">
      <c r="D180" s="77"/>
      <c r="E180" s="89">
        <v>17</v>
      </c>
      <c r="F180" s="90" t="s">
        <v>4449</v>
      </c>
      <c r="G180" s="755" t="s">
        <v>4480</v>
      </c>
      <c r="H180" s="756"/>
      <c r="I180" s="756"/>
      <c r="J180" s="756"/>
      <c r="K180" s="756"/>
      <c r="L180" s="756"/>
      <c r="M180" s="757"/>
      <c r="N180" s="8" t="str">
        <f>IF('入力シート（計画書）'!N180="","",'入力シート（計画書）'!N180)</f>
        <v/>
      </c>
      <c r="O180" s="1"/>
      <c r="P180" s="274"/>
      <c r="Q180" s="274"/>
      <c r="R180" s="77"/>
      <c r="S180" s="77"/>
      <c r="T180" s="77"/>
      <c r="AA180" s="195"/>
      <c r="AD180" s="196"/>
    </row>
    <row r="181" spans="1:30" ht="65" customHeight="1">
      <c r="D181" s="77"/>
      <c r="E181" s="89">
        <v>18</v>
      </c>
      <c r="F181" s="90" t="s">
        <v>4342</v>
      </c>
      <c r="G181" s="755" t="s">
        <v>4473</v>
      </c>
      <c r="H181" s="756"/>
      <c r="I181" s="756"/>
      <c r="J181" s="756"/>
      <c r="K181" s="756"/>
      <c r="L181" s="756"/>
      <c r="M181" s="757"/>
      <c r="N181" s="8" t="str">
        <f>IF('入力シート（計画書）'!N181="","",'入力シート（計画書）'!N181)</f>
        <v/>
      </c>
      <c r="O181" s="1"/>
      <c r="P181" s="274"/>
      <c r="Q181" s="274"/>
      <c r="R181" s="77"/>
      <c r="S181" s="77"/>
      <c r="T181" s="77"/>
      <c r="AA181" s="195"/>
      <c r="AD181" s="196"/>
    </row>
    <row r="182" spans="1:30" ht="65" hidden="1" customHeight="1">
      <c r="D182" s="77"/>
      <c r="E182" s="13"/>
      <c r="F182" s="13"/>
      <c r="G182" s="13"/>
      <c r="H182" s="13"/>
      <c r="I182" s="13"/>
      <c r="J182" s="13"/>
      <c r="K182" s="13"/>
      <c r="L182" s="13"/>
      <c r="M182" s="13"/>
      <c r="N182" s="13"/>
      <c r="O182" s="13"/>
      <c r="P182" s="13"/>
      <c r="Q182" s="13"/>
      <c r="R182" s="13"/>
      <c r="S182" s="77"/>
      <c r="T182" s="77"/>
      <c r="AA182" s="195"/>
      <c r="AD182" s="196"/>
    </row>
    <row r="183" spans="1:30" ht="65" hidden="1" customHeight="1">
      <c r="D183" s="77"/>
      <c r="E183" s="13"/>
      <c r="F183" s="13"/>
      <c r="G183" s="13"/>
      <c r="H183" s="13"/>
      <c r="I183" s="13"/>
      <c r="J183" s="13"/>
      <c r="K183" s="13"/>
      <c r="L183" s="13"/>
      <c r="M183" s="13"/>
      <c r="N183" s="13"/>
      <c r="O183" s="13"/>
      <c r="P183" s="13"/>
      <c r="Q183" s="13"/>
      <c r="R183" s="13"/>
      <c r="S183" s="77"/>
      <c r="T183" s="77"/>
      <c r="AA183" s="195"/>
      <c r="AD183" s="196"/>
    </row>
    <row r="184" spans="1:30" ht="65" hidden="1" customHeight="1">
      <c r="D184" s="77"/>
      <c r="E184"/>
      <c r="F184"/>
      <c r="G184"/>
      <c r="H184"/>
      <c r="I184"/>
      <c r="J184"/>
      <c r="K184"/>
      <c r="L184"/>
      <c r="M184"/>
      <c r="N184"/>
      <c r="O184"/>
      <c r="P184" s="28"/>
      <c r="Q184" s="28"/>
      <c r="R184" s="77"/>
      <c r="S184" s="77"/>
      <c r="T184" s="77"/>
      <c r="AA184" s="195"/>
      <c r="AD184" s="196"/>
    </row>
    <row r="185" spans="1:30" ht="65" hidden="1" customHeight="1">
      <c r="D185" s="77"/>
      <c r="E185"/>
      <c r="F185"/>
      <c r="G185"/>
      <c r="H185"/>
      <c r="I185"/>
      <c r="J185"/>
      <c r="K185"/>
      <c r="L185"/>
      <c r="M185"/>
      <c r="N185"/>
      <c r="O185"/>
      <c r="P185" s="28"/>
      <c r="Q185" s="28"/>
      <c r="R185" s="77"/>
      <c r="S185" s="77"/>
      <c r="T185" s="77"/>
      <c r="AA185" s="195"/>
      <c r="AD185" s="196"/>
    </row>
    <row r="186" spans="1:30" ht="65" hidden="1" customHeight="1">
      <c r="D186" s="77"/>
      <c r="E186"/>
      <c r="F186"/>
      <c r="G186"/>
      <c r="H186"/>
      <c r="I186"/>
      <c r="J186"/>
      <c r="K186"/>
      <c r="L186"/>
      <c r="M186"/>
      <c r="N186"/>
      <c r="O186"/>
      <c r="P186" s="28"/>
      <c r="Q186" s="28"/>
      <c r="R186" s="77"/>
      <c r="S186" s="77"/>
      <c r="T186" s="77"/>
      <c r="AA186" s="195"/>
      <c r="AD186" s="196"/>
    </row>
    <row r="187" spans="1:30" ht="65" hidden="1" customHeight="1">
      <c r="D187" s="77"/>
      <c r="E187" s="28"/>
      <c r="F187" s="28"/>
      <c r="G187" s="28"/>
      <c r="H187" s="28"/>
      <c r="I187" s="28"/>
      <c r="J187" s="28"/>
      <c r="K187" s="28"/>
      <c r="L187" s="28"/>
      <c r="M187" s="28"/>
      <c r="N187" s="28"/>
      <c r="O187" s="28"/>
      <c r="P187" s="28"/>
      <c r="Q187" s="28"/>
      <c r="R187" s="28"/>
      <c r="S187" s="28"/>
      <c r="T187" s="28"/>
      <c r="AA187" s="195"/>
      <c r="AD187" s="196"/>
    </row>
    <row r="188" spans="1:30" ht="65" hidden="1" customHeight="1">
      <c r="D188" s="77"/>
      <c r="E188" s="28"/>
      <c r="F188" s="28"/>
      <c r="G188" s="28"/>
      <c r="H188" s="28"/>
      <c r="I188" s="28"/>
      <c r="J188" s="28"/>
      <c r="K188" s="28"/>
      <c r="L188" s="28"/>
      <c r="M188" s="28"/>
      <c r="N188" s="28"/>
      <c r="O188" s="28"/>
      <c r="P188" s="28"/>
      <c r="Q188" s="28"/>
      <c r="R188" s="28"/>
      <c r="S188" s="28"/>
      <c r="T188" s="28"/>
      <c r="AA188" s="195"/>
      <c r="AD188" s="196"/>
    </row>
    <row r="189" spans="1:30" ht="65" hidden="1" customHeight="1">
      <c r="C189" s="187"/>
      <c r="D189" s="77"/>
      <c r="E189" s="28"/>
      <c r="F189" s="28"/>
      <c r="G189" s="28"/>
      <c r="H189" s="28"/>
      <c r="I189" s="28"/>
      <c r="J189" s="28"/>
      <c r="K189" s="28"/>
      <c r="L189" s="28"/>
      <c r="M189" s="28"/>
      <c r="N189" s="28"/>
      <c r="O189" s="28"/>
      <c r="P189" s="28"/>
      <c r="Q189" s="28"/>
      <c r="R189" s="28"/>
      <c r="S189" s="28"/>
      <c r="T189" s="28"/>
      <c r="AA189" s="195"/>
      <c r="AD189" s="196"/>
    </row>
    <row r="190" spans="1:30" s="191" customFormat="1" ht="65" hidden="1" customHeight="1">
      <c r="A190" s="187"/>
      <c r="B190" s="187"/>
      <c r="C190" s="187"/>
      <c r="D190" s="77"/>
      <c r="E190" s="28"/>
      <c r="F190" s="28"/>
      <c r="G190" s="28"/>
      <c r="H190" s="28"/>
      <c r="I190" s="28"/>
      <c r="J190" s="28"/>
      <c r="K190" s="28"/>
      <c r="L190" s="28"/>
      <c r="M190" s="28"/>
      <c r="N190" s="28"/>
      <c r="O190" s="28"/>
      <c r="P190" s="28"/>
      <c r="Q190" s="28"/>
      <c r="R190" s="28"/>
      <c r="S190" s="28"/>
      <c r="T190" s="28"/>
      <c r="U190" s="195"/>
      <c r="AD190" s="199"/>
    </row>
    <row r="191" spans="1:30" s="191" customFormat="1" ht="65" hidden="1" customHeight="1">
      <c r="A191" s="187"/>
      <c r="B191" s="187"/>
      <c r="C191" s="187"/>
      <c r="D191" s="77"/>
      <c r="E191" s="28"/>
      <c r="F191" s="28"/>
      <c r="G191" s="28"/>
      <c r="H191" s="28"/>
      <c r="I191" s="28"/>
      <c r="J191" s="28"/>
      <c r="K191" s="28"/>
      <c r="L191" s="28"/>
      <c r="M191" s="28"/>
      <c r="N191" s="28"/>
      <c r="O191" s="28"/>
      <c r="P191" s="28"/>
      <c r="Q191" s="28"/>
      <c r="R191" s="28"/>
      <c r="S191" s="28"/>
      <c r="T191" s="28"/>
      <c r="U191" s="195"/>
      <c r="AD191" s="199"/>
    </row>
    <row r="192" spans="1:30" s="191" customFormat="1" ht="65" hidden="1" customHeight="1">
      <c r="A192" s="187"/>
      <c r="B192" s="187"/>
      <c r="C192" s="187"/>
      <c r="D192" s="77"/>
      <c r="E192" s="28"/>
      <c r="F192" s="28"/>
      <c r="G192" s="28"/>
      <c r="H192" s="28"/>
      <c r="I192" s="28"/>
      <c r="J192" s="28"/>
      <c r="K192" s="28"/>
      <c r="L192" s="28"/>
      <c r="M192" s="28"/>
      <c r="N192" s="28"/>
      <c r="O192" s="28"/>
      <c r="P192" s="28"/>
      <c r="Q192" s="28"/>
      <c r="R192" s="28"/>
      <c r="S192" s="28"/>
      <c r="T192" s="28"/>
      <c r="U192" s="195"/>
      <c r="AD192" s="199"/>
    </row>
    <row r="193" spans="1:30" s="191" customFormat="1" ht="65" hidden="1" customHeight="1">
      <c r="A193" s="187"/>
      <c r="B193" s="187"/>
      <c r="C193" s="187"/>
      <c r="D193" s="77"/>
      <c r="E193" s="28"/>
      <c r="F193" s="28"/>
      <c r="G193" s="28"/>
      <c r="H193" s="28"/>
      <c r="I193" s="28"/>
      <c r="J193" s="28"/>
      <c r="K193" s="28"/>
      <c r="L193" s="28"/>
      <c r="M193" s="28"/>
      <c r="N193" s="28"/>
      <c r="O193" s="28"/>
      <c r="P193" s="28"/>
      <c r="Q193" s="28"/>
      <c r="R193" s="28"/>
      <c r="S193" s="28"/>
      <c r="T193" s="28"/>
      <c r="U193" s="195"/>
      <c r="AD193" s="199"/>
    </row>
    <row r="194" spans="1:30" s="191" customFormat="1" ht="18" customHeight="1">
      <c r="A194" s="187"/>
      <c r="B194" s="187"/>
      <c r="C194" s="187"/>
      <c r="D194" s="77"/>
      <c r="E194" s="77"/>
      <c r="F194" s="77"/>
      <c r="G194" s="77"/>
      <c r="H194" s="77"/>
      <c r="I194" s="77"/>
      <c r="J194" s="77"/>
      <c r="K194" s="77"/>
      <c r="L194" s="77"/>
      <c r="M194" s="77"/>
      <c r="N194" s="77"/>
      <c r="O194" s="77"/>
      <c r="P194" s="77"/>
      <c r="Q194" s="28"/>
      <c r="R194" s="28"/>
      <c r="S194" s="77"/>
      <c r="T194" s="14"/>
      <c r="AD194" s="199"/>
    </row>
    <row r="195" spans="1:30" s="191" customFormat="1" ht="18" customHeight="1">
      <c r="A195" s="187"/>
      <c r="B195" s="187"/>
      <c r="C195" s="189"/>
      <c r="D195" s="14"/>
      <c r="E195" s="16" t="str">
        <f>"８-２．【選択対策】基本対策に加えて、計画期間中に積極的に実施することが望ましい取組み"</f>
        <v>８-２．【選択対策】基本対策に加えて、計画期間中に積極的に実施することが望ましい取組み</v>
      </c>
      <c r="F195" s="14"/>
      <c r="G195" s="14"/>
      <c r="H195" s="14"/>
      <c r="I195" s="14"/>
      <c r="J195" s="14"/>
      <c r="K195" s="14"/>
      <c r="L195" s="14"/>
      <c r="M195" s="14"/>
      <c r="N195" s="79"/>
      <c r="O195" s="14"/>
      <c r="P195" s="14"/>
      <c r="Q195" s="79"/>
      <c r="R195" s="28"/>
      <c r="S195" s="14"/>
      <c r="T195" s="14"/>
      <c r="U195" s="221"/>
      <c r="AD195" s="199"/>
    </row>
    <row r="196" spans="1:30" s="191" customFormat="1" ht="20" customHeight="1">
      <c r="A196" s="187"/>
      <c r="B196" s="187"/>
      <c r="C196" s="187"/>
      <c r="D196" s="14"/>
      <c r="E196" s="120"/>
      <c r="F196" s="24" t="str">
        <f>$AB$1+1&amp;"年度（第１年度）における実施状況をプルダウンから選択してください。"</f>
        <v>1年度（第１年度）における実施状況をプルダウンから選択してください。</v>
      </c>
      <c r="G196" s="14"/>
      <c r="H196" s="14"/>
      <c r="I196" s="14"/>
      <c r="J196" s="14"/>
      <c r="K196" s="14"/>
      <c r="L196" s="14"/>
      <c r="M196" s="14"/>
      <c r="N196" s="14"/>
      <c r="O196" s="97"/>
      <c r="P196" s="14"/>
      <c r="Q196" s="28"/>
      <c r="R196" s="28"/>
      <c r="S196" s="14"/>
      <c r="T196" s="14"/>
      <c r="U196" s="281"/>
      <c r="AD196" s="199"/>
    </row>
    <row r="197" spans="1:30" s="191" customFormat="1" ht="20" customHeight="1">
      <c r="A197" s="187"/>
      <c r="B197" s="187"/>
      <c r="C197" s="187"/>
      <c r="D197" s="14"/>
      <c r="E197" s="121"/>
      <c r="F197" s="37" t="str">
        <f>"　項目の追加："&amp;AB1+1&amp;"年度（第１年度）に開始した取組み、期間中に実施予定の取組は、『選択対策 項目追加する場合はこちら』ボタンを押下し移動後、"</f>
        <v>　項目の追加：1年度（第１年度）に開始した取組み、期間中に実施予定の取組は、『選択対策 項目追加する場合はこちら』ボタンを押下し移動後、</v>
      </c>
      <c r="G197" s="14"/>
      <c r="H197" s="14"/>
      <c r="I197" s="14"/>
      <c r="J197" s="14"/>
      <c r="K197" s="14"/>
      <c r="L197" s="14"/>
      <c r="M197" s="14"/>
      <c r="N197" s="14"/>
      <c r="O197" s="97"/>
      <c r="P197" s="14"/>
      <c r="Q197" s="28"/>
      <c r="R197" s="28"/>
      <c r="S197" s="14"/>
      <c r="T197" s="14"/>
      <c r="AD197" s="199"/>
    </row>
    <row r="198" spans="1:30" s="191" customFormat="1" ht="25.25" customHeight="1">
      <c r="A198" s="187"/>
      <c r="B198" s="187"/>
      <c r="C198" s="187"/>
      <c r="D198" s="14"/>
      <c r="E198" s="121"/>
      <c r="F198" s="37" t="s">
        <v>4542</v>
      </c>
      <c r="G198" s="14"/>
      <c r="H198" s="14"/>
      <c r="I198" s="14"/>
      <c r="J198" s="14"/>
      <c r="K198" s="14"/>
      <c r="L198" s="14"/>
      <c r="M198" s="14"/>
      <c r="N198" s="14"/>
      <c r="O198" s="97"/>
      <c r="P198" s="14"/>
      <c r="Q198" s="28"/>
      <c r="R198" s="28"/>
      <c r="S198" s="14"/>
      <c r="T198" s="14"/>
      <c r="AD198" s="199"/>
    </row>
    <row r="199" spans="1:30" s="191" customFormat="1" ht="20" customHeight="1">
      <c r="A199" s="187"/>
      <c r="B199" s="187"/>
      <c r="C199" s="187"/>
      <c r="D199" s="14"/>
      <c r="E199" s="28"/>
      <c r="F199" s="37" t="s">
        <v>4549</v>
      </c>
      <c r="G199" s="28"/>
      <c r="H199" s="28"/>
      <c r="I199" s="28"/>
      <c r="J199" s="28"/>
      <c r="K199" s="28"/>
      <c r="L199" s="28"/>
      <c r="M199" s="28"/>
      <c r="N199" s="28"/>
      <c r="O199" s="28"/>
      <c r="P199" s="28"/>
      <c r="Q199" s="28"/>
      <c r="R199" s="14"/>
      <c r="S199" s="14"/>
      <c r="T199" s="14"/>
      <c r="AD199" s="199"/>
    </row>
    <row r="200" spans="1:30" s="191" customFormat="1" ht="20" customHeight="1">
      <c r="A200" s="187"/>
      <c r="B200" s="187"/>
      <c r="C200" s="187"/>
      <c r="D200" s="14"/>
      <c r="E200" s="249" t="s">
        <v>4241</v>
      </c>
      <c r="F200" s="14"/>
      <c r="G200" s="14"/>
      <c r="H200" s="14"/>
      <c r="I200" s="14"/>
      <c r="J200" s="14"/>
      <c r="K200" s="14"/>
      <c r="L200" s="14"/>
      <c r="M200" s="14"/>
      <c r="N200" s="14"/>
      <c r="O200" s="14"/>
      <c r="P200" s="14"/>
      <c r="Q200" s="28"/>
      <c r="R200" s="28"/>
      <c r="S200" s="14"/>
      <c r="T200" s="14"/>
      <c r="AD200" s="199"/>
    </row>
    <row r="201" spans="1:30" ht="18" customHeight="1">
      <c r="D201" s="77"/>
      <c r="E201" s="745" t="s">
        <v>77</v>
      </c>
      <c r="F201" s="762" t="s">
        <v>78</v>
      </c>
      <c r="G201" s="792" t="s">
        <v>79</v>
      </c>
      <c r="H201" s="793"/>
      <c r="I201" s="793"/>
      <c r="J201" s="793"/>
      <c r="K201" s="793"/>
      <c r="L201" s="793"/>
      <c r="M201" s="794"/>
      <c r="N201" s="117" t="s">
        <v>4020</v>
      </c>
      <c r="O201" s="118"/>
      <c r="P201" s="274"/>
      <c r="Q201" s="274"/>
      <c r="R201" s="77"/>
      <c r="S201" s="77"/>
      <c r="T201" s="77"/>
      <c r="AA201" s="195"/>
      <c r="AD201" s="196"/>
    </row>
    <row r="202" spans="1:30" ht="18" customHeight="1">
      <c r="D202" s="77"/>
      <c r="E202" s="745"/>
      <c r="F202" s="763"/>
      <c r="G202" s="795"/>
      <c r="H202" s="796"/>
      <c r="I202" s="796"/>
      <c r="J202" s="796"/>
      <c r="K202" s="796"/>
      <c r="L202" s="796"/>
      <c r="M202" s="797"/>
      <c r="N202" s="119" t="s">
        <v>4016</v>
      </c>
      <c r="O202" s="119" t="s">
        <v>4009</v>
      </c>
      <c r="P202" s="274"/>
      <c r="Q202" s="274"/>
      <c r="R202" s="77"/>
      <c r="S202" s="77"/>
      <c r="T202" s="77"/>
      <c r="AA202" s="195"/>
      <c r="AD202" s="196"/>
    </row>
    <row r="203" spans="1:30" ht="70.25" customHeight="1">
      <c r="D203" s="77"/>
      <c r="E203" s="122">
        <v>1</v>
      </c>
      <c r="F203" s="11" t="str">
        <f>対策リスト!AY2&amp;""</f>
        <v/>
      </c>
      <c r="G203" s="755" t="str">
        <f>IFERROR(VLOOKUP(F203,選択対策,2,0),"")</f>
        <v/>
      </c>
      <c r="H203" s="756"/>
      <c r="I203" s="756"/>
      <c r="J203" s="756"/>
      <c r="K203" s="756"/>
      <c r="L203" s="756"/>
      <c r="M203" s="757"/>
      <c r="N203" s="8" t="str">
        <f>IF(F203="","",IFERROR(IF(VLOOKUP(F203,'入力シート（計画書）'!$F$203:$O$211,9,0)="","未入力",VLOOKUP(F203,'入力シート（計画書）'!$F$203:$O$211,9,0)),"-------"))</f>
        <v/>
      </c>
      <c r="O203" s="1"/>
      <c r="P203" s="274"/>
      <c r="Q203" s="274"/>
      <c r="R203" s="77"/>
      <c r="S203" s="77"/>
      <c r="T203" s="77"/>
      <c r="AA203" s="195"/>
      <c r="AD203" s="196"/>
    </row>
    <row r="204" spans="1:30" ht="70.25" customHeight="1">
      <c r="D204" s="77"/>
      <c r="E204" s="122">
        <v>2</v>
      </c>
      <c r="F204" s="11" t="str">
        <f>対策リスト!AY3&amp;""</f>
        <v/>
      </c>
      <c r="G204" s="755" t="str">
        <f t="shared" ref="G204:G211" si="0">IFERROR(VLOOKUP(F204,選択対策,2,0),"")</f>
        <v/>
      </c>
      <c r="H204" s="756"/>
      <c r="I204" s="756"/>
      <c r="J204" s="756"/>
      <c r="K204" s="756"/>
      <c r="L204" s="756"/>
      <c r="M204" s="757"/>
      <c r="N204" s="8" t="str">
        <f>IF(F204="","",IFERROR(IF(VLOOKUP(F204,'入力シート（計画書）'!$F$203:$O$211,9,0)="","未入力",VLOOKUP(F204,'入力シート（計画書）'!$F$203:$O$211,9,0)),"-------"))</f>
        <v/>
      </c>
      <c r="O204" s="1"/>
      <c r="P204" s="274"/>
      <c r="Q204" s="274"/>
      <c r="R204" s="77"/>
      <c r="S204" s="77"/>
      <c r="T204" s="77"/>
      <c r="AA204" s="195"/>
      <c r="AD204" s="196"/>
    </row>
    <row r="205" spans="1:30" ht="70.25" customHeight="1">
      <c r="D205" s="77"/>
      <c r="E205" s="122">
        <v>3</v>
      </c>
      <c r="F205" s="11" t="str">
        <f>対策リスト!AY4&amp;""</f>
        <v/>
      </c>
      <c r="G205" s="755" t="str">
        <f t="shared" si="0"/>
        <v/>
      </c>
      <c r="H205" s="756"/>
      <c r="I205" s="756"/>
      <c r="J205" s="756"/>
      <c r="K205" s="756"/>
      <c r="L205" s="756"/>
      <c r="M205" s="757"/>
      <c r="N205" s="8" t="str">
        <f>IF(F205="","",IFERROR(IF(VLOOKUP(F205,'入力シート（計画書）'!$F$203:$O$211,9,0)="","未入力",VLOOKUP(F205,'入力シート（計画書）'!$F$203:$O$211,9,0)),"-------"))</f>
        <v/>
      </c>
      <c r="O205" s="1"/>
      <c r="P205" s="274"/>
      <c r="Q205" s="274"/>
      <c r="R205" s="77"/>
      <c r="S205" s="77"/>
      <c r="T205" s="77"/>
      <c r="AA205" s="195"/>
      <c r="AD205" s="196"/>
    </row>
    <row r="206" spans="1:30" ht="70.25" customHeight="1">
      <c r="D206" s="77"/>
      <c r="E206" s="122">
        <v>4</v>
      </c>
      <c r="F206" s="11" t="str">
        <f>対策リスト!AY5&amp;""</f>
        <v/>
      </c>
      <c r="G206" s="755" t="str">
        <f t="shared" si="0"/>
        <v/>
      </c>
      <c r="H206" s="756"/>
      <c r="I206" s="756"/>
      <c r="J206" s="756"/>
      <c r="K206" s="756"/>
      <c r="L206" s="756"/>
      <c r="M206" s="757"/>
      <c r="N206" s="8" t="str">
        <f>IF(F206="","",IFERROR(IF(VLOOKUP(F206,'入力シート（計画書）'!$F$203:$O$211,9,0)="","未入力",VLOOKUP(F206,'入力シート（計画書）'!$F$203:$O$211,9,0)),"-------"))</f>
        <v/>
      </c>
      <c r="O206" s="1"/>
      <c r="P206" s="274"/>
      <c r="Q206" s="274"/>
      <c r="R206" s="77"/>
      <c r="S206" s="77"/>
      <c r="T206" s="77"/>
      <c r="AA206" s="195"/>
      <c r="AD206" s="196"/>
    </row>
    <row r="207" spans="1:30" ht="70.25" customHeight="1">
      <c r="D207" s="77"/>
      <c r="E207" s="122">
        <v>5</v>
      </c>
      <c r="F207" s="11" t="str">
        <f>対策リスト!AY6&amp;""</f>
        <v/>
      </c>
      <c r="G207" s="755" t="str">
        <f t="shared" si="0"/>
        <v/>
      </c>
      <c r="H207" s="756"/>
      <c r="I207" s="756"/>
      <c r="J207" s="756"/>
      <c r="K207" s="756"/>
      <c r="L207" s="756"/>
      <c r="M207" s="757"/>
      <c r="N207" s="8" t="str">
        <f>IF(F207="","",IFERROR(IF(VLOOKUP(F207,'入力シート（計画書）'!$F$203:$O$211,9,0)="","未入力",VLOOKUP(F207,'入力シート（計画書）'!$F$203:$O$211,9,0)),"-------"))</f>
        <v/>
      </c>
      <c r="O207" s="1"/>
      <c r="P207" s="274"/>
      <c r="Q207" s="274"/>
      <c r="R207" s="77"/>
      <c r="S207" s="77"/>
      <c r="T207" s="77"/>
      <c r="AA207" s="195"/>
      <c r="AD207" s="196"/>
    </row>
    <row r="208" spans="1:30" ht="70.25" customHeight="1">
      <c r="D208" s="77"/>
      <c r="E208" s="122">
        <v>6</v>
      </c>
      <c r="F208" s="11" t="str">
        <f>対策リスト!AY7&amp;""</f>
        <v/>
      </c>
      <c r="G208" s="755" t="str">
        <f t="shared" si="0"/>
        <v/>
      </c>
      <c r="H208" s="756"/>
      <c r="I208" s="756"/>
      <c r="J208" s="756"/>
      <c r="K208" s="756"/>
      <c r="L208" s="756"/>
      <c r="M208" s="757"/>
      <c r="N208" s="8" t="str">
        <f>IF(F208="","",IFERROR(IF(VLOOKUP(F208,'入力シート（計画書）'!$F$203:$O$211,9,0)="","未入力",VLOOKUP(F208,'入力シート（計画書）'!$F$203:$O$211,9,0)),"-------"))</f>
        <v/>
      </c>
      <c r="O208" s="1"/>
      <c r="P208" s="274"/>
      <c r="Q208" s="274"/>
      <c r="R208" s="77"/>
      <c r="S208" s="77"/>
      <c r="T208" s="77"/>
      <c r="AA208" s="195"/>
      <c r="AD208" s="196"/>
    </row>
    <row r="209" spans="1:30" ht="70.25" customHeight="1">
      <c r="D209" s="77"/>
      <c r="E209" s="122">
        <v>7</v>
      </c>
      <c r="F209" s="11" t="str">
        <f>対策リスト!AY8&amp;""</f>
        <v/>
      </c>
      <c r="G209" s="755" t="str">
        <f t="shared" si="0"/>
        <v/>
      </c>
      <c r="H209" s="756"/>
      <c r="I209" s="756"/>
      <c r="J209" s="756"/>
      <c r="K209" s="756"/>
      <c r="L209" s="756"/>
      <c r="M209" s="757"/>
      <c r="N209" s="8" t="str">
        <f>IF(F209="","",IFERROR(IF(VLOOKUP(F209,'入力シート（計画書）'!$F$203:$O$211,9,0)="","未入力",VLOOKUP(F209,'入力シート（計画書）'!$F$203:$O$211,9,0)),"-------"))</f>
        <v/>
      </c>
      <c r="O209" s="1"/>
      <c r="P209" s="274"/>
      <c r="Q209" s="274"/>
      <c r="R209" s="77"/>
      <c r="S209" s="77"/>
      <c r="T209" s="77"/>
      <c r="AA209" s="195"/>
      <c r="AD209" s="196"/>
    </row>
    <row r="210" spans="1:30" ht="70.25" customHeight="1">
      <c r="D210" s="77"/>
      <c r="E210" s="122">
        <v>8</v>
      </c>
      <c r="F210" s="11" t="str">
        <f>対策リスト!AY9&amp;""</f>
        <v/>
      </c>
      <c r="G210" s="755" t="str">
        <f t="shared" si="0"/>
        <v/>
      </c>
      <c r="H210" s="756"/>
      <c r="I210" s="756"/>
      <c r="J210" s="756"/>
      <c r="K210" s="756"/>
      <c r="L210" s="756"/>
      <c r="M210" s="757"/>
      <c r="N210" s="8" t="str">
        <f>IF(F210="","",IFERROR(IF(VLOOKUP(F210,'入力シート（計画書）'!$F$203:$O$211,9,0)="","未入力",VLOOKUP(F210,'入力シート（計画書）'!$F$203:$O$211,9,0)),"-------"))</f>
        <v/>
      </c>
      <c r="O210" s="1"/>
      <c r="P210" s="274"/>
      <c r="Q210" s="274"/>
      <c r="R210" s="77"/>
      <c r="S210" s="77"/>
      <c r="T210" s="77"/>
      <c r="AA210" s="195"/>
      <c r="AD210" s="196"/>
    </row>
    <row r="211" spans="1:30" ht="70.25" customHeight="1">
      <c r="D211" s="77"/>
      <c r="E211" s="122">
        <v>9</v>
      </c>
      <c r="F211" s="11" t="str">
        <f>対策リスト!AY10&amp;""</f>
        <v/>
      </c>
      <c r="G211" s="755" t="str">
        <f t="shared" si="0"/>
        <v/>
      </c>
      <c r="H211" s="756"/>
      <c r="I211" s="756"/>
      <c r="J211" s="756"/>
      <c r="K211" s="756"/>
      <c r="L211" s="756"/>
      <c r="M211" s="757"/>
      <c r="N211" s="8" t="str">
        <f>IF(F211="","",IFERROR(IF(VLOOKUP(F211,'入力シート（計画書）'!$F$203:$O$211,9,0)="","未入力",VLOOKUP(F211,'入力シート（計画書）'!$F$203:$O$211,9,0)),"-------"))</f>
        <v/>
      </c>
      <c r="O211" s="1"/>
      <c r="P211" s="274"/>
      <c r="Q211" s="274"/>
      <c r="R211" s="77"/>
      <c r="S211" s="77"/>
      <c r="T211" s="77"/>
      <c r="AA211" s="195"/>
      <c r="AD211" s="196"/>
    </row>
    <row r="212" spans="1:30" s="191" customFormat="1" ht="18" customHeight="1">
      <c r="A212" s="187"/>
      <c r="B212" s="187"/>
      <c r="C212" s="187"/>
      <c r="D212" s="77"/>
      <c r="E212" s="77"/>
      <c r="F212" s="77"/>
      <c r="G212" s="77"/>
      <c r="H212" s="77"/>
      <c r="I212" s="77"/>
      <c r="J212" s="77"/>
      <c r="K212" s="77"/>
      <c r="L212" s="77"/>
      <c r="M212" s="77"/>
      <c r="N212" s="77"/>
      <c r="O212" s="77"/>
      <c r="P212" s="77"/>
      <c r="Q212" s="28"/>
      <c r="R212" s="28"/>
      <c r="S212" s="77"/>
      <c r="T212" s="77"/>
      <c r="U212" s="195"/>
      <c r="AD212" s="199"/>
    </row>
    <row r="213" spans="1:30" s="191" customFormat="1" ht="18" customHeight="1">
      <c r="A213" s="187"/>
      <c r="B213" s="187"/>
      <c r="C213" s="187"/>
      <c r="D213" s="14"/>
      <c r="E213" s="16" t="str">
        <f>"８-３．【その他の対策】基本対策と選択対策どちらにも該当しない独自の取組み"</f>
        <v>８-３．【その他の対策】基本対策と選択対策どちらにも該当しない独自の取組み</v>
      </c>
      <c r="F213" s="14"/>
      <c r="G213" s="77"/>
      <c r="H213" s="77"/>
      <c r="I213" s="77"/>
      <c r="J213" s="77"/>
      <c r="K213" s="77"/>
      <c r="L213" s="77"/>
      <c r="M213" s="77"/>
      <c r="N213" s="77"/>
      <c r="O213" s="77"/>
      <c r="P213" s="77"/>
      <c r="Q213" s="28"/>
      <c r="R213" s="28"/>
      <c r="S213" s="77"/>
      <c r="T213" s="77"/>
      <c r="U213" s="195"/>
      <c r="AD213" s="199"/>
    </row>
    <row r="214" spans="1:30" s="191" customFormat="1" ht="20" customHeight="1">
      <c r="A214" s="187"/>
      <c r="B214" s="187"/>
      <c r="C214" s="187"/>
      <c r="D214" s="14"/>
      <c r="E214" s="123"/>
      <c r="F214" s="24" t="str">
        <f>$AB$1+1&amp;"年度（第１年度）における実施状況をプルダウンから選択してください。"</f>
        <v>1年度（第１年度）における実施状況をプルダウンから選択してください。</v>
      </c>
      <c r="G214" s="14"/>
      <c r="H214" s="14"/>
      <c r="I214" s="14"/>
      <c r="J214" s="14"/>
      <c r="K214" s="14"/>
      <c r="L214" s="14"/>
      <c r="M214" s="14"/>
      <c r="N214" s="14"/>
      <c r="O214" s="14"/>
      <c r="P214" s="14"/>
      <c r="Q214" s="28"/>
      <c r="R214" s="28"/>
      <c r="S214" s="14"/>
      <c r="T214" s="14"/>
      <c r="AD214" s="199"/>
    </row>
    <row r="215" spans="1:30" s="191" customFormat="1" ht="20" customHeight="1">
      <c r="A215" s="187"/>
      <c r="B215" s="187"/>
      <c r="C215" s="187"/>
      <c r="D215" s="14"/>
      <c r="E215" s="123"/>
      <c r="F215" s="37" t="str">
        <f>"　項目の追加："&amp;$AB$1+1&amp;"年度（第１年度）に開始した取組み、期間中に実施予定の取組は、『その他の対策 項目追加する場合はこちら』ボタンを押下し移動後、"</f>
        <v>　項目の追加：1年度（第１年度）に開始した取組み、期間中に実施予定の取組は、『その他の対策 項目追加する場合はこちら』ボタンを押下し移動後、</v>
      </c>
      <c r="G215" s="14"/>
      <c r="H215" s="14"/>
      <c r="I215" s="14"/>
      <c r="J215" s="14"/>
      <c r="K215" s="14"/>
      <c r="L215" s="14"/>
      <c r="M215" s="14"/>
      <c r="N215" s="14"/>
      <c r="O215" s="14"/>
      <c r="P215" s="14"/>
      <c r="Q215" s="28"/>
      <c r="R215" s="28"/>
      <c r="S215" s="14"/>
      <c r="T215" s="14"/>
      <c r="AD215" s="199"/>
    </row>
    <row r="216" spans="1:30" s="191" customFormat="1" ht="20" customHeight="1">
      <c r="A216" s="187"/>
      <c r="B216" s="187"/>
      <c r="C216" s="187"/>
      <c r="D216" s="14"/>
      <c r="E216" s="14"/>
      <c r="F216" s="37" t="s">
        <v>4542</v>
      </c>
      <c r="G216" s="14"/>
      <c r="H216" s="14"/>
      <c r="I216" s="14"/>
      <c r="J216" s="14"/>
      <c r="K216" s="14"/>
      <c r="L216" s="14"/>
      <c r="M216" s="14"/>
      <c r="N216" s="14"/>
      <c r="O216" s="14"/>
      <c r="P216" s="14"/>
      <c r="Q216" s="28"/>
      <c r="R216" s="28"/>
      <c r="S216" s="14"/>
      <c r="T216" s="14"/>
      <c r="AD216" s="199"/>
    </row>
    <row r="217" spans="1:30" s="191" customFormat="1" ht="18" customHeight="1">
      <c r="A217" s="187"/>
      <c r="B217" s="187"/>
      <c r="C217" s="187"/>
      <c r="D217" s="14"/>
      <c r="E217" s="14"/>
      <c r="F217" s="37" t="s">
        <v>4550</v>
      </c>
      <c r="G217" s="14"/>
      <c r="H217" s="14"/>
      <c r="I217" s="14"/>
      <c r="J217" s="14"/>
      <c r="K217" s="14"/>
      <c r="L217" s="14"/>
      <c r="M217" s="14"/>
      <c r="N217" s="97"/>
      <c r="O217" s="14"/>
      <c r="P217" s="14"/>
      <c r="Q217" s="28"/>
      <c r="R217" s="28"/>
      <c r="S217" s="97"/>
      <c r="T217" s="14"/>
      <c r="U217" s="281"/>
      <c r="AD217" s="199"/>
    </row>
    <row r="218" spans="1:30" s="191" customFormat="1" ht="18" customHeight="1">
      <c r="A218" s="187"/>
      <c r="B218" s="187"/>
      <c r="C218" s="187"/>
      <c r="D218" s="14"/>
      <c r="E218" s="14"/>
      <c r="F218" s="37" t="s">
        <v>4543</v>
      </c>
      <c r="G218" s="14"/>
      <c r="H218" s="14"/>
      <c r="I218" s="14"/>
      <c r="J218" s="14"/>
      <c r="K218" s="14"/>
      <c r="L218" s="14"/>
      <c r="M218" s="14"/>
      <c r="N218" s="14"/>
      <c r="O218" s="97"/>
      <c r="P218" s="14"/>
      <c r="Q218" s="28"/>
      <c r="R218" s="28"/>
      <c r="S218" s="14"/>
      <c r="T218" s="14"/>
      <c r="U218" s="281"/>
      <c r="AD218" s="199"/>
    </row>
    <row r="219" spans="1:30" s="191" customFormat="1" ht="18" hidden="1" customHeight="1">
      <c r="A219" s="187"/>
      <c r="B219" s="187"/>
      <c r="C219" s="187"/>
      <c r="D219" s="14"/>
      <c r="E219" s="14"/>
      <c r="F219" s="124"/>
      <c r="G219" s="14"/>
      <c r="H219" s="14"/>
      <c r="I219" s="14"/>
      <c r="J219" s="14"/>
      <c r="K219" s="14"/>
      <c r="L219" s="14"/>
      <c r="M219" s="14"/>
      <c r="N219" s="14"/>
      <c r="O219" s="97"/>
      <c r="P219" s="14"/>
      <c r="Q219" s="28"/>
      <c r="R219" s="28"/>
      <c r="S219" s="14"/>
      <c r="T219" s="14"/>
      <c r="U219" s="281"/>
      <c r="AD219" s="199"/>
    </row>
    <row r="220" spans="1:30" s="191" customFormat="1" ht="20" customHeight="1">
      <c r="A220" s="187"/>
      <c r="B220" s="187"/>
      <c r="C220" s="187"/>
      <c r="D220" s="14"/>
      <c r="E220" s="249" t="s">
        <v>4243</v>
      </c>
      <c r="F220" s="14"/>
      <c r="G220" s="14"/>
      <c r="H220" s="14"/>
      <c r="I220" s="14"/>
      <c r="J220" s="14"/>
      <c r="K220" s="14"/>
      <c r="L220" s="14"/>
      <c r="M220" s="14"/>
      <c r="N220" s="14"/>
      <c r="O220" s="14"/>
      <c r="P220" s="14"/>
      <c r="Q220" s="28"/>
      <c r="R220" s="28"/>
      <c r="S220" s="14"/>
      <c r="T220" s="14"/>
      <c r="AD220" s="199"/>
    </row>
    <row r="221" spans="1:30" ht="18" customHeight="1">
      <c r="D221" s="77"/>
      <c r="E221" s="745" t="s">
        <v>77</v>
      </c>
      <c r="F221" s="927" t="s">
        <v>78</v>
      </c>
      <c r="G221" s="764" t="s">
        <v>4092</v>
      </c>
      <c r="H221" s="765"/>
      <c r="I221" s="765"/>
      <c r="J221" s="765"/>
      <c r="K221" s="765"/>
      <c r="L221" s="765"/>
      <c r="M221" s="766"/>
      <c r="N221" s="940" t="s">
        <v>4020</v>
      </c>
      <c r="O221" s="941"/>
      <c r="P221" s="274"/>
      <c r="Q221" s="274"/>
      <c r="R221" s="77"/>
      <c r="S221" s="77"/>
      <c r="T221" s="77"/>
      <c r="AA221" s="195"/>
      <c r="AD221" s="196"/>
    </row>
    <row r="222" spans="1:30" ht="18" customHeight="1">
      <c r="D222" s="77"/>
      <c r="E222" s="745"/>
      <c r="F222" s="928"/>
      <c r="G222" s="767"/>
      <c r="H222" s="768"/>
      <c r="I222" s="768"/>
      <c r="J222" s="768"/>
      <c r="K222" s="768"/>
      <c r="L222" s="768"/>
      <c r="M222" s="769"/>
      <c r="N222" s="119" t="s">
        <v>4016</v>
      </c>
      <c r="O222" s="119" t="s">
        <v>4009</v>
      </c>
      <c r="P222" s="274"/>
      <c r="Q222" s="274"/>
      <c r="R222" s="77"/>
      <c r="S222" s="77"/>
      <c r="T222" s="77"/>
      <c r="AA222" s="195"/>
      <c r="AD222" s="196"/>
    </row>
    <row r="223" spans="1:30" ht="90" customHeight="1">
      <c r="D223" s="77"/>
      <c r="E223" s="122">
        <v>1</v>
      </c>
      <c r="F223" s="11" t="str">
        <f>対策リスト!BY2&amp;""</f>
        <v/>
      </c>
      <c r="G223" s="922" t="str">
        <f>IF(対策リスト!CB2=0,"",対策リスト!CB2&amp;"")</f>
        <v/>
      </c>
      <c r="H223" s="923"/>
      <c r="I223" s="923"/>
      <c r="J223" s="923"/>
      <c r="K223" s="923"/>
      <c r="L223" s="923"/>
      <c r="M223" s="924"/>
      <c r="N223" s="8" t="str">
        <f>IF(F223="","",IF(対策リスト!CG2="","-------",対策リスト!CG2))</f>
        <v/>
      </c>
      <c r="O223" s="1"/>
      <c r="P223" s="274"/>
      <c r="Q223" s="274"/>
      <c r="R223" s="77"/>
      <c r="S223" s="77"/>
      <c r="T223" s="77"/>
      <c r="AA223" s="195"/>
      <c r="AD223" s="196"/>
    </row>
    <row r="224" spans="1:30" ht="90" customHeight="1">
      <c r="D224" s="77"/>
      <c r="E224" s="122">
        <v>2</v>
      </c>
      <c r="F224" s="11" t="str">
        <f>対策リスト!BY3&amp;""</f>
        <v/>
      </c>
      <c r="G224" s="922" t="str">
        <f>IF(対策リスト!CB3=0,"",対策リスト!CB3&amp;"")</f>
        <v/>
      </c>
      <c r="H224" s="923"/>
      <c r="I224" s="923"/>
      <c r="J224" s="923"/>
      <c r="K224" s="923"/>
      <c r="L224" s="923"/>
      <c r="M224" s="924"/>
      <c r="N224" s="8" t="str">
        <f>IF(F224="","",IF(対策リスト!CG3="","-------",対策リスト!CG3))</f>
        <v/>
      </c>
      <c r="O224" s="1"/>
      <c r="P224" s="274"/>
      <c r="Q224" s="274"/>
      <c r="R224" s="77"/>
      <c r="S224" s="77"/>
      <c r="T224" s="77"/>
      <c r="AA224" s="195"/>
      <c r="AD224" s="196"/>
    </row>
    <row r="225" spans="1:40" ht="90" customHeight="1">
      <c r="D225" s="77"/>
      <c r="E225" s="122">
        <v>3</v>
      </c>
      <c r="F225" s="11" t="str">
        <f>対策リスト!BY4&amp;""</f>
        <v/>
      </c>
      <c r="G225" s="922" t="str">
        <f>IF(対策リスト!CB4=0,"",対策リスト!CB4&amp;"")</f>
        <v/>
      </c>
      <c r="H225" s="923"/>
      <c r="I225" s="923"/>
      <c r="J225" s="923"/>
      <c r="K225" s="923"/>
      <c r="L225" s="923"/>
      <c r="M225" s="924"/>
      <c r="N225" s="8" t="str">
        <f>IF(F225="","",IF(対策リスト!CG4="","-------",対策リスト!CG4))</f>
        <v/>
      </c>
      <c r="O225" s="1"/>
      <c r="P225" s="274"/>
      <c r="Q225" s="274"/>
      <c r="R225" s="77"/>
      <c r="S225" s="77"/>
      <c r="T225" s="77"/>
      <c r="AA225" s="195"/>
      <c r="AD225" s="196"/>
    </row>
    <row r="226" spans="1:40" ht="90" customHeight="1">
      <c r="D226" s="77"/>
      <c r="E226" s="122">
        <v>4</v>
      </c>
      <c r="F226" s="11" t="str">
        <f>対策リスト!BY5&amp;""</f>
        <v/>
      </c>
      <c r="G226" s="922" t="str">
        <f>IF(対策リスト!CB5=0,"",対策リスト!CB5&amp;"")</f>
        <v/>
      </c>
      <c r="H226" s="923"/>
      <c r="I226" s="923"/>
      <c r="J226" s="923"/>
      <c r="K226" s="923"/>
      <c r="L226" s="923"/>
      <c r="M226" s="924"/>
      <c r="N226" s="8" t="str">
        <f>IF(F226="","",IF(対策リスト!CG5="","-------",対策リスト!CG5))</f>
        <v/>
      </c>
      <c r="O226" s="1"/>
      <c r="P226" s="274"/>
      <c r="Q226" s="274"/>
      <c r="R226" s="77"/>
      <c r="S226" s="77"/>
      <c r="T226" s="77"/>
      <c r="AA226" s="195"/>
      <c r="AD226" s="196"/>
    </row>
    <row r="227" spans="1:40" ht="90" customHeight="1">
      <c r="D227" s="77"/>
      <c r="E227" s="122">
        <v>5</v>
      </c>
      <c r="F227" s="11" t="str">
        <f>対策リスト!BY6&amp;""</f>
        <v/>
      </c>
      <c r="G227" s="922" t="str">
        <f>IF(対策リスト!CB6=0,"",対策リスト!CB6&amp;"")</f>
        <v/>
      </c>
      <c r="H227" s="923"/>
      <c r="I227" s="923"/>
      <c r="J227" s="923"/>
      <c r="K227" s="923"/>
      <c r="L227" s="923"/>
      <c r="M227" s="924"/>
      <c r="N227" s="8" t="str">
        <f>IF(F227="","",IF(対策リスト!CG6="","-------",対策リスト!CG6))</f>
        <v/>
      </c>
      <c r="O227" s="1"/>
      <c r="P227" s="274"/>
      <c r="Q227" s="274"/>
      <c r="R227" s="77"/>
      <c r="S227" s="77"/>
      <c r="T227" s="77"/>
      <c r="AA227" s="195"/>
      <c r="AD227" s="196"/>
    </row>
    <row r="228" spans="1:40" ht="90" customHeight="1">
      <c r="D228" s="77"/>
      <c r="E228" s="122">
        <v>6</v>
      </c>
      <c r="F228" s="11" t="str">
        <f>対策リスト!BY7&amp;""</f>
        <v/>
      </c>
      <c r="G228" s="922" t="str">
        <f>IF(対策リスト!CB7=0,"",対策リスト!CB7&amp;"")</f>
        <v/>
      </c>
      <c r="H228" s="923"/>
      <c r="I228" s="923"/>
      <c r="J228" s="923"/>
      <c r="K228" s="923"/>
      <c r="L228" s="923"/>
      <c r="M228" s="924"/>
      <c r="N228" s="8" t="str">
        <f>IF(F228="","",IF(対策リスト!CG7="","-------",対策リスト!CG7))</f>
        <v/>
      </c>
      <c r="O228" s="1"/>
      <c r="P228" s="274"/>
      <c r="Q228" s="274"/>
      <c r="R228" s="77"/>
      <c r="S228" s="77"/>
      <c r="T228" s="77"/>
      <c r="AA228" s="195"/>
      <c r="AD228" s="196"/>
    </row>
    <row r="229" spans="1:40" ht="90" customHeight="1">
      <c r="D229" s="77"/>
      <c r="E229" s="122">
        <v>7</v>
      </c>
      <c r="F229" s="11" t="str">
        <f>対策リスト!BY8&amp;""</f>
        <v/>
      </c>
      <c r="G229" s="922" t="str">
        <f>IF(対策リスト!CB8=0,"",対策リスト!CB8&amp;"")</f>
        <v/>
      </c>
      <c r="H229" s="923"/>
      <c r="I229" s="923"/>
      <c r="J229" s="923"/>
      <c r="K229" s="923"/>
      <c r="L229" s="923"/>
      <c r="M229" s="924"/>
      <c r="N229" s="8" t="str">
        <f>IF(F229="","",IF(対策リスト!CG8="","-------",対策リスト!CG8))</f>
        <v/>
      </c>
      <c r="O229" s="1"/>
      <c r="P229" s="274"/>
      <c r="Q229" s="274"/>
      <c r="R229" s="77"/>
      <c r="S229" s="77"/>
      <c r="T229" s="77"/>
      <c r="AA229" s="195"/>
      <c r="AD229" s="196"/>
    </row>
    <row r="230" spans="1:40" ht="90" customHeight="1">
      <c r="D230" s="77"/>
      <c r="E230" s="122">
        <v>8</v>
      </c>
      <c r="F230" s="11" t="str">
        <f>対策リスト!BY9&amp;""</f>
        <v/>
      </c>
      <c r="G230" s="922" t="str">
        <f>IF(対策リスト!CB9=0,"",対策リスト!CB9&amp;"")</f>
        <v/>
      </c>
      <c r="H230" s="923"/>
      <c r="I230" s="923"/>
      <c r="J230" s="923"/>
      <c r="K230" s="923"/>
      <c r="L230" s="923"/>
      <c r="M230" s="924"/>
      <c r="N230" s="8" t="str">
        <f>IF(F230="","",IF(対策リスト!CG9="","-------",対策リスト!CG9))</f>
        <v/>
      </c>
      <c r="O230" s="1"/>
      <c r="P230" s="274"/>
      <c r="Q230" s="274"/>
      <c r="R230" s="77"/>
      <c r="S230" s="77"/>
      <c r="T230" s="77"/>
      <c r="AA230" s="195"/>
      <c r="AD230" s="196"/>
    </row>
    <row r="231" spans="1:40" ht="90" customHeight="1">
      <c r="D231" s="77"/>
      <c r="E231" s="122">
        <v>9</v>
      </c>
      <c r="F231" s="11" t="str">
        <f>対策リスト!BY10&amp;""</f>
        <v/>
      </c>
      <c r="G231" s="922" t="str">
        <f>IF(対策リスト!CB10=0,"",対策リスト!CB10&amp;"")</f>
        <v/>
      </c>
      <c r="H231" s="923"/>
      <c r="I231" s="923"/>
      <c r="J231" s="923"/>
      <c r="K231" s="923"/>
      <c r="L231" s="923"/>
      <c r="M231" s="924"/>
      <c r="N231" s="8" t="str">
        <f>IF(F231="","",IF(対策リスト!CG10="","-------",対策リスト!CG10))</f>
        <v/>
      </c>
      <c r="O231" s="1"/>
      <c r="P231" s="274"/>
      <c r="Q231" s="274"/>
      <c r="R231" s="77"/>
      <c r="S231" s="77"/>
      <c r="T231" s="77"/>
      <c r="AA231" s="195"/>
      <c r="AD231" s="196"/>
    </row>
    <row r="232" spans="1:40" ht="90" customHeight="1">
      <c r="D232" s="77"/>
      <c r="E232" s="122">
        <v>10</v>
      </c>
      <c r="F232" s="11" t="str">
        <f>対策リスト!BY11&amp;""</f>
        <v/>
      </c>
      <c r="G232" s="922" t="str">
        <f>IF(対策リスト!CB11=0,"",対策リスト!CB11&amp;"")</f>
        <v/>
      </c>
      <c r="H232" s="923"/>
      <c r="I232" s="923"/>
      <c r="J232" s="923"/>
      <c r="K232" s="923"/>
      <c r="L232" s="923"/>
      <c r="M232" s="924"/>
      <c r="N232" s="8" t="str">
        <f>IF(F232="","",IF(対策リスト!CG11="","-------",対策リスト!CG11))</f>
        <v/>
      </c>
      <c r="O232" s="1"/>
      <c r="P232" s="274"/>
      <c r="Q232" s="274"/>
      <c r="R232" s="77"/>
      <c r="S232" s="77"/>
      <c r="T232" s="77"/>
      <c r="AA232" s="195"/>
      <c r="AD232" s="196"/>
    </row>
    <row r="233" spans="1:40" ht="18" customHeight="1">
      <c r="D233" s="77"/>
      <c r="E233" s="77"/>
      <c r="F233" s="77"/>
      <c r="G233" s="77"/>
      <c r="H233" s="77"/>
      <c r="I233" s="77"/>
      <c r="J233" s="77"/>
      <c r="K233" s="77"/>
      <c r="L233" s="77"/>
      <c r="M233" s="77"/>
      <c r="N233" s="28"/>
      <c r="O233" s="28"/>
      <c r="P233" s="77"/>
      <c r="Q233" s="77"/>
      <c r="R233" s="77"/>
      <c r="S233" s="77"/>
      <c r="T233" s="77"/>
    </row>
    <row r="234" spans="1:40" ht="18" customHeight="1">
      <c r="D234" s="77"/>
      <c r="E234" s="77"/>
      <c r="F234" s="77"/>
      <c r="G234" s="77"/>
      <c r="H234" s="77"/>
      <c r="I234" s="77"/>
      <c r="J234" s="77"/>
      <c r="K234" s="77"/>
      <c r="L234" s="77"/>
      <c r="M234" s="77"/>
      <c r="N234" s="28"/>
      <c r="O234" s="28"/>
      <c r="P234" s="77"/>
      <c r="Q234" s="77"/>
      <c r="R234" s="77"/>
      <c r="S234" s="77"/>
      <c r="T234" s="77"/>
    </row>
    <row r="235" spans="1:40" ht="18" customHeight="1">
      <c r="C235" s="187"/>
      <c r="D235" s="34" t="s">
        <v>4438</v>
      </c>
      <c r="E235" s="14"/>
      <c r="F235" s="77"/>
      <c r="G235" s="77"/>
      <c r="H235" s="77"/>
      <c r="I235" s="77"/>
      <c r="J235" s="77"/>
      <c r="K235" s="77"/>
      <c r="L235" s="77"/>
      <c r="M235" s="77"/>
      <c r="N235" s="77"/>
      <c r="O235" s="77"/>
      <c r="P235" s="77"/>
      <c r="Q235" s="77"/>
      <c r="R235" s="28"/>
      <c r="S235" s="28"/>
      <c r="T235" s="14"/>
      <c r="U235" s="191"/>
      <c r="V235" s="191"/>
      <c r="W235" s="191"/>
      <c r="X235" s="191"/>
      <c r="Y235" s="191"/>
      <c r="Z235" s="191"/>
      <c r="AA235" s="199"/>
      <c r="AB235" s="191"/>
      <c r="AC235" s="191"/>
      <c r="AD235" s="191"/>
      <c r="AE235" s="191"/>
      <c r="AF235" s="191"/>
      <c r="AG235" s="191"/>
      <c r="AH235" s="191"/>
      <c r="AI235" s="197"/>
      <c r="AJ235" s="197"/>
      <c r="AK235" s="197"/>
      <c r="AL235" s="197"/>
      <c r="AM235" s="197"/>
      <c r="AN235" s="197"/>
    </row>
    <row r="236" spans="1:40" ht="18" customHeight="1">
      <c r="C236" s="187"/>
      <c r="D236" s="14"/>
      <c r="E236" s="16" t="s">
        <v>4441</v>
      </c>
      <c r="F236" s="14"/>
      <c r="G236" s="14"/>
      <c r="H236" s="14"/>
      <c r="I236" s="14"/>
      <c r="J236" s="14"/>
      <c r="K236" s="14"/>
      <c r="L236" s="14"/>
      <c r="M236" s="14"/>
      <c r="N236" s="14"/>
      <c r="O236" s="14"/>
      <c r="P236" s="77"/>
      <c r="Q236" s="77"/>
      <c r="R236" s="28"/>
      <c r="S236" s="28"/>
      <c r="T236" s="14"/>
      <c r="U236" s="191"/>
      <c r="V236" s="191"/>
      <c r="W236" s="191"/>
      <c r="X236" s="191"/>
      <c r="Y236" s="191"/>
      <c r="Z236" s="191"/>
      <c r="AA236" s="199"/>
      <c r="AB236" s="191"/>
      <c r="AC236" s="191"/>
      <c r="AD236" s="191"/>
      <c r="AE236" s="191"/>
      <c r="AF236" s="191"/>
      <c r="AG236" s="191"/>
      <c r="AH236" s="191"/>
      <c r="AI236" s="197"/>
      <c r="AJ236" s="197"/>
      <c r="AK236" s="197"/>
      <c r="AL236" s="197"/>
      <c r="AM236" s="197"/>
      <c r="AN236" s="197"/>
    </row>
    <row r="237" spans="1:40" s="191" customFormat="1" ht="56.4" customHeight="1">
      <c r="A237" s="187"/>
      <c r="B237" s="187"/>
      <c r="C237" s="187"/>
      <c r="D237" s="14"/>
      <c r="E237" s="751" t="s">
        <v>4551</v>
      </c>
      <c r="F237" s="751"/>
      <c r="G237" s="751"/>
      <c r="H237" s="751"/>
      <c r="I237" s="751"/>
      <c r="J237" s="751"/>
      <c r="K237" s="751"/>
      <c r="L237" s="751"/>
      <c r="M237" s="751"/>
      <c r="N237" s="751"/>
      <c r="O237" s="751"/>
      <c r="P237" s="751"/>
      <c r="Q237" s="751"/>
      <c r="R237" s="28"/>
      <c r="S237" s="28"/>
      <c r="T237" s="14"/>
      <c r="AA237" s="199"/>
      <c r="AI237" s="197"/>
      <c r="AJ237" s="197"/>
      <c r="AK237" s="197"/>
      <c r="AL237" s="197"/>
      <c r="AM237" s="197"/>
      <c r="AN237" s="197"/>
    </row>
    <row r="238" spans="1:40" ht="400" customHeight="1">
      <c r="D238" s="77"/>
      <c r="E238" s="752" t="str">
        <f>IF('入力シート（計画書）'!E238="","",'入力シート（計画書）'!E238)</f>
        <v/>
      </c>
      <c r="F238" s="753"/>
      <c r="G238" s="753"/>
      <c r="H238" s="753"/>
      <c r="I238" s="753"/>
      <c r="J238" s="753"/>
      <c r="K238" s="753"/>
      <c r="L238" s="753"/>
      <c r="M238" s="753"/>
      <c r="N238" s="753"/>
      <c r="O238" s="753"/>
      <c r="P238" s="753"/>
      <c r="Q238" s="754"/>
      <c r="R238" s="77"/>
      <c r="S238" s="77"/>
      <c r="T238" s="77"/>
    </row>
    <row r="239" spans="1:40" ht="18" hidden="1" customHeight="1">
      <c r="D239" s="77"/>
      <c r="E239" s="77"/>
      <c r="F239" s="77"/>
      <c r="G239" s="77"/>
      <c r="H239" s="77"/>
      <c r="I239" s="77"/>
      <c r="J239" s="77"/>
      <c r="K239" s="77"/>
      <c r="L239" s="77"/>
      <c r="M239" s="77"/>
      <c r="N239" s="28"/>
      <c r="O239" s="28"/>
      <c r="P239" s="77"/>
      <c r="Q239" s="77"/>
      <c r="R239" s="77"/>
      <c r="S239" s="77"/>
      <c r="T239" s="77"/>
    </row>
    <row r="240" spans="1:40" ht="18" hidden="1" customHeight="1">
      <c r="D240" s="77"/>
      <c r="E240" s="77"/>
      <c r="F240" s="77"/>
      <c r="G240" s="77"/>
      <c r="H240" s="77"/>
      <c r="I240" s="77"/>
      <c r="J240" s="77"/>
      <c r="K240" s="77"/>
      <c r="L240" s="77"/>
      <c r="M240" s="77"/>
      <c r="N240" s="28"/>
      <c r="O240" s="28"/>
      <c r="P240" s="77"/>
      <c r="Q240" s="77"/>
      <c r="R240" s="77"/>
      <c r="S240" s="77"/>
      <c r="T240" s="77"/>
    </row>
    <row r="241" spans="4:49" ht="18" hidden="1" customHeight="1">
      <c r="D241" s="77"/>
      <c r="E241" s="77"/>
      <c r="F241" s="77"/>
      <c r="G241" s="77"/>
      <c r="H241" s="77"/>
      <c r="I241" s="77"/>
      <c r="J241" s="77"/>
      <c r="K241" s="77"/>
      <c r="L241" s="77"/>
      <c r="M241" s="77"/>
      <c r="N241" s="28"/>
      <c r="O241" s="28"/>
      <c r="P241" s="77"/>
      <c r="Q241" s="77"/>
      <c r="R241" s="77"/>
      <c r="S241" s="77"/>
      <c r="T241" s="77"/>
    </row>
    <row r="242" spans="4:49" ht="18" customHeight="1">
      <c r="D242" s="77"/>
      <c r="E242" s="77"/>
      <c r="F242" s="77"/>
      <c r="G242" s="77"/>
      <c r="H242" s="77"/>
      <c r="I242" s="77"/>
      <c r="J242" s="77"/>
      <c r="K242" s="77"/>
      <c r="L242" s="77"/>
      <c r="M242" s="77"/>
      <c r="N242" s="28"/>
      <c r="O242" s="28"/>
      <c r="P242" s="77"/>
      <c r="Q242" s="77"/>
      <c r="R242" s="77"/>
      <c r="S242" s="77"/>
      <c r="T242" s="77"/>
    </row>
    <row r="243" spans="4:49" ht="18" customHeight="1">
      <c r="D243" s="77"/>
      <c r="E243" s="77"/>
      <c r="F243" s="77"/>
      <c r="G243" s="77"/>
      <c r="H243" s="77"/>
      <c r="I243" s="77"/>
      <c r="J243" s="77"/>
      <c r="K243" s="77"/>
      <c r="L243" s="77"/>
      <c r="M243" s="77"/>
      <c r="N243" s="28"/>
      <c r="O243" s="28"/>
      <c r="P243" s="77"/>
      <c r="Q243" s="77"/>
      <c r="R243" s="77"/>
      <c r="S243" s="77"/>
      <c r="T243" s="77"/>
    </row>
    <row r="244" spans="4:49" ht="18" customHeight="1">
      <c r="D244" s="77"/>
      <c r="E244" s="77"/>
      <c r="F244" s="77" t="s">
        <v>4405</v>
      </c>
      <c r="G244" s="77"/>
      <c r="H244" s="77"/>
      <c r="I244" s="77"/>
      <c r="J244" s="77"/>
      <c r="K244" s="77"/>
      <c r="L244" s="77"/>
      <c r="M244" s="77"/>
      <c r="N244" s="28"/>
      <c r="O244" s="28"/>
      <c r="P244" s="77"/>
      <c r="Q244" s="77"/>
      <c r="R244" s="77"/>
      <c r="S244" s="77"/>
      <c r="T244" s="77"/>
      <c r="AW244" s="189"/>
    </row>
    <row r="245" spans="4:49">
      <c r="D245" s="77"/>
      <c r="E245" s="10"/>
      <c r="F245" s="125" t="s">
        <v>4059</v>
      </c>
      <c r="G245" s="77"/>
      <c r="H245" s="77"/>
      <c r="I245" s="77"/>
      <c r="J245" s="77"/>
      <c r="K245" s="77"/>
      <c r="L245" s="77"/>
      <c r="M245" s="77"/>
      <c r="N245" s="28"/>
      <c r="O245" s="28"/>
      <c r="P245" s="10"/>
      <c r="Q245" s="10"/>
      <c r="R245" s="10"/>
      <c r="S245" s="10"/>
      <c r="T245" s="10"/>
    </row>
    <row r="246" spans="4:49" ht="87" customHeight="1">
      <c r="D246" s="77"/>
      <c r="E246" s="125">
        <v>1</v>
      </c>
      <c r="F246" s="12"/>
      <c r="G246" s="28"/>
      <c r="H246" s="77"/>
      <c r="I246" s="77"/>
      <c r="J246" s="77"/>
      <c r="K246" s="77"/>
      <c r="L246" s="77"/>
      <c r="M246" s="77"/>
      <c r="N246" s="28"/>
      <c r="O246" s="28"/>
      <c r="P246" s="77"/>
      <c r="Q246" s="77"/>
      <c r="R246" s="77"/>
      <c r="S246" s="77"/>
      <c r="T246" s="77"/>
      <c r="AF246" s="194"/>
    </row>
    <row r="247" spans="4:49" ht="87" customHeight="1">
      <c r="D247" s="77"/>
      <c r="E247" s="125">
        <v>2</v>
      </c>
      <c r="F247" s="12"/>
      <c r="G247" s="28"/>
      <c r="H247" s="77"/>
      <c r="I247" s="77"/>
      <c r="J247" s="77"/>
      <c r="K247" s="77"/>
      <c r="L247" s="77"/>
      <c r="M247" s="77"/>
      <c r="N247" s="28"/>
      <c r="O247" s="28"/>
      <c r="P247" s="77"/>
      <c r="Q247" s="77"/>
      <c r="R247" s="77"/>
      <c r="S247" s="77"/>
      <c r="T247" s="77"/>
    </row>
    <row r="248" spans="4:49" ht="87" customHeight="1">
      <c r="D248" s="77"/>
      <c r="E248" s="125">
        <v>3</v>
      </c>
      <c r="F248" s="12"/>
      <c r="G248" s="28"/>
      <c r="H248" s="77"/>
      <c r="I248" s="77"/>
      <c r="J248" s="77"/>
      <c r="K248" s="77"/>
      <c r="L248" s="77"/>
      <c r="M248" s="77"/>
      <c r="N248" s="28"/>
      <c r="O248" s="28"/>
      <c r="P248" s="77"/>
      <c r="Q248" s="77"/>
      <c r="R248" s="77"/>
      <c r="S248" s="77"/>
      <c r="T248" s="77"/>
    </row>
    <row r="249" spans="4:49" ht="87" customHeight="1">
      <c r="D249" s="77"/>
      <c r="E249" s="125">
        <v>4</v>
      </c>
      <c r="F249" s="12"/>
      <c r="G249" s="28"/>
      <c r="H249" s="77"/>
      <c r="I249" s="77"/>
      <c r="J249" s="77"/>
      <c r="K249" s="77"/>
      <c r="L249" s="77"/>
      <c r="M249" s="77"/>
      <c r="N249" s="28"/>
      <c r="O249" s="28"/>
      <c r="P249" s="77"/>
      <c r="Q249" s="77"/>
      <c r="R249" s="77"/>
      <c r="S249" s="77"/>
      <c r="T249" s="77"/>
    </row>
    <row r="250" spans="4:49" ht="87" customHeight="1">
      <c r="D250" s="77"/>
      <c r="E250" s="125">
        <v>5</v>
      </c>
      <c r="F250" s="12"/>
      <c r="G250" s="28"/>
      <c r="H250" s="77"/>
      <c r="I250" s="77"/>
      <c r="J250" s="77"/>
      <c r="K250" s="77"/>
      <c r="L250" s="77"/>
      <c r="M250" s="77"/>
      <c r="N250" s="28"/>
      <c r="O250" s="28"/>
      <c r="P250" s="77"/>
      <c r="Q250" s="77"/>
      <c r="R250" s="77"/>
      <c r="S250" s="77"/>
      <c r="T250" s="77"/>
    </row>
    <row r="251" spans="4:49" ht="87" customHeight="1">
      <c r="D251" s="77"/>
      <c r="E251" s="125">
        <v>6</v>
      </c>
      <c r="F251" s="12"/>
      <c r="G251" s="28"/>
      <c r="H251" s="77"/>
      <c r="I251" s="77"/>
      <c r="J251" s="77"/>
      <c r="K251" s="77"/>
      <c r="L251" s="77"/>
      <c r="M251" s="77"/>
      <c r="N251" s="28"/>
      <c r="O251" s="28"/>
      <c r="P251" s="77"/>
      <c r="Q251" s="77"/>
      <c r="R251" s="77"/>
      <c r="S251" s="77"/>
      <c r="T251" s="77"/>
    </row>
    <row r="252" spans="4:49" ht="87" customHeight="1">
      <c r="D252" s="77"/>
      <c r="E252" s="125">
        <v>7</v>
      </c>
      <c r="F252" s="12"/>
      <c r="G252" s="28"/>
      <c r="H252" s="77"/>
      <c r="I252" s="77"/>
      <c r="J252" s="77"/>
      <c r="K252" s="77"/>
      <c r="L252" s="77"/>
      <c r="M252" s="77"/>
      <c r="N252" s="28"/>
      <c r="O252" s="28"/>
      <c r="P252" s="77"/>
      <c r="Q252" s="77"/>
      <c r="R252" s="77"/>
      <c r="S252" s="77"/>
      <c r="T252" s="77"/>
    </row>
    <row r="253" spans="4:49" ht="87" customHeight="1">
      <c r="D253" s="77"/>
      <c r="E253" s="125">
        <v>8</v>
      </c>
      <c r="F253" s="12"/>
      <c r="G253" s="28"/>
      <c r="H253" s="77"/>
      <c r="I253" s="77"/>
      <c r="J253" s="77"/>
      <c r="K253" s="77"/>
      <c r="L253" s="77"/>
      <c r="M253" s="77"/>
      <c r="N253" s="77"/>
      <c r="O253" s="77"/>
      <c r="P253" s="77"/>
      <c r="Q253" s="77"/>
      <c r="R253" s="77"/>
      <c r="S253" s="77"/>
      <c r="T253" s="77"/>
    </row>
    <row r="254" spans="4:49" ht="87" customHeight="1">
      <c r="D254" s="77"/>
      <c r="E254" s="125">
        <v>9</v>
      </c>
      <c r="F254" s="12"/>
      <c r="G254" s="28"/>
      <c r="H254" s="77"/>
      <c r="I254" s="77"/>
      <c r="J254" s="77"/>
      <c r="K254" s="77"/>
      <c r="L254" s="77"/>
      <c r="M254" s="77"/>
      <c r="N254" s="77"/>
      <c r="O254" s="77"/>
      <c r="P254" s="77"/>
      <c r="Q254" s="77"/>
      <c r="R254" s="77"/>
      <c r="S254" s="77"/>
      <c r="T254" s="77"/>
    </row>
    <row r="255" spans="4:49" ht="18" customHeight="1">
      <c r="D255" s="77"/>
      <c r="E255" s="77"/>
      <c r="F255" s="77"/>
      <c r="G255" s="77"/>
      <c r="H255" s="77"/>
      <c r="I255" s="77"/>
      <c r="J255" s="77"/>
      <c r="K255" s="77"/>
      <c r="L255" s="77"/>
      <c r="M255" s="77"/>
      <c r="N255" s="77"/>
      <c r="O255" s="77"/>
      <c r="P255" s="77"/>
      <c r="Q255" s="77"/>
      <c r="R255" s="77"/>
      <c r="S255" s="77"/>
      <c r="T255" s="77"/>
    </row>
    <row r="256" spans="4:49" ht="54.65" customHeight="1">
      <c r="D256" s="77"/>
      <c r="E256" s="77"/>
      <c r="F256" s="925" t="s">
        <v>4407</v>
      </c>
      <c r="G256" s="925"/>
      <c r="H256" s="925"/>
      <c r="I256" s="925"/>
      <c r="J256" s="925"/>
      <c r="K256" s="925"/>
      <c r="L256" s="925"/>
      <c r="M256" s="925"/>
      <c r="N256" s="925"/>
      <c r="O256" s="925"/>
      <c r="P256" s="77"/>
      <c r="Q256" s="77"/>
      <c r="R256" s="77"/>
      <c r="S256" s="77"/>
      <c r="T256" s="77"/>
    </row>
    <row r="257" spans="4:49" ht="18" customHeight="1">
      <c r="D257" s="77"/>
      <c r="E257" s="10"/>
      <c r="F257" s="801" t="s">
        <v>4060</v>
      </c>
      <c r="G257" s="926"/>
      <c r="H257" s="802"/>
      <c r="I257" s="801" t="s">
        <v>4094</v>
      </c>
      <c r="J257" s="926"/>
      <c r="K257" s="926"/>
      <c r="L257" s="926"/>
      <c r="M257" s="926"/>
      <c r="N257" s="802"/>
      <c r="O257" s="696"/>
      <c r="P257" s="696"/>
      <c r="Q257" s="696"/>
      <c r="R257" s="696"/>
      <c r="S257" s="696"/>
      <c r="T257" s="77"/>
      <c r="AA257" s="195"/>
      <c r="AD257" s="196"/>
      <c r="AF257" s="194"/>
      <c r="AW257" s="189"/>
    </row>
    <row r="258" spans="4:49" ht="80" customHeight="1">
      <c r="D258" s="77"/>
      <c r="E258" s="126">
        <v>1</v>
      </c>
      <c r="F258" s="919"/>
      <c r="G258" s="920"/>
      <c r="H258" s="921"/>
      <c r="I258" s="752"/>
      <c r="J258" s="753"/>
      <c r="K258" s="753"/>
      <c r="L258" s="753"/>
      <c r="M258" s="753"/>
      <c r="N258" s="754"/>
      <c r="O258" s="153"/>
      <c r="P258" s="153"/>
      <c r="Q258" s="77"/>
      <c r="R258" s="77"/>
      <c r="S258" s="77"/>
      <c r="T258" s="77"/>
      <c r="AA258" s="195"/>
      <c r="AD258" s="196"/>
    </row>
    <row r="259" spans="4:49" ht="80" customHeight="1">
      <c r="D259" s="77"/>
      <c r="E259" s="126">
        <v>2</v>
      </c>
      <c r="F259" s="919"/>
      <c r="G259" s="920"/>
      <c r="H259" s="921"/>
      <c r="I259" s="752"/>
      <c r="J259" s="753"/>
      <c r="K259" s="753"/>
      <c r="L259" s="753"/>
      <c r="M259" s="753"/>
      <c r="N259" s="754"/>
      <c r="O259" s="153"/>
      <c r="P259" s="77"/>
      <c r="Q259" s="77"/>
      <c r="R259" s="77"/>
      <c r="S259" s="77"/>
      <c r="T259" s="77"/>
      <c r="AA259" s="195"/>
      <c r="AD259" s="196"/>
    </row>
    <row r="260" spans="4:49" ht="80" customHeight="1">
      <c r="D260" s="77"/>
      <c r="E260" s="126">
        <v>3</v>
      </c>
      <c r="F260" s="919"/>
      <c r="G260" s="920"/>
      <c r="H260" s="921"/>
      <c r="I260" s="752"/>
      <c r="J260" s="753"/>
      <c r="K260" s="753"/>
      <c r="L260" s="753"/>
      <c r="M260" s="753"/>
      <c r="N260" s="754"/>
      <c r="O260" s="153"/>
      <c r="P260" s="77"/>
      <c r="Q260" s="77"/>
      <c r="R260" s="77"/>
      <c r="S260" s="77"/>
      <c r="T260" s="77"/>
      <c r="AA260" s="195"/>
      <c r="AD260" s="196"/>
    </row>
    <row r="261" spans="4:49" ht="80" customHeight="1">
      <c r="D261" s="77"/>
      <c r="E261" s="126">
        <v>4</v>
      </c>
      <c r="F261" s="919"/>
      <c r="G261" s="920"/>
      <c r="H261" s="921"/>
      <c r="I261" s="752"/>
      <c r="J261" s="753"/>
      <c r="K261" s="753"/>
      <c r="L261" s="753"/>
      <c r="M261" s="753"/>
      <c r="N261" s="754"/>
      <c r="O261" s="153"/>
      <c r="P261" s="77"/>
      <c r="Q261" s="77"/>
      <c r="R261" s="77"/>
      <c r="S261" s="77"/>
      <c r="T261" s="77"/>
      <c r="AA261" s="195"/>
      <c r="AD261" s="196"/>
    </row>
    <row r="262" spans="4:49" ht="80" customHeight="1">
      <c r="D262" s="77"/>
      <c r="E262" s="126">
        <v>5</v>
      </c>
      <c r="F262" s="919"/>
      <c r="G262" s="920"/>
      <c r="H262" s="921"/>
      <c r="I262" s="752"/>
      <c r="J262" s="753"/>
      <c r="K262" s="753"/>
      <c r="L262" s="753"/>
      <c r="M262" s="753"/>
      <c r="N262" s="754"/>
      <c r="O262" s="153"/>
      <c r="P262" s="77"/>
      <c r="Q262" s="77"/>
      <c r="R262" s="77"/>
      <c r="S262" s="77"/>
      <c r="T262" s="77"/>
      <c r="AA262" s="195"/>
      <c r="AD262" s="196"/>
    </row>
    <row r="263" spans="4:49" ht="80" customHeight="1">
      <c r="D263" s="77"/>
      <c r="E263" s="126">
        <v>6</v>
      </c>
      <c r="F263" s="919"/>
      <c r="G263" s="920"/>
      <c r="H263" s="921"/>
      <c r="I263" s="752"/>
      <c r="J263" s="753"/>
      <c r="K263" s="753"/>
      <c r="L263" s="753"/>
      <c r="M263" s="753"/>
      <c r="N263" s="754"/>
      <c r="O263" s="153"/>
      <c r="P263" s="77"/>
      <c r="Q263" s="77"/>
      <c r="R263" s="77"/>
      <c r="S263" s="77"/>
      <c r="T263" s="77"/>
      <c r="AA263" s="195"/>
      <c r="AD263" s="196"/>
    </row>
    <row r="264" spans="4:49" ht="80" customHeight="1">
      <c r="D264" s="77"/>
      <c r="E264" s="126">
        <v>7</v>
      </c>
      <c r="F264" s="919"/>
      <c r="G264" s="920"/>
      <c r="H264" s="921"/>
      <c r="I264" s="752"/>
      <c r="J264" s="753"/>
      <c r="K264" s="753"/>
      <c r="L264" s="753"/>
      <c r="M264" s="753"/>
      <c r="N264" s="754"/>
      <c r="O264" s="153"/>
      <c r="P264" s="77"/>
      <c r="Q264" s="77"/>
      <c r="R264" s="77"/>
      <c r="S264" s="77"/>
      <c r="T264" s="77"/>
      <c r="AA264" s="195"/>
      <c r="AD264" s="196"/>
    </row>
    <row r="265" spans="4:49" ht="80" customHeight="1">
      <c r="D265" s="77"/>
      <c r="E265" s="126">
        <v>8</v>
      </c>
      <c r="F265" s="919"/>
      <c r="G265" s="920"/>
      <c r="H265" s="921"/>
      <c r="I265" s="752"/>
      <c r="J265" s="753"/>
      <c r="K265" s="753"/>
      <c r="L265" s="753"/>
      <c r="M265" s="753"/>
      <c r="N265" s="754"/>
      <c r="O265" s="153"/>
      <c r="P265" s="77"/>
      <c r="Q265" s="77"/>
      <c r="R265" s="77"/>
      <c r="S265" s="77"/>
      <c r="T265" s="77"/>
      <c r="AA265" s="195"/>
      <c r="AD265" s="196"/>
    </row>
    <row r="266" spans="4:49" ht="80" customHeight="1">
      <c r="D266" s="77"/>
      <c r="E266" s="126">
        <v>9</v>
      </c>
      <c r="F266" s="919"/>
      <c r="G266" s="920"/>
      <c r="H266" s="921"/>
      <c r="I266" s="752"/>
      <c r="J266" s="753"/>
      <c r="K266" s="753"/>
      <c r="L266" s="753"/>
      <c r="M266" s="753"/>
      <c r="N266" s="754"/>
      <c r="O266" s="153"/>
      <c r="P266" s="77"/>
      <c r="Q266" s="77"/>
      <c r="R266" s="77"/>
      <c r="S266" s="77"/>
      <c r="T266" s="77"/>
      <c r="AA266" s="195"/>
      <c r="AD266" s="196"/>
    </row>
    <row r="267" spans="4:49" ht="80" customHeight="1">
      <c r="D267" s="77"/>
      <c r="E267" s="126">
        <v>10</v>
      </c>
      <c r="F267" s="919"/>
      <c r="G267" s="920"/>
      <c r="H267" s="921"/>
      <c r="I267" s="752"/>
      <c r="J267" s="753"/>
      <c r="K267" s="753"/>
      <c r="L267" s="753"/>
      <c r="M267" s="753"/>
      <c r="N267" s="754"/>
      <c r="O267" s="153"/>
      <c r="P267" s="77"/>
      <c r="Q267" s="77"/>
      <c r="R267" s="77"/>
      <c r="S267" s="77"/>
      <c r="T267" s="77"/>
      <c r="AA267" s="195"/>
      <c r="AD267" s="196"/>
    </row>
    <row r="268" spans="4:49" ht="18" customHeight="1">
      <c r="D268" s="77"/>
      <c r="E268" s="77"/>
      <c r="F268" s="77"/>
      <c r="G268" s="77"/>
      <c r="H268" s="77"/>
      <c r="I268" s="77"/>
      <c r="J268" s="77"/>
      <c r="K268" s="77"/>
      <c r="L268" s="77"/>
      <c r="M268" s="77"/>
      <c r="N268" s="77"/>
      <c r="O268" s="77"/>
      <c r="P268" s="77"/>
      <c r="Q268" s="77"/>
      <c r="R268" s="77"/>
      <c r="S268" s="77"/>
      <c r="T268" s="77"/>
    </row>
    <row r="269" spans="4:49" ht="18" customHeight="1">
      <c r="D269" s="77"/>
      <c r="E269" s="77"/>
      <c r="F269" s="77"/>
      <c r="G269" s="77"/>
      <c r="H269" s="77"/>
      <c r="I269" s="77"/>
      <c r="J269" s="77"/>
      <c r="K269" s="77"/>
      <c r="L269" s="77"/>
      <c r="M269" s="77"/>
      <c r="N269" s="77"/>
      <c r="O269" s="77"/>
      <c r="P269" s="77"/>
      <c r="Q269" s="77"/>
      <c r="R269" s="77"/>
      <c r="S269" s="77"/>
      <c r="T269" s="77"/>
    </row>
    <row r="270" spans="4:49" hidden="1">
      <c r="D270" s="77"/>
      <c r="E270" s="77"/>
      <c r="F270" s="77"/>
      <c r="G270" s="77"/>
      <c r="H270" s="77"/>
      <c r="I270" s="77"/>
      <c r="J270" s="77"/>
      <c r="K270" s="77"/>
      <c r="L270" s="77"/>
      <c r="M270" s="77"/>
      <c r="N270" s="77"/>
      <c r="O270" s="77"/>
      <c r="P270" s="77"/>
      <c r="Q270" s="77"/>
      <c r="R270" s="77"/>
      <c r="S270" s="77"/>
      <c r="T270" s="77"/>
    </row>
    <row r="271" spans="4:49" ht="18" customHeight="1"/>
    <row r="272" spans="4:49" ht="18" customHeight="1"/>
  </sheetData>
  <sheetProtection algorithmName="SHA-512" hashValue="59UgJOnDLnASoq+45fo0zqhNvom0yNAonJqBVV7r95QeJaIc6h+Y8xo2YeIf8/kCYsGhfazblJAryjmj/nkqkw==" saltValue="prSRzUUDFC4bze52apU6bQ==" spinCount="100000" sheet="1" objects="1" scenarios="1" selectLockedCells="1"/>
  <mergeCells count="198">
    <mergeCell ref="E18:L18"/>
    <mergeCell ref="E19:L19"/>
    <mergeCell ref="E20:L20"/>
    <mergeCell ref="E21:L21"/>
    <mergeCell ref="E22:L22"/>
    <mergeCell ref="E23:L23"/>
    <mergeCell ref="E24:L24"/>
    <mergeCell ref="E25:L25"/>
    <mergeCell ref="E26:F26"/>
    <mergeCell ref="E130:F131"/>
    <mergeCell ref="I130:L130"/>
    <mergeCell ref="E134:F136"/>
    <mergeCell ref="G90:I90"/>
    <mergeCell ref="G89:I89"/>
    <mergeCell ref="I145:P145"/>
    <mergeCell ref="I142:P142"/>
    <mergeCell ref="N111:N112"/>
    <mergeCell ref="E137:F139"/>
    <mergeCell ref="E91:F91"/>
    <mergeCell ref="E121:F121"/>
    <mergeCell ref="G121:H121"/>
    <mergeCell ref="G166:M166"/>
    <mergeCell ref="G165:M165"/>
    <mergeCell ref="G164:M164"/>
    <mergeCell ref="G150:R150"/>
    <mergeCell ref="E88:F88"/>
    <mergeCell ref="G113:H115"/>
    <mergeCell ref="E116:F118"/>
    <mergeCell ref="G116:H118"/>
    <mergeCell ref="E119:F120"/>
    <mergeCell ref="I134:L135"/>
    <mergeCell ref="E113:F115"/>
    <mergeCell ref="E90:F90"/>
    <mergeCell ref="E89:F89"/>
    <mergeCell ref="O94:R94"/>
    <mergeCell ref="G91:I91"/>
    <mergeCell ref="E162:E163"/>
    <mergeCell ref="E143:F145"/>
    <mergeCell ref="G152:R152"/>
    <mergeCell ref="G162:M163"/>
    <mergeCell ref="E111:F112"/>
    <mergeCell ref="G134:H136"/>
    <mergeCell ref="G143:H145"/>
    <mergeCell ref="I139:P139"/>
    <mergeCell ref="E140:F142"/>
    <mergeCell ref="R69:T69"/>
    <mergeCell ref="R68:T68"/>
    <mergeCell ref="N73:O73"/>
    <mergeCell ref="K74:M74"/>
    <mergeCell ref="N74:O74"/>
    <mergeCell ref="G88:I88"/>
    <mergeCell ref="G87:I87"/>
    <mergeCell ref="G86:I86"/>
    <mergeCell ref="G85:I85"/>
    <mergeCell ref="G84:I84"/>
    <mergeCell ref="G73:J73"/>
    <mergeCell ref="E82:K82"/>
    <mergeCell ref="E84:F84"/>
    <mergeCell ref="N71:O71"/>
    <mergeCell ref="N72:O72"/>
    <mergeCell ref="R72:T72"/>
    <mergeCell ref="R73:T73"/>
    <mergeCell ref="G72:J72"/>
    <mergeCell ref="R71:T71"/>
    <mergeCell ref="R70:T70"/>
    <mergeCell ref="E87:F87"/>
    <mergeCell ref="E86:F86"/>
    <mergeCell ref="E85:F85"/>
    <mergeCell ref="N221:O221"/>
    <mergeCell ref="E149:F149"/>
    <mergeCell ref="E150:F150"/>
    <mergeCell ref="G151:O151"/>
    <mergeCell ref="E151:F151"/>
    <mergeCell ref="G98:I98"/>
    <mergeCell ref="G97:I97"/>
    <mergeCell ref="G96:I96"/>
    <mergeCell ref="G171:M171"/>
    <mergeCell ref="E201:E202"/>
    <mergeCell ref="G130:H131"/>
    <mergeCell ref="F201:F202"/>
    <mergeCell ref="E152:F152"/>
    <mergeCell ref="F162:F163"/>
    <mergeCell ref="I143:L144"/>
    <mergeCell ref="I140:L141"/>
    <mergeCell ref="I137:L138"/>
    <mergeCell ref="I131:P131"/>
    <mergeCell ref="G201:M202"/>
    <mergeCell ref="G208:M208"/>
    <mergeCell ref="G207:M207"/>
    <mergeCell ref="G206:M206"/>
    <mergeCell ref="G175:M175"/>
    <mergeCell ref="G174:M174"/>
    <mergeCell ref="R16:R17"/>
    <mergeCell ref="M16:M17"/>
    <mergeCell ref="N16:N17"/>
    <mergeCell ref="E16:L17"/>
    <mergeCell ref="N70:O70"/>
    <mergeCell ref="G70:J70"/>
    <mergeCell ref="G69:J69"/>
    <mergeCell ref="G68:J68"/>
    <mergeCell ref="O16:O17"/>
    <mergeCell ref="P16:P17"/>
    <mergeCell ref="Q16:Q17"/>
    <mergeCell ref="F41:M41"/>
    <mergeCell ref="N69:O69"/>
    <mergeCell ref="N68:O68"/>
    <mergeCell ref="I48:J48"/>
    <mergeCell ref="G48:H48"/>
    <mergeCell ref="G47:H47"/>
    <mergeCell ref="G46:H46"/>
    <mergeCell ref="G45:H45"/>
    <mergeCell ref="G55:H55"/>
    <mergeCell ref="G56:H56"/>
    <mergeCell ref="G57:H57"/>
    <mergeCell ref="G58:H58"/>
    <mergeCell ref="G59:H59"/>
    <mergeCell ref="G173:M173"/>
    <mergeCell ref="G172:M172"/>
    <mergeCell ref="I55:J55"/>
    <mergeCell ref="I56:J56"/>
    <mergeCell ref="I57:J57"/>
    <mergeCell ref="I59:J59"/>
    <mergeCell ref="G44:H44"/>
    <mergeCell ref="I44:J44"/>
    <mergeCell ref="I45:J45"/>
    <mergeCell ref="I46:J46"/>
    <mergeCell ref="I47:J47"/>
    <mergeCell ref="I58:J58"/>
    <mergeCell ref="G71:J71"/>
    <mergeCell ref="K73:M73"/>
    <mergeCell ref="K72:M72"/>
    <mergeCell ref="G119:H120"/>
    <mergeCell ref="G111:H112"/>
    <mergeCell ref="I111:M112"/>
    <mergeCell ref="G170:M170"/>
    <mergeCell ref="G169:M169"/>
    <mergeCell ref="G168:M168"/>
    <mergeCell ref="G137:H139"/>
    <mergeCell ref="G140:H142"/>
    <mergeCell ref="G167:M167"/>
    <mergeCell ref="F221:F222"/>
    <mergeCell ref="G205:M205"/>
    <mergeCell ref="G204:M204"/>
    <mergeCell ref="G203:M203"/>
    <mergeCell ref="G176:M176"/>
    <mergeCell ref="G177:M177"/>
    <mergeCell ref="G178:M178"/>
    <mergeCell ref="G179:M179"/>
    <mergeCell ref="G180:M180"/>
    <mergeCell ref="G181:M181"/>
    <mergeCell ref="N3:T3"/>
    <mergeCell ref="F265:H265"/>
    <mergeCell ref="I265:N265"/>
    <mergeCell ref="F266:H266"/>
    <mergeCell ref="I266:N266"/>
    <mergeCell ref="F262:H262"/>
    <mergeCell ref="I262:N262"/>
    <mergeCell ref="F263:H263"/>
    <mergeCell ref="I263:N263"/>
    <mergeCell ref="F264:H264"/>
    <mergeCell ref="I264:N264"/>
    <mergeCell ref="G26:L26"/>
    <mergeCell ref="G232:M232"/>
    <mergeCell ref="G231:M231"/>
    <mergeCell ref="G230:M230"/>
    <mergeCell ref="F256:O256"/>
    <mergeCell ref="F257:H257"/>
    <mergeCell ref="I257:N257"/>
    <mergeCell ref="I258:N258"/>
    <mergeCell ref="F258:H258"/>
    <mergeCell ref="E237:Q237"/>
    <mergeCell ref="E221:E222"/>
    <mergeCell ref="G211:M211"/>
    <mergeCell ref="G210:M210"/>
    <mergeCell ref="F267:H267"/>
    <mergeCell ref="I267:N267"/>
    <mergeCell ref="K71:M71"/>
    <mergeCell ref="K70:M70"/>
    <mergeCell ref="K69:M69"/>
    <mergeCell ref="K68:M68"/>
    <mergeCell ref="G74:J74"/>
    <mergeCell ref="F260:H260"/>
    <mergeCell ref="I260:N260"/>
    <mergeCell ref="F261:H261"/>
    <mergeCell ref="I136:P136"/>
    <mergeCell ref="I261:N261"/>
    <mergeCell ref="F259:H259"/>
    <mergeCell ref="I259:N259"/>
    <mergeCell ref="E238:Q238"/>
    <mergeCell ref="G209:M209"/>
    <mergeCell ref="G221:M222"/>
    <mergeCell ref="G229:M229"/>
    <mergeCell ref="G228:M228"/>
    <mergeCell ref="G227:M227"/>
    <mergeCell ref="G226:M226"/>
    <mergeCell ref="G225:M225"/>
    <mergeCell ref="G224:M224"/>
    <mergeCell ref="G223:M223"/>
  </mergeCells>
  <phoneticPr fontId="1"/>
  <conditionalFormatting sqref="D50:M53">
    <cfRule type="expression" dxfId="217" priority="40">
      <formula>$C$32=2</formula>
    </cfRule>
  </conditionalFormatting>
  <conditionalFormatting sqref="D35:T42">
    <cfRule type="expression" dxfId="216" priority="38">
      <formula>$C$32=2</formula>
    </cfRule>
  </conditionalFormatting>
  <conditionalFormatting sqref="E66">
    <cfRule type="expression" dxfId="215" priority="218">
      <formula>$C$64=2</formula>
    </cfRule>
  </conditionalFormatting>
  <conditionalFormatting sqref="E82">
    <cfRule type="expression" dxfId="214" priority="221">
      <formula>$C82=1</formula>
    </cfRule>
  </conditionalFormatting>
  <conditionalFormatting sqref="E15:F15">
    <cfRule type="expression" dxfId="213" priority="949">
      <formula>$C14=1</formula>
    </cfRule>
  </conditionalFormatting>
  <conditionalFormatting sqref="E91:F91">
    <cfRule type="expression" dxfId="212" priority="120">
      <formula>$C$79=2</formula>
    </cfRule>
  </conditionalFormatting>
  <conditionalFormatting sqref="E43:H48">
    <cfRule type="expression" dxfId="211" priority="10">
      <formula>$C$36=2</formula>
    </cfRule>
  </conditionalFormatting>
  <conditionalFormatting sqref="E84:I84">
    <cfRule type="expression" dxfId="210" priority="121">
      <formula>$C$79=2</formula>
    </cfRule>
  </conditionalFormatting>
  <conditionalFormatting sqref="E67:J74">
    <cfRule type="expression" dxfId="209" priority="284">
      <formula>$C$64=2</formula>
    </cfRule>
  </conditionalFormatting>
  <conditionalFormatting sqref="E14:N15">
    <cfRule type="expression" dxfId="208" priority="1">
      <formula>$C$12=2</formula>
    </cfRule>
  </conditionalFormatting>
  <conditionalFormatting sqref="E16:R26">
    <cfRule type="expression" dxfId="207" priority="3">
      <formula>$C$12=2</formula>
    </cfRule>
  </conditionalFormatting>
  <conditionalFormatting sqref="E38:T40 E41 N41:T41 E42:T42 M43:T48 E49:T52">
    <cfRule type="expression" dxfId="206" priority="373">
      <formula>$C$32=2</formula>
    </cfRule>
  </conditionalFormatting>
  <conditionalFormatting sqref="E81:T81 N82:T82 E82:E83">
    <cfRule type="expression" dxfId="205" priority="464">
      <formula>$C$79=2</formula>
    </cfRule>
  </conditionalFormatting>
  <conditionalFormatting sqref="F12:F13">
    <cfRule type="expression" dxfId="204" priority="127">
      <formula>$C12=1</formula>
    </cfRule>
  </conditionalFormatting>
  <conditionalFormatting sqref="F14">
    <cfRule type="expression" dxfId="203" priority="953">
      <formula>#REF!=1</formula>
    </cfRule>
  </conditionalFormatting>
  <conditionalFormatting sqref="F32">
    <cfRule type="expression" dxfId="202" priority="49">
      <formula>$C$32=1</formula>
    </cfRule>
  </conditionalFormatting>
  <conditionalFormatting sqref="F36:F37 F51:F53 F64:F66 F79:F81">
    <cfRule type="expression" dxfId="201" priority="546">
      <formula>$C36=1</formula>
    </cfRule>
  </conditionalFormatting>
  <conditionalFormatting sqref="F41">
    <cfRule type="expression" dxfId="200" priority="39">
      <formula>$C$36=2</formula>
    </cfRule>
  </conditionalFormatting>
  <conditionalFormatting sqref="F44:G48">
    <cfRule type="expression" dxfId="199" priority="30">
      <formula>F44&lt;&gt;""</formula>
    </cfRule>
  </conditionalFormatting>
  <conditionalFormatting sqref="F43:H43">
    <cfRule type="expression" dxfId="198" priority="9">
      <formula>$C$36=2</formula>
    </cfRule>
  </conditionalFormatting>
  <conditionalFormatting sqref="F44:H48">
    <cfRule type="expression" dxfId="197" priority="31">
      <formula>$C$36=2</formula>
    </cfRule>
  </conditionalFormatting>
  <conditionalFormatting sqref="F43:J48">
    <cfRule type="expression" dxfId="196" priority="8">
      <formula>$C$32=2</formula>
    </cfRule>
  </conditionalFormatting>
  <conditionalFormatting sqref="F54:J59">
    <cfRule type="expression" dxfId="195" priority="6">
      <formula>$C$32=2</formula>
    </cfRule>
    <cfRule type="expression" dxfId="194" priority="7">
      <formula>$C$51=2</formula>
    </cfRule>
  </conditionalFormatting>
  <conditionalFormatting sqref="F55:J59">
    <cfRule type="expression" dxfId="193" priority="5">
      <formula>F55&lt;&gt;""</formula>
    </cfRule>
  </conditionalFormatting>
  <conditionalFormatting sqref="F53:L53">
    <cfRule type="expression" dxfId="192" priority="506">
      <formula>$C$51=2</formula>
    </cfRule>
  </conditionalFormatting>
  <conditionalFormatting sqref="F38:T42">
    <cfRule type="expression" dxfId="191" priority="2">
      <formula>$C$36=2</formula>
    </cfRule>
  </conditionalFormatting>
  <conditionalFormatting sqref="G3 I3">
    <cfRule type="expression" dxfId="190" priority="495">
      <formula>G3&lt;&gt;""</formula>
    </cfRule>
  </conditionalFormatting>
  <conditionalFormatting sqref="G5">
    <cfRule type="expression" dxfId="189" priority="992">
      <formula>DAY(EOMONTH(DATE(G3,I3,K3),0))&lt;&gt;R3</formula>
    </cfRule>
  </conditionalFormatting>
  <conditionalFormatting sqref="G12">
    <cfRule type="expression" dxfId="188" priority="43">
      <formula>$C$12=2</formula>
    </cfRule>
  </conditionalFormatting>
  <conditionalFormatting sqref="G32">
    <cfRule type="expression" dxfId="187" priority="48">
      <formula>$C$32=2</formula>
    </cfRule>
  </conditionalFormatting>
  <conditionalFormatting sqref="G36">
    <cfRule type="expression" dxfId="186" priority="47">
      <formula>$C$36=2</formula>
    </cfRule>
  </conditionalFormatting>
  <conditionalFormatting sqref="G51">
    <cfRule type="expression" dxfId="185" priority="46">
      <formula>$C$51=2</formula>
    </cfRule>
  </conditionalFormatting>
  <conditionalFormatting sqref="G64">
    <cfRule type="expression" dxfId="184" priority="45">
      <formula>$C$64=2</formula>
    </cfRule>
  </conditionalFormatting>
  <conditionalFormatting sqref="G68:G74">
    <cfRule type="expression" dxfId="183" priority="1230">
      <formula>G68&lt;&gt;""</formula>
    </cfRule>
    <cfRule type="expression" dxfId="182" priority="1231">
      <formula>$B$67=0</formula>
    </cfRule>
  </conditionalFormatting>
  <conditionalFormatting sqref="G79">
    <cfRule type="expression" dxfId="181" priority="44">
      <formula>$C$79=2</formula>
    </cfRule>
  </conditionalFormatting>
  <conditionalFormatting sqref="G84:G90 E84:E91 G91:I91">
    <cfRule type="expression" dxfId="180" priority="123">
      <formula>$C$79=2</formula>
    </cfRule>
    <cfRule type="expression" dxfId="179" priority="122">
      <formula>E84&lt;&gt;""</formula>
    </cfRule>
  </conditionalFormatting>
  <conditionalFormatting sqref="G98">
    <cfRule type="expression" dxfId="178" priority="279">
      <formula>G98&lt;&gt;""</formula>
    </cfRule>
  </conditionalFormatting>
  <conditionalFormatting sqref="G150">
    <cfRule type="expression" dxfId="177" priority="350">
      <formula>$G$150&lt;&gt;""</formula>
    </cfRule>
  </conditionalFormatting>
  <conditionalFormatting sqref="G113:H120">
    <cfRule type="expression" dxfId="176" priority="92">
      <formula>G113&lt;&gt;""</formula>
    </cfRule>
  </conditionalFormatting>
  <conditionalFormatting sqref="G84:I90 E84:F91">
    <cfRule type="expression" dxfId="175" priority="119">
      <formula>$C$79=2</formula>
    </cfRule>
  </conditionalFormatting>
  <conditionalFormatting sqref="G98:I98">
    <cfRule type="expression" dxfId="174" priority="107">
      <formula>MOD($G$98,1)&lt;&gt;0</formula>
    </cfRule>
  </conditionalFormatting>
  <conditionalFormatting sqref="G67:J67">
    <cfRule type="expression" dxfId="173" priority="1232">
      <formula>$B$67=0</formula>
    </cfRule>
  </conditionalFormatting>
  <conditionalFormatting sqref="G223:M232">
    <cfRule type="expression" dxfId="172" priority="147">
      <formula>G223="具体的な取組内容が入力されていません。"</formula>
    </cfRule>
  </conditionalFormatting>
  <conditionalFormatting sqref="G26:R26 E238">
    <cfRule type="expression" dxfId="171" priority="118">
      <formula>E26&lt;&gt;""</formula>
    </cfRule>
  </conditionalFormatting>
  <conditionalFormatting sqref="I43:J48">
    <cfRule type="expression" dxfId="170" priority="12">
      <formula>$C$36=2</formula>
    </cfRule>
  </conditionalFormatting>
  <conditionalFormatting sqref="I44:J48">
    <cfRule type="expression" dxfId="169" priority="37">
      <formula>I44&lt;&gt;""</formula>
    </cfRule>
  </conditionalFormatting>
  <conditionalFormatting sqref="I113:N115">
    <cfRule type="expression" dxfId="168" priority="93">
      <formula>$G$113=""</formula>
    </cfRule>
  </conditionalFormatting>
  <conditionalFormatting sqref="I116:N118">
    <cfRule type="expression" dxfId="167" priority="95">
      <formula>$G$116=""</formula>
    </cfRule>
  </conditionalFormatting>
  <conditionalFormatting sqref="I119:N120">
    <cfRule type="expression" dxfId="166" priority="94">
      <formula>$G$119=""</formula>
    </cfRule>
  </conditionalFormatting>
  <conditionalFormatting sqref="I258:N267">
    <cfRule type="expression" dxfId="165" priority="219">
      <formula>I258&lt;&gt;""</formula>
    </cfRule>
  </conditionalFormatting>
  <conditionalFormatting sqref="J67">
    <cfRule type="expression" dxfId="164" priority="216">
      <formula>$C$64=2</formula>
    </cfRule>
  </conditionalFormatting>
  <conditionalFormatting sqref="K3">
    <cfRule type="expression" dxfId="163" priority="193">
      <formula>K3&lt;&gt;""</formula>
    </cfRule>
  </conditionalFormatting>
  <conditionalFormatting sqref="K67 N67 P67:P74 K68:O74">
    <cfRule type="expression" dxfId="162" priority="1233">
      <formula>AND($C$64=2,$B$67=0)=TRUE</formula>
    </cfRule>
  </conditionalFormatting>
  <conditionalFormatting sqref="K67:M74">
    <cfRule type="expression" dxfId="161" priority="1237">
      <formula>$B$67=1</formula>
    </cfRule>
  </conditionalFormatting>
  <conditionalFormatting sqref="K68:M74">
    <cfRule type="expression" dxfId="160" priority="1238">
      <formula>$B$67=0</formula>
    </cfRule>
  </conditionalFormatting>
  <conditionalFormatting sqref="K67:O67">
    <cfRule type="expression" dxfId="159" priority="1239">
      <formula>$B$67=1</formula>
    </cfRule>
  </conditionalFormatting>
  <conditionalFormatting sqref="K67:O74">
    <cfRule type="expression" dxfId="158" priority="1240">
      <formula>AND($C$64=2,$B$67=0)=TRUE</formula>
    </cfRule>
  </conditionalFormatting>
  <conditionalFormatting sqref="K68:O74">
    <cfRule type="expression" dxfId="157" priority="215">
      <formula>K68&lt;&gt;""</formula>
    </cfRule>
  </conditionalFormatting>
  <conditionalFormatting sqref="L82">
    <cfRule type="expression" dxfId="156" priority="220">
      <formula>$C$79=2</formula>
    </cfRule>
  </conditionalFormatting>
  <conditionalFormatting sqref="M18:M25">
    <cfRule type="expression" dxfId="155" priority="4">
      <formula>M18&lt;&gt;""</formula>
    </cfRule>
  </conditionalFormatting>
  <conditionalFormatting sqref="N3">
    <cfRule type="expression" dxfId="154" priority="498">
      <formula>DAY(EOMONTH(DATE(G5,H5,I5),0))&lt;&gt;J5</formula>
    </cfRule>
  </conditionalFormatting>
  <conditionalFormatting sqref="N113:N120">
    <cfRule type="expression" dxfId="153" priority="96">
      <formula>N113&lt;&gt;""</formula>
    </cfRule>
  </conditionalFormatting>
  <conditionalFormatting sqref="N130">
    <cfRule type="expression" dxfId="152" priority="132">
      <formula>N130&lt;&gt;""</formula>
    </cfRule>
  </conditionalFormatting>
  <conditionalFormatting sqref="N67:O74">
    <cfRule type="expression" dxfId="151" priority="1241">
      <formula>$B$67=1</formula>
    </cfRule>
  </conditionalFormatting>
  <conditionalFormatting sqref="O75">
    <cfRule type="expression" dxfId="150" priority="1243">
      <formula>AND($C$64=2,$B$67=0)=TRUE</formula>
    </cfRule>
    <cfRule type="expression" dxfId="149" priority="1242">
      <formula>$B$67=1</formula>
    </cfRule>
  </conditionalFormatting>
  <conditionalFormatting sqref="O164:O181">
    <cfRule type="expression" dxfId="148" priority="375">
      <formula>O164&lt;&gt;""</formula>
    </cfRule>
  </conditionalFormatting>
  <conditionalFormatting sqref="O203:O211 O223:O232">
    <cfRule type="expression" dxfId="147" priority="376">
      <formula>O203&lt;&gt;""</formula>
    </cfRule>
  </conditionalFormatting>
  <conditionalFormatting sqref="Q130:Q131 N134:N135 Q134:Q135 N137:N138 Q137:Q138 N140:N141 Q140:Q141 N143:N144 Q143:Q144">
    <cfRule type="expression" dxfId="146" priority="112">
      <formula>N130&lt;&gt;""</formula>
    </cfRule>
  </conditionalFormatting>
  <conditionalFormatting sqref="T1">
    <cfRule type="expression" dxfId="145" priority="99">
      <formula>$T$1="コメント表示なし"</formula>
    </cfRule>
  </conditionalFormatting>
  <conditionalFormatting sqref="AA139">
    <cfRule type="expression" dxfId="144" priority="351">
      <formula>$G$150&lt;&gt;""</formula>
    </cfRule>
  </conditionalFormatting>
  <dataValidations count="15">
    <dataValidation type="list" allowBlank="1" showInputMessage="1" showErrorMessage="1" sqref="O164:O181" xr:uid="{00000000-0002-0000-0E00-000000000000}">
      <formula1>"実施済,未実施,非該当"</formula1>
    </dataValidation>
    <dataValidation type="list" allowBlank="1" showInputMessage="1" showErrorMessage="1" sqref="O203:O211" xr:uid="{00000000-0002-0000-0E00-000001000000}">
      <formula1>"実施済,一部実施済,未実施"</formula1>
    </dataValidation>
    <dataValidation type="list" allowBlank="1" showInputMessage="1" showErrorMessage="1" sqref="O223:O232" xr:uid="{00000000-0002-0000-0E00-000002000000}">
      <formula1>"実施済,未実施"</formula1>
    </dataValidation>
    <dataValidation imeMode="hiragana" allowBlank="1" showInputMessage="1" showErrorMessage="1" sqref="I258:I267 F55:F59 E238 F44:F48 G150 E85:E91 G26" xr:uid="{00000000-0002-0000-0E00-000003000000}"/>
    <dataValidation type="list" allowBlank="1" showInputMessage="1" showErrorMessage="1" sqref="F258:F267" xr:uid="{00000000-0002-0000-0E00-000004000000}">
      <formula1>その他対策</formula1>
    </dataValidation>
    <dataValidation imeMode="halfAlpha" allowBlank="1" showInputMessage="1" showErrorMessage="1" sqref="G68:G74 N143:N144 G98 K68:K74 Q131 G85:G91 N68:N74 Q143:Q144 I44:I48 G44:G48 G113:H120 N113:N120 N134:N135 Q134:Q135 Q137:Q138 N137:N138 Q140:Q141 N140:N141 I55:I59 G55:G59 R26" xr:uid="{5EEADE52-5258-4792-BEA9-B7C942F65D3F}"/>
    <dataValidation type="list" errorStyle="information" allowBlank="1" showInputMessage="1" showErrorMessage="1" sqref="AF4" xr:uid="{1E318497-3C72-4D19-85AE-41D2B09E1529}">
      <formula1>"0,365,730,1096,1461"</formula1>
    </dataValidation>
    <dataValidation imeMode="halfAlpha" allowBlank="1" showInputMessage="1" showErrorMessage="1" prompt="使用量" sqref="M18:M26" xr:uid="{1DD35033-D5FB-47B0-9F6D-DC6EEF629790}"/>
    <dataValidation type="whole" errorStyle="warning" imeMode="halfAlpha" allowBlank="1" showInputMessage="1" showErrorMessage="1" error="4～8の数値（整数）を入力してください。" sqref="I3" xr:uid="{37852563-56C5-4776-A83A-B3C85D5260DD}">
      <formula1>4</formula1>
      <formula2>8</formula2>
    </dataValidation>
    <dataValidation type="whole" errorStyle="warning" imeMode="halfAlpha" allowBlank="1" showInputMessage="1" showErrorMessage="1" error="2026から2030の数値（整数）を入力してください。" sqref="G3" xr:uid="{9CAA5CDA-1EEE-4DC0-8D32-785EE82B4CEB}">
      <formula1>2026</formula1>
      <formula2>2030</formula2>
    </dataValidation>
    <dataValidation imeMode="halfAlpha" allowBlank="1" showInputMessage="1" showErrorMessage="1" prompt="熱量(GJ)" sqref="Q26" xr:uid="{9D9C0507-93D1-4295-BFE7-583B184A9117}"/>
    <dataValidation imeMode="halfAlpha" allowBlank="1" showInputMessage="1" showErrorMessage="1" prompt="排出係数" sqref="P26" xr:uid="{1DA771A4-ACBB-44DC-A839-D04A0A5E7BFB}"/>
    <dataValidation imeMode="halfAlpha" allowBlank="1" showInputMessage="1" showErrorMessage="1" prompt="換算係数" sqref="O26" xr:uid="{104A86BD-1361-45F2-BCA0-3CD47D600BC6}"/>
    <dataValidation imeMode="halfAlpha" allowBlank="1" showInputMessage="1" showErrorMessage="1" prompt="単位" sqref="N26" xr:uid="{95AB871F-5AED-4735-AE5F-9524D1DCF6C4}"/>
    <dataValidation type="whole" imeMode="halfAlpha" showInputMessage="1" showErrorMessage="1" error="入力値に誤りがあります。_x000a_" sqref="K3" xr:uid="{91ECE60A-7E10-49F6-8E3B-931DC29DEDDB}">
      <formula1>1</formula1>
      <formula2>IF(OR(G3="",I3=""),31,DAY(DATE(G3, I3 + 1, 0)))</formula2>
    </dataValidation>
  </dataValidations>
  <hyperlinks>
    <hyperlink ref="E82" r:id="rId1" xr:uid="{EFEF4A15-CFF0-45AE-A7AE-893164485531}"/>
    <hyperlink ref="F41" r:id="rId2" xr:uid="{00847E3F-AD9A-44D7-B7E2-E197EC1A880A}"/>
  </hyperlinks>
  <printOptions horizontalCentered="1"/>
  <pageMargins left="0.70866141732283472" right="0.55118110236220474" top="0.74803149606299213" bottom="0.39370078740157483" header="0.31496062992125984" footer="0.31496062992125984"/>
  <pageSetup paperSize="9" scale="45" fitToHeight="7" orientation="portrait" r:id="rId3"/>
  <headerFooter>
    <oddHeader>&amp;L&amp;"メイリオ,レギュラー"様式第２号</oddHeader>
    <oddFooter>&amp;R&amp;"メイリオ,レギュラー"&amp;8（特定事業者（運送事業者）用</oddFooter>
  </headerFooter>
  <rowBreaks count="6" manualBreakCount="6">
    <brk id="76" max="19" man="1"/>
    <brk id="154" max="19" man="1"/>
    <brk id="194" max="19" man="1"/>
    <brk id="212" max="19" man="1"/>
    <brk id="243" max="19" man="1"/>
    <brk id="254"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24919" r:id="rId6" name="Option Button_05">
              <controlPr defaultSize="0" autoFill="0" autoLine="0" autoPict="0">
                <anchor moveWithCells="1">
                  <from>
                    <xdr:col>5</xdr:col>
                    <xdr:colOff>698500</xdr:colOff>
                    <xdr:row>30</xdr:row>
                    <xdr:rowOff>215900</xdr:rowOff>
                  </from>
                  <to>
                    <xdr:col>5</xdr:col>
                    <xdr:colOff>1454150</xdr:colOff>
                    <xdr:row>32</xdr:row>
                    <xdr:rowOff>0</xdr:rowOff>
                  </to>
                </anchor>
              </controlPr>
            </control>
          </mc:Choice>
        </mc:AlternateContent>
        <mc:AlternateContent xmlns:mc="http://schemas.openxmlformats.org/markup-compatibility/2006">
          <mc:Choice Requires="x14">
            <control shapeId="24875" r:id="rId7" name="Group Box_1">
              <controlPr defaultSize="0" autoFill="0" autoPict="0">
                <anchor moveWithCells="1">
                  <from>
                    <xdr:col>5</xdr:col>
                    <xdr:colOff>495300</xdr:colOff>
                    <xdr:row>34</xdr:row>
                    <xdr:rowOff>139700</xdr:rowOff>
                  </from>
                  <to>
                    <xdr:col>8</xdr:col>
                    <xdr:colOff>298450</xdr:colOff>
                    <xdr:row>38</xdr:row>
                    <xdr:rowOff>6350</xdr:rowOff>
                  </to>
                </anchor>
              </controlPr>
            </control>
          </mc:Choice>
        </mc:AlternateContent>
        <mc:AlternateContent xmlns:mc="http://schemas.openxmlformats.org/markup-compatibility/2006">
          <mc:Choice Requires="x14">
            <control shapeId="24886" r:id="rId8" name="Option Button_01">
              <controlPr defaultSize="0" autoFill="0" autoLine="0" autoPict="0">
                <anchor moveWithCells="1">
                  <from>
                    <xdr:col>5</xdr:col>
                    <xdr:colOff>698500</xdr:colOff>
                    <xdr:row>34</xdr:row>
                    <xdr:rowOff>196850</xdr:rowOff>
                  </from>
                  <to>
                    <xdr:col>5</xdr:col>
                    <xdr:colOff>1454150</xdr:colOff>
                    <xdr:row>35</xdr:row>
                    <xdr:rowOff>215900</xdr:rowOff>
                  </to>
                </anchor>
              </controlPr>
            </control>
          </mc:Choice>
        </mc:AlternateContent>
        <mc:AlternateContent xmlns:mc="http://schemas.openxmlformats.org/markup-compatibility/2006">
          <mc:Choice Requires="x14">
            <control shapeId="24876" r:id="rId9" name="Group Box_2">
              <controlPr defaultSize="0" autoFill="0" autoPict="0">
                <anchor moveWithCells="1">
                  <from>
                    <xdr:col>5</xdr:col>
                    <xdr:colOff>450850</xdr:colOff>
                    <xdr:row>49</xdr:row>
                    <xdr:rowOff>76200</xdr:rowOff>
                  </from>
                  <to>
                    <xdr:col>8</xdr:col>
                    <xdr:colOff>254000</xdr:colOff>
                    <xdr:row>52</xdr:row>
                    <xdr:rowOff>120650</xdr:rowOff>
                  </to>
                </anchor>
              </controlPr>
            </control>
          </mc:Choice>
        </mc:AlternateContent>
        <mc:AlternateContent xmlns:mc="http://schemas.openxmlformats.org/markup-compatibility/2006">
          <mc:Choice Requires="x14">
            <control shapeId="24903" r:id="rId10" name="Option Button_03">
              <controlPr defaultSize="0" autoFill="0" autoLine="0" autoPict="0">
                <anchor moveWithCells="1">
                  <from>
                    <xdr:col>5</xdr:col>
                    <xdr:colOff>698500</xdr:colOff>
                    <xdr:row>49</xdr:row>
                    <xdr:rowOff>273050</xdr:rowOff>
                  </from>
                  <to>
                    <xdr:col>5</xdr:col>
                    <xdr:colOff>1454150</xdr:colOff>
                    <xdr:row>50</xdr:row>
                    <xdr:rowOff>241300</xdr:rowOff>
                  </to>
                </anchor>
              </controlPr>
            </control>
          </mc:Choice>
        </mc:AlternateContent>
        <mc:AlternateContent xmlns:mc="http://schemas.openxmlformats.org/markup-compatibility/2006">
          <mc:Choice Requires="x14">
            <control shapeId="24904" r:id="rId11" name="Option Button_04">
              <controlPr defaultSize="0" autoFill="0" autoLine="0" autoPict="0">
                <anchor moveWithCells="1">
                  <from>
                    <xdr:col>5</xdr:col>
                    <xdr:colOff>2089150</xdr:colOff>
                    <xdr:row>49</xdr:row>
                    <xdr:rowOff>266700</xdr:rowOff>
                  </from>
                  <to>
                    <xdr:col>7</xdr:col>
                    <xdr:colOff>177800</xdr:colOff>
                    <xdr:row>50</xdr:row>
                    <xdr:rowOff>234950</xdr:rowOff>
                  </to>
                </anchor>
              </controlPr>
            </control>
          </mc:Choice>
        </mc:AlternateContent>
        <mc:AlternateContent xmlns:mc="http://schemas.openxmlformats.org/markup-compatibility/2006">
          <mc:Choice Requires="x14">
            <control shapeId="24942" r:id="rId12" name="Option Button_17">
              <controlPr defaultSize="0" autoFill="0" autoLine="0" autoPict="0">
                <anchor moveWithCells="1">
                  <from>
                    <xdr:col>5</xdr:col>
                    <xdr:colOff>698500</xdr:colOff>
                    <xdr:row>77</xdr:row>
                    <xdr:rowOff>273050</xdr:rowOff>
                  </from>
                  <to>
                    <xdr:col>5</xdr:col>
                    <xdr:colOff>1454150</xdr:colOff>
                    <xdr:row>78</xdr:row>
                    <xdr:rowOff>241300</xdr:rowOff>
                  </to>
                </anchor>
              </controlPr>
            </control>
          </mc:Choice>
        </mc:AlternateContent>
        <mc:AlternateContent xmlns:mc="http://schemas.openxmlformats.org/markup-compatibility/2006">
          <mc:Choice Requires="x14">
            <control shapeId="24943" r:id="rId13" name="Option Button_18">
              <controlPr defaultSize="0" autoFill="0" autoLine="0" autoPict="0">
                <anchor moveWithCells="1">
                  <from>
                    <xdr:col>5</xdr:col>
                    <xdr:colOff>2089150</xdr:colOff>
                    <xdr:row>78</xdr:row>
                    <xdr:rowOff>0</xdr:rowOff>
                  </from>
                  <to>
                    <xdr:col>7</xdr:col>
                    <xdr:colOff>177800</xdr:colOff>
                    <xdr:row>78</xdr:row>
                    <xdr:rowOff>234950</xdr:rowOff>
                  </to>
                </anchor>
              </controlPr>
            </control>
          </mc:Choice>
        </mc:AlternateContent>
        <mc:AlternateContent xmlns:mc="http://schemas.openxmlformats.org/markup-compatibility/2006">
          <mc:Choice Requires="x14">
            <control shapeId="24883" r:id="rId14" name="Group Box_9">
              <controlPr defaultSize="0" autoFill="0" autoPict="0">
                <anchor moveWithCells="1">
                  <from>
                    <xdr:col>5</xdr:col>
                    <xdr:colOff>450850</xdr:colOff>
                    <xdr:row>77</xdr:row>
                    <xdr:rowOff>120650</xdr:rowOff>
                  </from>
                  <to>
                    <xdr:col>8</xdr:col>
                    <xdr:colOff>241300</xdr:colOff>
                    <xdr:row>80</xdr:row>
                    <xdr:rowOff>165100</xdr:rowOff>
                  </to>
                </anchor>
              </controlPr>
            </control>
          </mc:Choice>
        </mc:AlternateContent>
        <mc:AlternateContent xmlns:mc="http://schemas.openxmlformats.org/markup-compatibility/2006">
          <mc:Choice Requires="x14">
            <control shapeId="24882" r:id="rId15" name="Group Box_8">
              <controlPr defaultSize="0" autoFill="0" autoPict="0">
                <anchor moveWithCells="1">
                  <from>
                    <xdr:col>5</xdr:col>
                    <xdr:colOff>450850</xdr:colOff>
                    <xdr:row>62</xdr:row>
                    <xdr:rowOff>114300</xdr:rowOff>
                  </from>
                  <to>
                    <xdr:col>8</xdr:col>
                    <xdr:colOff>254000</xdr:colOff>
                    <xdr:row>65</xdr:row>
                    <xdr:rowOff>158750</xdr:rowOff>
                  </to>
                </anchor>
              </controlPr>
            </control>
          </mc:Choice>
        </mc:AlternateContent>
        <mc:AlternateContent xmlns:mc="http://schemas.openxmlformats.org/markup-compatibility/2006">
          <mc:Choice Requires="x14">
            <control shapeId="24933" r:id="rId16" name="Option Button_15">
              <controlPr defaultSize="0" autoFill="0" autoLine="0" autoPict="0">
                <anchor moveWithCells="1">
                  <from>
                    <xdr:col>5</xdr:col>
                    <xdr:colOff>698500</xdr:colOff>
                    <xdr:row>62</xdr:row>
                    <xdr:rowOff>273050</xdr:rowOff>
                  </from>
                  <to>
                    <xdr:col>5</xdr:col>
                    <xdr:colOff>1454150</xdr:colOff>
                    <xdr:row>63</xdr:row>
                    <xdr:rowOff>241300</xdr:rowOff>
                  </to>
                </anchor>
              </controlPr>
            </control>
          </mc:Choice>
        </mc:AlternateContent>
        <mc:AlternateContent xmlns:mc="http://schemas.openxmlformats.org/markup-compatibility/2006">
          <mc:Choice Requires="x14">
            <control shapeId="120277" r:id="rId17" name="Option Button_16">
              <controlPr defaultSize="0" autoFill="0" autoLine="0" autoPict="0">
                <anchor moveWithCells="1">
                  <from>
                    <xdr:col>5</xdr:col>
                    <xdr:colOff>2089150</xdr:colOff>
                    <xdr:row>63</xdr:row>
                    <xdr:rowOff>0</xdr:rowOff>
                  </from>
                  <to>
                    <xdr:col>7</xdr:col>
                    <xdr:colOff>177800</xdr:colOff>
                    <xdr:row>63</xdr:row>
                    <xdr:rowOff>234950</xdr:rowOff>
                  </to>
                </anchor>
              </controlPr>
            </control>
          </mc:Choice>
        </mc:AlternateContent>
        <mc:AlternateContent xmlns:mc="http://schemas.openxmlformats.org/markup-compatibility/2006">
          <mc:Choice Requires="x14">
            <control shapeId="165550" r:id="rId18" name="Option Button_02">
              <controlPr defaultSize="0" autoFill="0" autoLine="0" autoPict="0">
                <anchor moveWithCells="1">
                  <from>
                    <xdr:col>5</xdr:col>
                    <xdr:colOff>2089150</xdr:colOff>
                    <xdr:row>34</xdr:row>
                    <xdr:rowOff>196850</xdr:rowOff>
                  </from>
                  <to>
                    <xdr:col>7</xdr:col>
                    <xdr:colOff>177800</xdr:colOff>
                    <xdr:row>35</xdr:row>
                    <xdr:rowOff>215900</xdr:rowOff>
                  </to>
                </anchor>
              </controlPr>
            </control>
          </mc:Choice>
        </mc:AlternateContent>
        <mc:AlternateContent xmlns:mc="http://schemas.openxmlformats.org/markup-compatibility/2006">
          <mc:Choice Requires="x14">
            <control shapeId="24925" r:id="rId19" name="Option Button_09">
              <controlPr defaultSize="0" autoFill="0" autoLine="0" autoPict="0">
                <anchor moveWithCells="1">
                  <from>
                    <xdr:col>5</xdr:col>
                    <xdr:colOff>698500</xdr:colOff>
                    <xdr:row>10</xdr:row>
                    <xdr:rowOff>273050</xdr:rowOff>
                  </from>
                  <to>
                    <xdr:col>5</xdr:col>
                    <xdr:colOff>1454150</xdr:colOff>
                    <xdr:row>11</xdr:row>
                    <xdr:rowOff>241300</xdr:rowOff>
                  </to>
                </anchor>
              </controlPr>
            </control>
          </mc:Choice>
        </mc:AlternateContent>
        <mc:AlternateContent xmlns:mc="http://schemas.openxmlformats.org/markup-compatibility/2006">
          <mc:Choice Requires="x14">
            <control shapeId="24879" r:id="rId20" name="Group Box_5">
              <controlPr defaultSize="0" autoFill="0" autoPict="0">
                <anchor moveWithCells="1">
                  <from>
                    <xdr:col>5</xdr:col>
                    <xdr:colOff>495300</xdr:colOff>
                    <xdr:row>9</xdr:row>
                    <xdr:rowOff>273050</xdr:rowOff>
                  </from>
                  <to>
                    <xdr:col>8</xdr:col>
                    <xdr:colOff>298450</xdr:colOff>
                    <xdr:row>13</xdr:row>
                    <xdr:rowOff>50800</xdr:rowOff>
                  </to>
                </anchor>
              </controlPr>
            </control>
          </mc:Choice>
        </mc:AlternateContent>
        <mc:AlternateContent xmlns:mc="http://schemas.openxmlformats.org/markup-compatibility/2006">
          <mc:Choice Requires="x14">
            <control shapeId="24877" r:id="rId21" name="Group Box_3">
              <controlPr defaultSize="0" autoFill="0" autoPict="0">
                <anchor moveWithCells="1">
                  <from>
                    <xdr:col>5</xdr:col>
                    <xdr:colOff>495300</xdr:colOff>
                    <xdr:row>30</xdr:row>
                    <xdr:rowOff>101600</xdr:rowOff>
                  </from>
                  <to>
                    <xdr:col>8</xdr:col>
                    <xdr:colOff>298450</xdr:colOff>
                    <xdr:row>33</xdr:row>
                    <xdr:rowOff>196850</xdr:rowOff>
                  </to>
                </anchor>
              </controlPr>
            </control>
          </mc:Choice>
        </mc:AlternateContent>
        <mc:AlternateContent xmlns:mc="http://schemas.openxmlformats.org/markup-compatibility/2006">
          <mc:Choice Requires="x14">
            <control shapeId="383579" r:id="rId22" name="Option Button_10">
              <controlPr defaultSize="0" autoFill="0" autoLine="0" autoPict="0">
                <anchor moveWithCells="1">
                  <from>
                    <xdr:col>5</xdr:col>
                    <xdr:colOff>2089150</xdr:colOff>
                    <xdr:row>11</xdr:row>
                    <xdr:rowOff>0</xdr:rowOff>
                  </from>
                  <to>
                    <xdr:col>7</xdr:col>
                    <xdr:colOff>177800</xdr:colOff>
                    <xdr:row>11</xdr:row>
                    <xdr:rowOff>241300</xdr:rowOff>
                  </to>
                </anchor>
              </controlPr>
            </control>
          </mc:Choice>
        </mc:AlternateContent>
        <mc:AlternateContent xmlns:mc="http://schemas.openxmlformats.org/markup-compatibility/2006">
          <mc:Choice Requires="x14">
            <control shapeId="383607" r:id="rId23" name="Option Button 5751">
              <controlPr defaultSize="0" autoFill="0" autoLine="0" autoPict="0">
                <anchor moveWithCells="1">
                  <from>
                    <xdr:col>5</xdr:col>
                    <xdr:colOff>2089150</xdr:colOff>
                    <xdr:row>30</xdr:row>
                    <xdr:rowOff>215900</xdr:rowOff>
                  </from>
                  <to>
                    <xdr:col>7</xdr:col>
                    <xdr:colOff>177800</xdr:colOff>
                    <xdr:row>32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5E7D687-ACE8-48AD-99CB-FCE10FB5F756}">
          <x14:formula1>
            <xm:f>OFFSET(対策リスト!$AS$2,0,0,31-COUNTBLANK(対策リスト!$AS$2:$AS$32),1)</xm:f>
          </x14:formula1>
          <xm:sqref>F246:F254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theme="9" tint="-0.249977111117893"/>
  </sheetPr>
  <dimension ref="A1:AW269"/>
  <sheetViews>
    <sheetView view="pageBreakPreview" topLeftCell="D1" zoomScaleNormal="100" zoomScaleSheetLayoutView="100" workbookViewId="0">
      <pane ySplit="4" topLeftCell="A8" activePane="bottomLeft" state="frozen"/>
      <selection activeCell="E5" sqref="E5:N5"/>
      <selection pane="bottomLeft" activeCell="G3" sqref="G3"/>
    </sheetView>
  </sheetViews>
  <sheetFormatPr defaultColWidth="8.90625" defaultRowHeight="13" outlineLevelCol="1"/>
  <cols>
    <col min="1" max="1" width="3" style="192" hidden="1" customWidth="1" outlineLevel="1"/>
    <col min="2" max="3" width="3" style="183" hidden="1" customWidth="1" outlineLevel="1"/>
    <col min="4" max="4" width="2.6328125" style="197" customWidth="1" collapsed="1"/>
    <col min="5" max="5" width="4" style="183" customWidth="1"/>
    <col min="6" max="6" width="33.90625" style="183" customWidth="1"/>
    <col min="7" max="7" width="8.1796875" style="183" customWidth="1"/>
    <col min="8" max="8" width="4.453125" style="183" customWidth="1"/>
    <col min="9" max="9" width="8.81640625" style="183" customWidth="1"/>
    <col min="10" max="10" width="4.453125" style="183" customWidth="1"/>
    <col min="11" max="11" width="8.81640625" style="183" customWidth="1"/>
    <col min="12" max="12" width="4.453125" style="183" customWidth="1"/>
    <col min="13" max="19" width="12.81640625" style="183" customWidth="1"/>
    <col min="20" max="20" width="10.81640625" style="183" customWidth="1"/>
    <col min="21" max="21" width="7" style="183" hidden="1" customWidth="1" outlineLevel="1"/>
    <col min="22" max="24" width="4.90625" style="183" hidden="1" customWidth="1" outlineLevel="1"/>
    <col min="25" max="26" width="8.54296875" style="183" hidden="1" customWidth="1" outlineLevel="1"/>
    <col min="27" max="27" width="11.453125" style="183" hidden="1" customWidth="1" outlineLevel="1"/>
    <col min="28" max="28" width="11" style="183" hidden="1" customWidth="1" outlineLevel="1"/>
    <col min="29" max="29" width="14.81640625" style="183" hidden="1" customWidth="1" outlineLevel="1"/>
    <col min="30" max="30" width="12.81640625" style="183" hidden="1" customWidth="1" outlineLevel="1"/>
    <col min="31" max="31" width="5.6328125" style="183" hidden="1" customWidth="1" outlineLevel="1"/>
    <col min="32" max="33" width="6.6328125" style="183" hidden="1" customWidth="1" outlineLevel="1"/>
    <col min="34" max="35" width="0" style="183" hidden="1" customWidth="1" outlineLevel="1"/>
    <col min="36" max="36" width="8.90625" style="183" customWidth="1" collapsed="1"/>
    <col min="37" max="39" width="8.90625" style="183"/>
    <col min="40" max="41" width="5.6328125" style="183" customWidth="1"/>
    <col min="42" max="48" width="8.90625" style="183"/>
    <col min="49" max="49" width="0" style="183" hidden="1" customWidth="1"/>
    <col min="50" max="16384" width="8.90625" style="183"/>
  </cols>
  <sheetData>
    <row r="1" spans="1:38" s="191" customFormat="1" ht="42" customHeight="1">
      <c r="A1" s="184" t="s">
        <v>4377</v>
      </c>
      <c r="B1" s="185" t="s">
        <v>4377</v>
      </c>
      <c r="C1" s="186"/>
      <c r="D1" s="127" t="str">
        <f ca="1">IFERROR(IF($AD$6&gt;$AD$5,"（第２年度報告書）","入力シート（第２年度報告書）〈"&amp;$AD$5-1&amp;"年度実績〉"),"")</f>
        <v>（第２年度報告書）</v>
      </c>
      <c r="E1" s="128"/>
      <c r="F1" s="129"/>
      <c r="G1" s="129"/>
      <c r="H1" s="129"/>
      <c r="I1" s="129"/>
      <c r="J1" s="129"/>
      <c r="K1" s="129"/>
      <c r="L1" s="129"/>
      <c r="M1" s="129"/>
      <c r="N1" s="129"/>
      <c r="O1" s="129"/>
      <c r="P1" s="129"/>
      <c r="Q1" s="129"/>
      <c r="R1" s="129"/>
      <c r="S1" s="129"/>
      <c r="T1" s="181" t="str">
        <f>IF('入力シート（計画書）'!K7="","",HLOOKUP(VALUE(AA5),入力シートのタイトルメッセージ!C2:N8,AA6,FALSE))</f>
        <v/>
      </c>
      <c r="U1" s="197"/>
      <c r="V1" s="197"/>
      <c r="W1" s="198" t="s">
        <v>4016</v>
      </c>
      <c r="AA1" s="199" t="s">
        <v>4226</v>
      </c>
      <c r="AB1" s="198">
        <f>'入力シート（計画書）'!K7</f>
        <v>0</v>
      </c>
      <c r="AC1" s="200"/>
      <c r="AD1" s="200"/>
      <c r="AE1" s="200"/>
    </row>
    <row r="2" spans="1:38" s="191" customFormat="1" ht="35.9" customHeight="1">
      <c r="A2" s="187"/>
      <c r="B2" s="187"/>
      <c r="C2" s="188"/>
      <c r="D2" s="32"/>
      <c r="E2" s="14"/>
      <c r="F2" s="14"/>
      <c r="G2" s="14"/>
      <c r="H2" s="14"/>
      <c r="I2" s="14"/>
      <c r="J2" s="14"/>
      <c r="K2" s="14"/>
      <c r="L2" s="14"/>
      <c r="M2" s="14"/>
      <c r="N2" s="14"/>
      <c r="O2" s="14"/>
      <c r="P2" s="14"/>
      <c r="Q2" s="14"/>
      <c r="R2" s="28"/>
      <c r="S2" s="28"/>
      <c r="T2" s="14"/>
      <c r="Z2" s="200"/>
      <c r="AA2" s="201" t="s">
        <v>4235</v>
      </c>
      <c r="AB2" s="202">
        <f>基本設定シート!C8</f>
        <v>2028</v>
      </c>
      <c r="AC2" s="203" t="s">
        <v>4258</v>
      </c>
      <c r="AD2" s="204">
        <f ca="1">TODAY()</f>
        <v>46108</v>
      </c>
      <c r="AE2" s="205"/>
    </row>
    <row r="3" spans="1:38" s="191" customFormat="1" ht="17.899999999999999" customHeight="1">
      <c r="A3" s="187"/>
      <c r="B3" s="187"/>
      <c r="C3" s="188"/>
      <c r="D3" s="32"/>
      <c r="E3" s="14"/>
      <c r="F3" s="25" t="s">
        <v>4298</v>
      </c>
      <c r="G3" s="18"/>
      <c r="H3" s="7" t="s">
        <v>2</v>
      </c>
      <c r="I3" s="17"/>
      <c r="J3" s="7" t="s">
        <v>4337</v>
      </c>
      <c r="K3" s="17"/>
      <c r="L3" s="7" t="s">
        <v>4338</v>
      </c>
      <c r="M3" s="25" t="s">
        <v>4301</v>
      </c>
      <c r="N3" s="804" t="str">
        <f>'入力シート（事業者情報）'!U7</f>
        <v/>
      </c>
      <c r="O3" s="805"/>
      <c r="P3" s="805"/>
      <c r="Q3" s="805"/>
      <c r="R3" s="805"/>
      <c r="S3" s="805"/>
      <c r="T3" s="806"/>
      <c r="U3" s="191">
        <f>DAY(DATE(G3,I3+1,1)-1)</f>
        <v>0</v>
      </c>
      <c r="Z3" s="200"/>
      <c r="AA3" s="202" t="s">
        <v>4370</v>
      </c>
      <c r="AB3" s="202">
        <v>2</v>
      </c>
      <c r="AC3" s="206"/>
      <c r="AD3" s="204">
        <f ca="1">TODAY()</f>
        <v>46108</v>
      </c>
      <c r="AE3" s="205"/>
    </row>
    <row r="4" spans="1:38" s="191" customFormat="1" ht="5.15" customHeight="1">
      <c r="A4" s="187"/>
      <c r="B4" s="187"/>
      <c r="C4" s="188"/>
      <c r="D4" s="32"/>
      <c r="E4" s="14"/>
      <c r="F4" s="33"/>
      <c r="G4" s="33"/>
      <c r="H4" s="33"/>
      <c r="I4" s="33"/>
      <c r="J4" s="14"/>
      <c r="K4" s="97"/>
      <c r="L4" s="14"/>
      <c r="M4" s="14"/>
      <c r="N4" s="14"/>
      <c r="O4" s="14"/>
      <c r="P4" s="14"/>
      <c r="Q4" s="14"/>
      <c r="R4" s="28"/>
      <c r="S4" s="28"/>
      <c r="T4" s="14"/>
      <c r="Z4" s="200"/>
      <c r="AA4" s="201"/>
      <c r="AB4" s="200"/>
      <c r="AC4" s="206"/>
      <c r="AD4" s="204"/>
      <c r="AE4" s="205"/>
    </row>
    <row r="5" spans="1:38" s="191" customFormat="1" ht="18.75" hidden="1" customHeight="1">
      <c r="A5" s="187"/>
      <c r="B5" s="187"/>
      <c r="C5" s="188"/>
      <c r="D5" s="32"/>
      <c r="E5" s="14"/>
      <c r="F5" s="33"/>
      <c r="G5" s="14"/>
      <c r="H5" s="98"/>
      <c r="I5" s="98"/>
      <c r="J5" s="14"/>
      <c r="K5" s="14"/>
      <c r="L5" s="14"/>
      <c r="M5" s="14"/>
      <c r="N5" s="14"/>
      <c r="O5" s="14"/>
      <c r="P5" s="14"/>
      <c r="Q5" s="14"/>
      <c r="R5" s="28"/>
      <c r="S5" s="28"/>
      <c r="T5" s="14"/>
      <c r="Z5" s="200"/>
      <c r="AA5" s="201" t="str">
        <f>AB1&amp;AB3</f>
        <v>02</v>
      </c>
      <c r="AB5" s="200"/>
      <c r="AC5" s="206" t="s">
        <v>4259</v>
      </c>
      <c r="AD5" s="78">
        <f>基本設定シート!C14</f>
        <v>3</v>
      </c>
      <c r="AE5" s="207" t="s">
        <v>4260</v>
      </c>
    </row>
    <row r="6" spans="1:38" s="191" customFormat="1" ht="18.75" hidden="1" customHeight="1">
      <c r="A6" s="187"/>
      <c r="B6" s="187"/>
      <c r="C6" s="188"/>
      <c r="D6" s="32"/>
      <c r="E6" s="36"/>
      <c r="F6" s="28"/>
      <c r="G6" s="28"/>
      <c r="H6" s="28"/>
      <c r="I6" s="28"/>
      <c r="J6" s="28"/>
      <c r="K6" s="28"/>
      <c r="L6" s="28"/>
      <c r="M6" s="28"/>
      <c r="N6" s="28"/>
      <c r="O6" s="28"/>
      <c r="P6" s="28"/>
      <c r="Q6" s="28"/>
      <c r="R6" s="28"/>
      <c r="S6" s="28"/>
      <c r="T6" s="14"/>
      <c r="Z6" s="200"/>
      <c r="AA6" s="201">
        <f ca="1">LOOKUP(AD3,入力シートのタイトルメッセージ!B3:B8,入力シートのタイトルメッセージ!B11:B16)</f>
        <v>2</v>
      </c>
      <c r="AB6" s="200"/>
      <c r="AC6" s="206" t="s">
        <v>4261</v>
      </c>
      <c r="AD6" s="78">
        <f ca="1">YEAR(EOMONTH(AD3,-3))</f>
        <v>2025</v>
      </c>
      <c r="AE6" s="207" t="s">
        <v>4260</v>
      </c>
      <c r="AJ6" s="208">
        <v>46029</v>
      </c>
    </row>
    <row r="7" spans="1:38" s="191" customFormat="1" ht="42" hidden="1" customHeight="1">
      <c r="A7" s="187"/>
      <c r="B7" s="187"/>
      <c r="C7" s="188"/>
      <c r="D7" s="32"/>
      <c r="E7" s="36"/>
      <c r="F7" s="14"/>
      <c r="G7" s="36"/>
      <c r="H7" s="962"/>
      <c r="I7" s="962"/>
      <c r="J7" s="962"/>
      <c r="K7" s="962"/>
      <c r="L7" s="962"/>
      <c r="M7" s="962"/>
      <c r="N7" s="962"/>
      <c r="O7" s="962"/>
      <c r="P7" s="962"/>
      <c r="Q7" s="14"/>
      <c r="R7" s="28"/>
      <c r="S7" s="28"/>
      <c r="T7" s="14"/>
      <c r="Z7" s="200"/>
      <c r="AA7" s="201"/>
      <c r="AB7" s="200"/>
      <c r="AC7" s="200"/>
      <c r="AD7" s="200"/>
      <c r="AE7" s="200"/>
      <c r="AJ7" s="208">
        <v>46112</v>
      </c>
      <c r="AK7" s="191">
        <f>AJ7-$AJ$6</f>
        <v>83</v>
      </c>
    </row>
    <row r="8" spans="1:38" s="191" customFormat="1" ht="8.4" customHeight="1">
      <c r="A8" s="187"/>
      <c r="B8" s="187"/>
      <c r="C8" s="188"/>
      <c r="D8" s="32"/>
      <c r="E8" s="14"/>
      <c r="F8" s="14"/>
      <c r="G8" s="14"/>
      <c r="H8" s="14"/>
      <c r="I8" s="14"/>
      <c r="J8" s="14"/>
      <c r="K8" s="14"/>
      <c r="L8" s="14"/>
      <c r="M8" s="14"/>
      <c r="N8" s="14"/>
      <c r="O8" s="14"/>
      <c r="P8" s="14"/>
      <c r="Q8" s="14"/>
      <c r="R8" s="28"/>
      <c r="S8" s="28"/>
      <c r="T8" s="14"/>
      <c r="Z8" s="200"/>
      <c r="AA8" s="201"/>
      <c r="AB8" s="200"/>
      <c r="AC8" s="200"/>
      <c r="AD8" s="200"/>
      <c r="AE8" s="200"/>
      <c r="AJ8" s="208"/>
    </row>
    <row r="9" spans="1:38" s="191" customFormat="1" ht="21" hidden="1" customHeight="1">
      <c r="A9" s="187"/>
      <c r="B9" s="187"/>
      <c r="C9" s="188"/>
      <c r="D9" s="32"/>
      <c r="E9" s="14"/>
      <c r="F9" s="14"/>
      <c r="G9" s="14"/>
      <c r="H9" s="14"/>
      <c r="I9" s="14"/>
      <c r="J9" s="14"/>
      <c r="K9" s="14"/>
      <c r="L9" s="14"/>
      <c r="M9" s="14"/>
      <c r="N9" s="14"/>
      <c r="O9" s="14"/>
      <c r="P9" s="14"/>
      <c r="Q9" s="14"/>
      <c r="R9" s="28"/>
      <c r="S9" s="28"/>
      <c r="T9" s="14"/>
      <c r="Z9" s="200"/>
      <c r="AA9" s="201"/>
      <c r="AB9" s="200"/>
      <c r="AC9" s="200"/>
      <c r="AD9" s="200"/>
      <c r="AE9" s="200"/>
      <c r="AJ9" s="208"/>
    </row>
    <row r="10" spans="1:38" s="191" customFormat="1" ht="18" customHeight="1">
      <c r="A10" s="187"/>
      <c r="B10" s="187"/>
      <c r="C10" s="188"/>
      <c r="D10" s="34" t="s">
        <v>4523</v>
      </c>
      <c r="E10" s="14"/>
      <c r="F10" s="14"/>
      <c r="G10" s="14"/>
      <c r="H10" s="14"/>
      <c r="I10" s="14"/>
      <c r="J10" s="14"/>
      <c r="K10" s="79"/>
      <c r="L10" s="14"/>
      <c r="M10" s="14"/>
      <c r="N10" s="102"/>
      <c r="O10" s="28"/>
      <c r="P10" s="28"/>
      <c r="Q10" s="28"/>
      <c r="R10" s="28"/>
      <c r="S10" s="31"/>
      <c r="T10" s="31"/>
      <c r="U10" s="200"/>
      <c r="V10" s="200"/>
      <c r="W10" s="200"/>
      <c r="X10" s="200"/>
      <c r="AA10" s="199"/>
    </row>
    <row r="11" spans="1:38" s="191" customFormat="1" ht="18" customHeight="1">
      <c r="A11" s="187"/>
      <c r="B11" s="187"/>
      <c r="C11" s="188"/>
      <c r="D11" s="14"/>
      <c r="E11" s="53" t="s">
        <v>4546</v>
      </c>
      <c r="F11" s="24"/>
      <c r="G11" s="14"/>
      <c r="H11" s="14"/>
      <c r="I11" s="14"/>
      <c r="J11" s="14"/>
      <c r="K11" s="14"/>
      <c r="L11" s="14"/>
      <c r="M11" s="14"/>
      <c r="N11" s="14"/>
      <c r="O11" s="105"/>
      <c r="P11" s="28"/>
      <c r="Q11" s="31"/>
      <c r="R11" s="31"/>
      <c r="S11" s="31"/>
      <c r="T11" s="31"/>
      <c r="U11" s="200"/>
      <c r="V11" s="200"/>
      <c r="W11" s="200"/>
      <c r="X11" s="200"/>
      <c r="Y11" s="200"/>
      <c r="Z11" s="200"/>
      <c r="AA11" s="201"/>
      <c r="AB11" s="200"/>
    </row>
    <row r="12" spans="1:38" s="195" customFormat="1" ht="22.4" customHeight="1">
      <c r="A12" s="189"/>
      <c r="B12" s="189"/>
      <c r="C12" s="189"/>
      <c r="D12" s="77"/>
      <c r="E12" s="77"/>
      <c r="F12" s="99" t="s">
        <v>4285</v>
      </c>
      <c r="G12" s="99" t="s">
        <v>4278</v>
      </c>
      <c r="H12" s="77"/>
      <c r="I12" s="77"/>
      <c r="J12" s="77"/>
      <c r="K12" s="77"/>
      <c r="L12" s="77"/>
      <c r="M12" s="77"/>
      <c r="N12" s="77"/>
      <c r="O12" s="77"/>
      <c r="P12" s="28"/>
      <c r="Q12" s="28"/>
      <c r="R12" s="28"/>
      <c r="S12" s="28"/>
      <c r="T12" s="14"/>
      <c r="U12" s="191"/>
      <c r="V12" s="191"/>
      <c r="W12" s="191"/>
      <c r="X12" s="191"/>
      <c r="Y12" s="191"/>
      <c r="Z12" s="191"/>
      <c r="AA12" s="199"/>
      <c r="AB12" s="191"/>
      <c r="AC12" s="191"/>
      <c r="AD12" s="191"/>
      <c r="AE12" s="191"/>
      <c r="AF12" s="191"/>
      <c r="AG12" s="191"/>
      <c r="AH12" s="191"/>
      <c r="AI12" s="197"/>
      <c r="AJ12" s="197"/>
      <c r="AK12" s="197"/>
      <c r="AL12" s="197"/>
    </row>
    <row r="13" spans="1:38" s="195" customFormat="1" ht="3" customHeight="1">
      <c r="A13" s="189"/>
      <c r="B13" s="189"/>
      <c r="C13" s="189"/>
      <c r="D13" s="77"/>
      <c r="E13" s="77"/>
      <c r="F13" s="99"/>
      <c r="G13" s="99"/>
      <c r="H13" s="77"/>
      <c r="I13" s="77"/>
      <c r="J13" s="77"/>
      <c r="K13" s="77"/>
      <c r="L13" s="77"/>
      <c r="M13" s="77"/>
      <c r="N13" s="77"/>
      <c r="O13" s="77"/>
      <c r="P13" s="28"/>
      <c r="Q13" s="28"/>
      <c r="R13" s="28"/>
      <c r="S13" s="28"/>
      <c r="T13" s="14"/>
      <c r="U13" s="191"/>
      <c r="V13" s="191"/>
      <c r="W13" s="191"/>
      <c r="X13" s="191"/>
      <c r="Y13" s="191"/>
      <c r="Z13" s="191"/>
      <c r="AA13" s="199"/>
      <c r="AB13" s="191"/>
      <c r="AC13" s="191"/>
      <c r="AD13" s="191"/>
      <c r="AE13" s="191"/>
      <c r="AF13" s="191"/>
      <c r="AG13" s="191"/>
      <c r="AH13" s="191"/>
      <c r="AI13" s="197"/>
      <c r="AJ13" s="197"/>
      <c r="AK13" s="197"/>
      <c r="AL13" s="197"/>
    </row>
    <row r="14" spans="1:38" s="195" customFormat="1" ht="22.4" customHeight="1">
      <c r="A14" s="189"/>
      <c r="B14" s="189"/>
      <c r="C14" s="189"/>
      <c r="D14" s="10"/>
      <c r="E14" s="77" t="str">
        <f>$AB$1+2&amp;"年度（第２年度）における下記燃料の年間使用量をご入力ください。"</f>
        <v>2年度（第２年度）における下記燃料の年間使用量をご入力ください。</v>
      </c>
      <c r="F14" s="290"/>
      <c r="G14" s="77"/>
      <c r="H14" s="77"/>
      <c r="I14" s="77"/>
      <c r="J14" s="77"/>
      <c r="K14" s="77"/>
      <c r="L14" s="77"/>
      <c r="M14" s="77"/>
      <c r="N14" s="77"/>
      <c r="O14" s="77"/>
      <c r="P14" s="274"/>
      <c r="Q14" s="274"/>
      <c r="R14" s="274"/>
      <c r="S14" s="274"/>
      <c r="T14" s="77"/>
      <c r="AA14" s="196"/>
      <c r="AI14" s="291"/>
      <c r="AJ14" s="291"/>
      <c r="AK14" s="291"/>
      <c r="AL14" s="291"/>
    </row>
    <row r="15" spans="1:38" s="195" customFormat="1" ht="15" customHeight="1" thickBot="1">
      <c r="A15" s="189"/>
      <c r="B15" s="189"/>
      <c r="C15" s="189"/>
      <c r="D15" s="77"/>
      <c r="E15" s="77"/>
      <c r="F15" s="77"/>
      <c r="G15" s="77"/>
      <c r="H15" s="77"/>
      <c r="I15" s="77"/>
      <c r="J15" s="77"/>
      <c r="K15" s="77"/>
      <c r="L15" s="77"/>
      <c r="M15" s="77"/>
      <c r="N15" s="77"/>
      <c r="O15" s="77"/>
      <c r="P15" s="274"/>
      <c r="Q15" s="274"/>
      <c r="R15" s="274"/>
      <c r="S15" s="274"/>
      <c r="T15" s="77"/>
      <c r="AA15" s="196"/>
      <c r="AI15" s="291"/>
      <c r="AJ15" s="291"/>
      <c r="AK15" s="291"/>
      <c r="AL15" s="291"/>
    </row>
    <row r="16" spans="1:38" s="195" customFormat="1" ht="24.75" customHeight="1">
      <c r="A16" s="189"/>
      <c r="B16" s="189"/>
      <c r="C16" s="189"/>
      <c r="D16" s="77"/>
      <c r="E16" s="872" t="s">
        <v>4214</v>
      </c>
      <c r="F16" s="873"/>
      <c r="G16" s="873"/>
      <c r="H16" s="873"/>
      <c r="I16" s="873"/>
      <c r="J16" s="873"/>
      <c r="K16" s="873"/>
      <c r="L16" s="874"/>
      <c r="M16" s="823" t="s">
        <v>89</v>
      </c>
      <c r="N16" s="825" t="s">
        <v>36</v>
      </c>
      <c r="O16" s="820" t="s">
        <v>74</v>
      </c>
      <c r="P16" s="820" t="s">
        <v>4344</v>
      </c>
      <c r="Q16" s="822" t="s">
        <v>4225</v>
      </c>
      <c r="R16" s="818" t="s">
        <v>4496</v>
      </c>
      <c r="S16" s="28"/>
      <c r="T16" s="77"/>
      <c r="U16" s="197"/>
      <c r="V16" s="191"/>
      <c r="W16" s="191"/>
      <c r="X16" s="191"/>
      <c r="Y16" s="191"/>
      <c r="Z16" s="191"/>
      <c r="AA16" s="191"/>
      <c r="AB16" s="191"/>
      <c r="AC16" s="199"/>
      <c r="AD16" s="191"/>
      <c r="AE16" s="191"/>
      <c r="AF16" s="191"/>
      <c r="AG16" s="191"/>
      <c r="AH16" s="191"/>
      <c r="AI16" s="191"/>
      <c r="AJ16" s="191"/>
    </row>
    <row r="17" spans="1:36" s="195" customFormat="1" ht="18" customHeight="1">
      <c r="A17" s="189"/>
      <c r="B17" s="189"/>
      <c r="C17" s="189"/>
      <c r="D17" s="77"/>
      <c r="E17" s="875"/>
      <c r="F17" s="876"/>
      <c r="G17" s="876"/>
      <c r="H17" s="876"/>
      <c r="I17" s="876"/>
      <c r="J17" s="876"/>
      <c r="K17" s="876"/>
      <c r="L17" s="877"/>
      <c r="M17" s="824"/>
      <c r="N17" s="937"/>
      <c r="O17" s="938"/>
      <c r="P17" s="938"/>
      <c r="Q17" s="939"/>
      <c r="R17" s="819"/>
      <c r="S17" s="28"/>
      <c r="T17" s="77"/>
      <c r="U17" s="197"/>
      <c r="V17" s="191"/>
      <c r="W17" s="191"/>
      <c r="X17" s="191"/>
      <c r="Y17" s="191"/>
      <c r="Z17" s="191"/>
      <c r="AA17" s="191"/>
      <c r="AB17" s="191"/>
      <c r="AC17" s="199"/>
      <c r="AD17" s="191"/>
      <c r="AE17" s="191"/>
      <c r="AF17" s="191"/>
      <c r="AG17" s="191"/>
      <c r="AH17" s="191"/>
      <c r="AI17" s="191"/>
      <c r="AJ17" s="191"/>
    </row>
    <row r="18" spans="1:36" s="195" customFormat="1" ht="18" customHeight="1">
      <c r="A18" s="189"/>
      <c r="B18" s="189"/>
      <c r="C18" s="189"/>
      <c r="D18" s="77"/>
      <c r="E18" s="887" t="s">
        <v>4430</v>
      </c>
      <c r="F18" s="888"/>
      <c r="G18" s="888"/>
      <c r="H18" s="888"/>
      <c r="I18" s="888"/>
      <c r="J18" s="888"/>
      <c r="K18" s="888"/>
      <c r="L18" s="889"/>
      <c r="M18" s="675"/>
      <c r="N18" s="56" t="s">
        <v>4113</v>
      </c>
      <c r="O18" s="722"/>
      <c r="P18" s="276"/>
      <c r="Q18" s="277"/>
      <c r="R18" s="278"/>
      <c r="S18" s="28"/>
      <c r="T18" s="77"/>
      <c r="U18" s="197"/>
      <c r="V18" s="191"/>
      <c r="W18" s="191"/>
      <c r="X18" s="191"/>
      <c r="Y18" s="191"/>
      <c r="Z18" s="191"/>
      <c r="AA18" s="191"/>
      <c r="AB18" s="191"/>
      <c r="AC18" s="199"/>
      <c r="AD18" s="191"/>
      <c r="AE18" s="191"/>
      <c r="AF18" s="191"/>
      <c r="AG18" s="191"/>
      <c r="AH18" s="191"/>
      <c r="AI18" s="191"/>
      <c r="AJ18" s="191"/>
    </row>
    <row r="19" spans="1:36" s="195" customFormat="1" ht="18" customHeight="1">
      <c r="A19" s="189"/>
      <c r="B19" s="189"/>
      <c r="C19" s="189"/>
      <c r="D19" s="77"/>
      <c r="E19" s="890" t="s">
        <v>40</v>
      </c>
      <c r="F19" s="891"/>
      <c r="G19" s="891"/>
      <c r="H19" s="891"/>
      <c r="I19" s="891"/>
      <c r="J19" s="891"/>
      <c r="K19" s="891"/>
      <c r="L19" s="892"/>
      <c r="M19" s="676"/>
      <c r="N19" s="57" t="s">
        <v>4113</v>
      </c>
      <c r="O19" s="279"/>
      <c r="P19" s="279"/>
      <c r="Q19" s="277"/>
      <c r="R19" s="278"/>
      <c r="S19" s="28"/>
      <c r="T19" s="77"/>
      <c r="U19" s="197"/>
      <c r="V19" s="191"/>
      <c r="W19" s="191"/>
      <c r="X19" s="191"/>
      <c r="Y19" s="191"/>
      <c r="Z19" s="191"/>
      <c r="AA19" s="191"/>
      <c r="AB19" s="191"/>
      <c r="AC19" s="199"/>
      <c r="AD19" s="191"/>
      <c r="AE19" s="191"/>
      <c r="AF19" s="191"/>
      <c r="AG19" s="191"/>
      <c r="AH19" s="191"/>
      <c r="AI19" s="191"/>
      <c r="AJ19" s="191"/>
    </row>
    <row r="20" spans="1:36" s="195" customFormat="1" ht="18" customHeight="1">
      <c r="A20" s="189"/>
      <c r="B20" s="189"/>
      <c r="C20" s="189"/>
      <c r="D20" s="77"/>
      <c r="E20" s="890" t="s">
        <v>4431</v>
      </c>
      <c r="F20" s="891"/>
      <c r="G20" s="891"/>
      <c r="H20" s="891"/>
      <c r="I20" s="891"/>
      <c r="J20" s="891"/>
      <c r="K20" s="891"/>
      <c r="L20" s="892"/>
      <c r="M20" s="676"/>
      <c r="N20" s="57" t="s">
        <v>4112</v>
      </c>
      <c r="O20" s="279"/>
      <c r="P20" s="279"/>
      <c r="Q20" s="277"/>
      <c r="R20" s="278"/>
      <c r="S20" s="28"/>
      <c r="T20" s="77"/>
      <c r="U20" s="197"/>
      <c r="V20" s="191"/>
      <c r="W20" s="191"/>
      <c r="X20" s="191"/>
      <c r="Y20" s="191"/>
      <c r="Z20" s="191"/>
      <c r="AA20" s="191"/>
      <c r="AB20" s="191"/>
      <c r="AC20" s="199"/>
      <c r="AD20" s="191"/>
      <c r="AE20" s="191"/>
      <c r="AF20" s="191"/>
      <c r="AG20" s="191"/>
      <c r="AH20" s="191"/>
      <c r="AI20" s="191"/>
      <c r="AJ20" s="191"/>
    </row>
    <row r="21" spans="1:36" s="195" customFormat="1" ht="18" customHeight="1">
      <c r="A21" s="189"/>
      <c r="B21" s="189"/>
      <c r="C21" s="189"/>
      <c r="D21" s="77"/>
      <c r="E21" s="890" t="s">
        <v>4432</v>
      </c>
      <c r="F21" s="891"/>
      <c r="G21" s="891"/>
      <c r="H21" s="891"/>
      <c r="I21" s="891"/>
      <c r="J21" s="891"/>
      <c r="K21" s="891"/>
      <c r="L21" s="892"/>
      <c r="M21" s="676"/>
      <c r="N21" s="57" t="s">
        <v>4112</v>
      </c>
      <c r="O21" s="279"/>
      <c r="P21" s="279"/>
      <c r="Q21" s="277"/>
      <c r="R21" s="278"/>
      <c r="S21" s="28"/>
      <c r="T21" s="77"/>
      <c r="U21" s="197"/>
      <c r="V21" s="191"/>
      <c r="W21" s="191"/>
      <c r="X21" s="191"/>
      <c r="Y21" s="191"/>
      <c r="Z21" s="191"/>
      <c r="AA21" s="191"/>
      <c r="AB21" s="191"/>
      <c r="AC21" s="199"/>
      <c r="AD21" s="191"/>
      <c r="AE21" s="191"/>
      <c r="AF21" s="191"/>
      <c r="AG21" s="191"/>
      <c r="AH21" s="191"/>
      <c r="AI21" s="191"/>
      <c r="AJ21" s="191"/>
    </row>
    <row r="22" spans="1:36" s="195" customFormat="1" ht="18" customHeight="1">
      <c r="A22" s="189"/>
      <c r="B22" s="189"/>
      <c r="C22" s="189"/>
      <c r="D22" s="77"/>
      <c r="E22" s="890" t="s">
        <v>4433</v>
      </c>
      <c r="F22" s="891"/>
      <c r="G22" s="891"/>
      <c r="H22" s="891"/>
      <c r="I22" s="891"/>
      <c r="J22" s="891"/>
      <c r="K22" s="891"/>
      <c r="L22" s="892"/>
      <c r="M22" s="676"/>
      <c r="N22" s="57" t="s">
        <v>4536</v>
      </c>
      <c r="O22" s="279"/>
      <c r="P22" s="279"/>
      <c r="Q22" s="277"/>
      <c r="R22" s="278"/>
      <c r="S22" s="28"/>
      <c r="T22" s="77"/>
      <c r="U22" s="197"/>
      <c r="V22" s="191"/>
      <c r="W22" s="191"/>
      <c r="X22" s="191"/>
      <c r="Y22" s="191"/>
      <c r="Z22" s="191"/>
      <c r="AA22" s="191"/>
      <c r="AB22" s="191"/>
      <c r="AC22" s="199"/>
      <c r="AD22" s="191"/>
      <c r="AE22" s="191"/>
      <c r="AF22" s="191"/>
      <c r="AG22" s="191"/>
      <c r="AH22" s="191"/>
      <c r="AI22" s="191"/>
      <c r="AJ22" s="191"/>
    </row>
    <row r="23" spans="1:36" s="195" customFormat="1" ht="18" customHeight="1">
      <c r="A23" s="189"/>
      <c r="B23" s="189"/>
      <c r="C23" s="189"/>
      <c r="D23" s="77"/>
      <c r="E23" s="890" t="s">
        <v>4413</v>
      </c>
      <c r="F23" s="891"/>
      <c r="G23" s="891"/>
      <c r="H23" s="891"/>
      <c r="I23" s="891"/>
      <c r="J23" s="891"/>
      <c r="K23" s="891"/>
      <c r="L23" s="892"/>
      <c r="M23" s="676"/>
      <c r="N23" s="57" t="s">
        <v>4112</v>
      </c>
      <c r="O23" s="279"/>
      <c r="P23" s="279"/>
      <c r="Q23" s="277"/>
      <c r="R23" s="278"/>
      <c r="S23" s="28"/>
      <c r="T23" s="77"/>
      <c r="U23" s="191"/>
      <c r="V23" s="191"/>
      <c r="W23" s="191"/>
      <c r="X23" s="191"/>
      <c r="Y23" s="191"/>
      <c r="Z23" s="191"/>
      <c r="AA23" s="191"/>
      <c r="AB23" s="199"/>
      <c r="AC23" s="191"/>
      <c r="AD23" s="191"/>
      <c r="AE23" s="191"/>
    </row>
    <row r="24" spans="1:36" s="195" customFormat="1" ht="18" customHeight="1">
      <c r="A24" s="189"/>
      <c r="B24" s="189"/>
      <c r="C24" s="189"/>
      <c r="D24" s="77"/>
      <c r="E24" s="890" t="s">
        <v>4512</v>
      </c>
      <c r="F24" s="891"/>
      <c r="G24" s="891"/>
      <c r="H24" s="891"/>
      <c r="I24" s="891"/>
      <c r="J24" s="891"/>
      <c r="K24" s="891"/>
      <c r="L24" s="892"/>
      <c r="M24" s="676"/>
      <c r="N24" s="57" t="s">
        <v>4113</v>
      </c>
      <c r="O24" s="279"/>
      <c r="P24" s="279"/>
      <c r="Q24" s="277"/>
      <c r="R24" s="278"/>
      <c r="S24" s="28"/>
      <c r="T24" s="77"/>
      <c r="U24" s="197"/>
      <c r="V24" s="191"/>
      <c r="W24" s="191"/>
      <c r="X24" s="191"/>
      <c r="Y24" s="191"/>
      <c r="Z24" s="191"/>
      <c r="AA24" s="191"/>
      <c r="AB24" s="191"/>
      <c r="AC24" s="199"/>
      <c r="AD24" s="191"/>
      <c r="AE24" s="191"/>
      <c r="AF24" s="191"/>
    </row>
    <row r="25" spans="1:36" s="195" customFormat="1" ht="18" customHeight="1">
      <c r="A25" s="189"/>
      <c r="B25" s="189"/>
      <c r="C25" s="189"/>
      <c r="D25" s="77"/>
      <c r="E25" s="890" t="s">
        <v>4513</v>
      </c>
      <c r="F25" s="891"/>
      <c r="G25" s="891"/>
      <c r="H25" s="891"/>
      <c r="I25" s="891"/>
      <c r="J25" s="891"/>
      <c r="K25" s="891"/>
      <c r="L25" s="892"/>
      <c r="M25" s="676"/>
      <c r="N25" s="57" t="s">
        <v>4113</v>
      </c>
      <c r="O25" s="279"/>
      <c r="P25" s="279"/>
      <c r="Q25" s="277"/>
      <c r="R25" s="278"/>
      <c r="S25" s="28"/>
      <c r="T25" s="77"/>
      <c r="U25" s="197"/>
      <c r="V25" s="191"/>
      <c r="W25" s="191"/>
      <c r="X25" s="191"/>
      <c r="Y25" s="191"/>
      <c r="Z25" s="191"/>
      <c r="AA25" s="191"/>
      <c r="AB25" s="191"/>
      <c r="AC25" s="199"/>
      <c r="AD25" s="191"/>
      <c r="AE25" s="191"/>
      <c r="AF25" s="191"/>
      <c r="AG25" s="191"/>
    </row>
    <row r="26" spans="1:36" s="195" customFormat="1" ht="18" customHeight="1" thickBot="1">
      <c r="A26" s="189"/>
      <c r="B26" s="189"/>
      <c r="C26" s="189"/>
      <c r="D26" s="77"/>
      <c r="E26" s="893" t="s">
        <v>4406</v>
      </c>
      <c r="F26" s="894"/>
      <c r="G26" s="885"/>
      <c r="H26" s="885"/>
      <c r="I26" s="885"/>
      <c r="J26" s="885"/>
      <c r="K26" s="885"/>
      <c r="L26" s="886"/>
      <c r="M26" s="677"/>
      <c r="N26" s="679"/>
      <c r="O26" s="680"/>
      <c r="P26" s="681"/>
      <c r="Q26" s="152"/>
      <c r="R26" s="139"/>
      <c r="S26" s="14"/>
      <c r="T26" s="77"/>
      <c r="U26" s="191"/>
      <c r="V26" s="191"/>
      <c r="W26" s="191"/>
      <c r="X26" s="191"/>
      <c r="Y26" s="191"/>
      <c r="Z26" s="199"/>
      <c r="AA26" s="191"/>
      <c r="AB26" s="191"/>
      <c r="AC26" s="191"/>
      <c r="AD26" s="191"/>
      <c r="AE26" s="191"/>
      <c r="AF26" s="191"/>
      <c r="AG26" s="191"/>
      <c r="AH26" s="197"/>
      <c r="AI26" s="197"/>
      <c r="AJ26" s="197"/>
    </row>
    <row r="27" spans="1:36" s="191" customFormat="1" ht="19.399999999999999" customHeight="1">
      <c r="A27" s="187"/>
      <c r="B27" s="187"/>
      <c r="C27" s="188"/>
      <c r="D27" s="14"/>
      <c r="E27" s="14"/>
      <c r="F27" s="14"/>
      <c r="G27" s="14"/>
      <c r="H27" s="105"/>
      <c r="I27" s="105"/>
      <c r="J27" s="106"/>
      <c r="K27" s="107"/>
      <c r="L27" s="31"/>
      <c r="M27" s="28"/>
      <c r="N27" s="14"/>
      <c r="O27" s="14"/>
      <c r="P27" s="14"/>
      <c r="Q27" s="108"/>
      <c r="R27" s="108"/>
      <c r="S27" s="77"/>
      <c r="T27" s="109"/>
      <c r="U27" s="209"/>
      <c r="V27" s="209"/>
      <c r="W27" s="209"/>
      <c r="X27" s="209"/>
      <c r="Y27" s="209"/>
      <c r="Z27" s="209"/>
      <c r="AA27" s="199"/>
    </row>
    <row r="28" spans="1:36" s="191" customFormat="1" ht="18" customHeight="1">
      <c r="A28" s="187"/>
      <c r="B28" s="187"/>
      <c r="C28" s="188"/>
      <c r="D28" s="32"/>
      <c r="E28" s="14"/>
      <c r="F28" s="14"/>
      <c r="G28" s="14"/>
      <c r="H28" s="14"/>
      <c r="I28" s="14"/>
      <c r="J28" s="14"/>
      <c r="K28" s="14"/>
      <c r="L28" s="14"/>
      <c r="M28" s="14"/>
      <c r="N28" s="14"/>
      <c r="O28" s="14"/>
      <c r="P28" s="14"/>
      <c r="Q28" s="14"/>
      <c r="R28" s="28"/>
      <c r="S28" s="28"/>
      <c r="T28" s="14"/>
      <c r="Z28" s="200"/>
      <c r="AA28" s="201"/>
      <c r="AB28" s="200"/>
      <c r="AC28" s="200"/>
      <c r="AD28" s="200"/>
      <c r="AE28" s="200"/>
      <c r="AJ28" s="208"/>
    </row>
    <row r="29" spans="1:36" s="191" customFormat="1" ht="18" customHeight="1">
      <c r="A29" s="187"/>
      <c r="B29" s="187"/>
      <c r="C29" s="188"/>
      <c r="D29" s="34" t="s">
        <v>4522</v>
      </c>
      <c r="E29" s="14"/>
      <c r="F29" s="14"/>
      <c r="G29" s="14"/>
      <c r="H29" s="14"/>
      <c r="I29" s="14"/>
      <c r="J29" s="14"/>
      <c r="K29" s="14"/>
      <c r="L29" s="14"/>
      <c r="M29" s="14"/>
      <c r="N29" s="14"/>
      <c r="O29" s="14"/>
      <c r="P29" s="14"/>
      <c r="Q29" s="28"/>
      <c r="R29" s="28"/>
      <c r="S29" s="28"/>
      <c r="T29" s="14"/>
      <c r="Y29" s="200"/>
      <c r="Z29" s="200"/>
      <c r="AA29" s="201"/>
      <c r="AB29" s="200"/>
      <c r="AC29" s="200"/>
      <c r="AD29" s="200"/>
      <c r="AJ29" s="208"/>
    </row>
    <row r="30" spans="1:36" s="191" customFormat="1" ht="18" customHeight="1">
      <c r="A30" s="187"/>
      <c r="B30" s="187"/>
      <c r="C30" s="188"/>
      <c r="D30" s="34"/>
      <c r="E30" s="14"/>
      <c r="F30" s="14"/>
      <c r="G30" s="14"/>
      <c r="H30" s="14"/>
      <c r="I30" s="14"/>
      <c r="J30" s="14"/>
      <c r="K30" s="14"/>
      <c r="L30" s="14"/>
      <c r="M30" s="14"/>
      <c r="N30" s="14"/>
      <c r="O30" s="14"/>
      <c r="P30" s="14"/>
      <c r="Q30" s="28"/>
      <c r="R30" s="28"/>
      <c r="S30" s="28"/>
      <c r="T30" s="14"/>
      <c r="Y30" s="200"/>
      <c r="Z30" s="200"/>
      <c r="AA30" s="201"/>
      <c r="AB30" s="200"/>
      <c r="AC30" s="200"/>
      <c r="AD30" s="200"/>
      <c r="AJ30" s="208"/>
    </row>
    <row r="31" spans="1:36" s="191" customFormat="1" ht="18" customHeight="1">
      <c r="A31" s="187"/>
      <c r="B31" s="187"/>
      <c r="C31" s="188"/>
      <c r="D31" s="31"/>
      <c r="E31" s="42" t="s">
        <v>4515</v>
      </c>
      <c r="F31" s="24"/>
      <c r="G31" s="24"/>
      <c r="H31" s="24"/>
      <c r="I31" s="24"/>
      <c r="J31" s="47"/>
      <c r="K31" s="49"/>
      <c r="L31" s="27"/>
      <c r="M31" s="32"/>
      <c r="N31" s="32"/>
      <c r="O31" s="32"/>
      <c r="P31" s="32"/>
      <c r="Q31" s="31"/>
      <c r="R31" s="31"/>
      <c r="S31" s="31"/>
      <c r="T31" s="31"/>
      <c r="U31" s="200"/>
      <c r="Y31" s="210"/>
      <c r="AA31" s="199"/>
    </row>
    <row r="32" spans="1:36" s="191" customFormat="1" ht="18" customHeight="1">
      <c r="A32" s="187"/>
      <c r="B32" s="187"/>
      <c r="C32" s="188"/>
      <c r="D32" s="34"/>
      <c r="E32" s="14"/>
      <c r="F32" s="99" t="s">
        <v>4285</v>
      </c>
      <c r="G32" s="99" t="s">
        <v>4278</v>
      </c>
      <c r="H32" s="14"/>
      <c r="I32" s="14"/>
      <c r="J32" s="14"/>
      <c r="K32" s="14"/>
      <c r="L32" s="14"/>
      <c r="M32" s="14"/>
      <c r="N32" s="14"/>
      <c r="O32" s="14"/>
      <c r="P32" s="14"/>
      <c r="Q32" s="28"/>
      <c r="R32" s="28"/>
      <c r="S32" s="28"/>
      <c r="T32" s="14"/>
      <c r="Y32" s="200"/>
      <c r="Z32" s="200"/>
      <c r="AA32" s="201"/>
      <c r="AB32" s="200"/>
      <c r="AC32" s="200"/>
      <c r="AD32" s="200"/>
      <c r="AJ32" s="208"/>
    </row>
    <row r="33" spans="1:41" s="191" customFormat="1" ht="3" customHeight="1">
      <c r="A33" s="187"/>
      <c r="B33" s="187"/>
      <c r="C33" s="188"/>
      <c r="D33" s="34"/>
      <c r="E33" s="14"/>
      <c r="F33" s="14"/>
      <c r="G33" s="14"/>
      <c r="H33" s="14"/>
      <c r="I33" s="14"/>
      <c r="J33" s="14"/>
      <c r="K33" s="14"/>
      <c r="L33" s="14"/>
      <c r="M33" s="14"/>
      <c r="N33" s="14"/>
      <c r="O33" s="14"/>
      <c r="P33" s="14"/>
      <c r="Q33" s="28"/>
      <c r="R33" s="28"/>
      <c r="S33" s="28"/>
      <c r="T33" s="14"/>
      <c r="Y33" s="200"/>
      <c r="Z33" s="200"/>
      <c r="AA33" s="201"/>
      <c r="AB33" s="200"/>
      <c r="AC33" s="200"/>
      <c r="AD33" s="200"/>
      <c r="AJ33" s="208"/>
    </row>
    <row r="34" spans="1:41" s="191" customFormat="1" ht="18" customHeight="1">
      <c r="A34" s="187"/>
      <c r="B34" s="187"/>
      <c r="C34" s="188"/>
      <c r="D34" s="32"/>
      <c r="E34" s="14"/>
      <c r="F34" s="14"/>
      <c r="G34" s="14"/>
      <c r="H34" s="14"/>
      <c r="I34" s="14"/>
      <c r="J34" s="14"/>
      <c r="K34" s="14"/>
      <c r="L34" s="14"/>
      <c r="M34" s="14"/>
      <c r="N34" s="14"/>
      <c r="O34" s="14"/>
      <c r="P34" s="14"/>
      <c r="Q34" s="14"/>
      <c r="R34" s="28"/>
      <c r="S34" s="28"/>
      <c r="T34" s="14"/>
      <c r="Z34" s="200"/>
      <c r="AA34" s="201"/>
      <c r="AB34" s="200"/>
      <c r="AC34" s="200"/>
      <c r="AD34" s="200"/>
      <c r="AE34" s="200"/>
      <c r="AJ34" s="208"/>
    </row>
    <row r="35" spans="1:41" s="191" customFormat="1" ht="18" customHeight="1">
      <c r="A35" s="187"/>
      <c r="B35" s="187"/>
      <c r="C35" s="188"/>
      <c r="D35" s="32"/>
      <c r="E35" s="16" t="s">
        <v>4514</v>
      </c>
      <c r="F35" s="24"/>
      <c r="G35" s="14"/>
      <c r="H35" s="14"/>
      <c r="I35" s="14"/>
      <c r="J35" s="14"/>
      <c r="K35" s="14"/>
      <c r="L35" s="14"/>
      <c r="M35" s="14"/>
      <c r="N35" s="14"/>
      <c r="O35" s="14"/>
      <c r="P35" s="14"/>
      <c r="Q35" s="14"/>
      <c r="R35" s="28"/>
      <c r="S35" s="28"/>
      <c r="T35" s="14"/>
      <c r="Z35" s="200"/>
      <c r="AA35" s="201"/>
      <c r="AB35" s="200"/>
      <c r="AC35" s="200"/>
      <c r="AD35" s="200"/>
      <c r="AE35" s="200"/>
      <c r="AJ35" s="208"/>
    </row>
    <row r="36" spans="1:41" s="191" customFormat="1" ht="18" customHeight="1">
      <c r="A36" s="187"/>
      <c r="B36" s="187"/>
      <c r="C36" s="188"/>
      <c r="D36" s="32"/>
      <c r="E36" s="77"/>
      <c r="F36" s="99" t="s">
        <v>4285</v>
      </c>
      <c r="G36" s="99" t="s">
        <v>4278</v>
      </c>
      <c r="H36" s="14"/>
      <c r="I36" s="14"/>
      <c r="J36" s="14"/>
      <c r="K36" s="14"/>
      <c r="L36" s="14"/>
      <c r="M36" s="14"/>
      <c r="N36" s="14"/>
      <c r="O36" s="14"/>
      <c r="P36" s="14"/>
      <c r="Q36" s="14"/>
      <c r="R36" s="28"/>
      <c r="S36" s="28"/>
      <c r="T36" s="24"/>
      <c r="Z36" s="200"/>
      <c r="AA36" s="191" t="str">
        <f>IF(OR(C32=2,C36=2)=TRUE,"検索ツール画像B","検索ツール画像A")</f>
        <v>検索ツール画像A</v>
      </c>
      <c r="AB36" s="200"/>
      <c r="AC36" s="200"/>
      <c r="AD36" s="200"/>
      <c r="AE36" s="200"/>
      <c r="AJ36" s="208"/>
    </row>
    <row r="37" spans="1:41" s="191" customFormat="1" ht="3" customHeight="1">
      <c r="A37" s="187"/>
      <c r="B37" s="187"/>
      <c r="C37" s="188"/>
      <c r="D37" s="32"/>
      <c r="E37" s="77"/>
      <c r="F37" s="99"/>
      <c r="G37" s="99"/>
      <c r="H37" s="14"/>
      <c r="I37" s="14"/>
      <c r="J37" s="14"/>
      <c r="K37" s="14"/>
      <c r="L37" s="14"/>
      <c r="M37" s="14"/>
      <c r="N37" s="14"/>
      <c r="O37" s="14"/>
      <c r="P37" s="14"/>
      <c r="Q37" s="14"/>
      <c r="R37" s="28"/>
      <c r="S37" s="28"/>
      <c r="T37" s="14"/>
      <c r="Z37" s="200"/>
      <c r="AA37" s="201"/>
      <c r="AB37" s="200"/>
      <c r="AC37" s="200"/>
      <c r="AD37" s="200"/>
      <c r="AE37" s="200"/>
    </row>
    <row r="38" spans="1:41" s="191" customFormat="1" ht="18" customHeight="1">
      <c r="A38" s="187"/>
      <c r="B38" s="187"/>
      <c r="C38" s="284"/>
      <c r="D38" s="14"/>
      <c r="E38" s="14"/>
      <c r="F38" s="14" t="str">
        <f xml:space="preserve"> $AB$1+2 &amp;"年度（第２年度）における電気事業者との契約メニュー、買電量（車両の充電に使用した電力量）、排出係数をご入力ください。"</f>
        <v>2年度（第２年度）における電気事業者との契約メニュー、買電量（車両の充電に使用した電力量）、排出係数をご入力ください。</v>
      </c>
      <c r="G38" s="14"/>
      <c r="H38" s="14"/>
      <c r="I38" s="14"/>
      <c r="J38" s="14"/>
      <c r="K38" s="14"/>
      <c r="L38" s="14"/>
      <c r="M38" s="14"/>
      <c r="N38" s="14"/>
      <c r="O38" s="14"/>
      <c r="P38" s="14"/>
      <c r="Q38" s="14"/>
      <c r="R38" s="28"/>
      <c r="S38" s="28"/>
      <c r="T38" s="14"/>
      <c r="Z38" s="286"/>
      <c r="AA38" s="287"/>
      <c r="AB38" s="286"/>
      <c r="AC38" s="286"/>
      <c r="AD38" s="286"/>
      <c r="AE38" s="286"/>
    </row>
    <row r="39" spans="1:41" s="191" customFormat="1" ht="18" customHeight="1">
      <c r="A39" s="187"/>
      <c r="B39" s="187"/>
      <c r="C39" s="284"/>
      <c r="D39" s="14"/>
      <c r="E39" s="14"/>
      <c r="F39" s="14" t="str">
        <f>$AB$1+2&amp;"年度（第２年度）において、複数の契約や、年度途中の契約の変更があった場合には、全ての情報を入力してください。"</f>
        <v>2年度（第２年度）において、複数の契約や、年度途中の契約の変更があった場合には、全ての情報を入力してください。</v>
      </c>
      <c r="G39" s="14"/>
      <c r="H39" s="14"/>
      <c r="I39" s="14"/>
      <c r="J39" s="14"/>
      <c r="K39" s="14"/>
      <c r="L39" s="14"/>
      <c r="M39" s="14"/>
      <c r="N39" s="14"/>
      <c r="O39" s="14"/>
      <c r="P39" s="14"/>
      <c r="Q39" s="14"/>
      <c r="R39" s="28"/>
      <c r="S39" s="28"/>
      <c r="T39" s="14"/>
      <c r="Z39" s="286"/>
      <c r="AA39" s="287"/>
      <c r="AB39" s="286"/>
      <c r="AC39" s="286"/>
      <c r="AD39" s="286"/>
      <c r="AE39" s="286"/>
    </row>
    <row r="40" spans="1:41" s="191" customFormat="1" ht="18" customHeight="1">
      <c r="A40" s="187"/>
      <c r="B40" s="187"/>
      <c r="C40" s="284"/>
      <c r="D40" s="288"/>
      <c r="E40" s="14"/>
      <c r="F40" s="38" t="s">
        <v>4376</v>
      </c>
      <c r="G40" s="14"/>
      <c r="H40" s="14"/>
      <c r="I40" s="14"/>
      <c r="J40" s="14"/>
      <c r="K40" s="14"/>
      <c r="L40" s="14"/>
      <c r="M40" s="14"/>
      <c r="N40" s="14"/>
      <c r="O40" s="14"/>
      <c r="P40" s="14"/>
      <c r="Q40" s="14"/>
      <c r="R40" s="28"/>
      <c r="S40" s="28"/>
      <c r="T40" s="14"/>
      <c r="Z40" s="286"/>
      <c r="AA40" s="287"/>
      <c r="AB40" s="286"/>
      <c r="AC40" s="286"/>
      <c r="AD40" s="286"/>
      <c r="AE40" s="286"/>
    </row>
    <row r="41" spans="1:41" s="191" customFormat="1" ht="18" customHeight="1">
      <c r="A41" s="187"/>
      <c r="B41" s="187"/>
      <c r="C41" s="284"/>
      <c r="D41" s="288"/>
      <c r="E41" s="14"/>
      <c r="F41" s="904" t="s">
        <v>4528</v>
      </c>
      <c r="G41" s="904"/>
      <c r="H41" s="904"/>
      <c r="I41" s="904"/>
      <c r="J41" s="904"/>
      <c r="K41" s="904"/>
      <c r="L41" s="904"/>
      <c r="M41" s="904"/>
      <c r="N41" s="14"/>
      <c r="O41" s="14"/>
      <c r="P41" s="14"/>
      <c r="Q41" s="14"/>
      <c r="R41" s="28"/>
      <c r="S41" s="28"/>
      <c r="T41" s="14"/>
      <c r="Z41" s="286"/>
      <c r="AA41" s="287"/>
      <c r="AB41" s="286"/>
      <c r="AC41" s="286"/>
      <c r="AD41" s="286"/>
      <c r="AE41" s="286"/>
    </row>
    <row r="42" spans="1:41" s="191" customFormat="1" ht="18" customHeight="1" thickBot="1">
      <c r="A42" s="187"/>
      <c r="B42" s="187"/>
      <c r="C42" s="284"/>
      <c r="D42" s="288"/>
      <c r="E42" s="14"/>
      <c r="F42" s="155" t="s">
        <v>4373</v>
      </c>
      <c r="G42" s="14"/>
      <c r="H42" s="14"/>
      <c r="I42" s="14"/>
      <c r="J42" s="14"/>
      <c r="K42" s="14"/>
      <c r="L42" s="14"/>
      <c r="M42" s="14"/>
      <c r="N42" s="14"/>
      <c r="O42" s="14"/>
      <c r="P42" s="14"/>
      <c r="Q42" s="14"/>
      <c r="R42" s="28"/>
      <c r="S42" s="28"/>
      <c r="T42" s="14"/>
      <c r="Z42" s="286"/>
      <c r="AA42" s="287"/>
      <c r="AB42" s="286"/>
      <c r="AC42" s="286"/>
      <c r="AD42" s="286"/>
      <c r="AE42" s="286"/>
    </row>
    <row r="43" spans="1:41" s="195" customFormat="1" ht="33" customHeight="1">
      <c r="A43" s="189"/>
      <c r="B43" s="189"/>
      <c r="C43" s="189"/>
      <c r="D43" s="77"/>
      <c r="E43" s="77"/>
      <c r="F43" s="45" t="s">
        <v>4372</v>
      </c>
      <c r="G43" s="46" t="s">
        <v>4529</v>
      </c>
      <c r="H43" s="46"/>
      <c r="I43" s="294" t="s">
        <v>4541</v>
      </c>
      <c r="J43" s="280"/>
      <c r="K43" s="13"/>
      <c r="L43" s="13"/>
      <c r="M43" s="77"/>
      <c r="N43" s="77"/>
      <c r="O43" s="77"/>
      <c r="P43" s="77"/>
      <c r="Q43" s="77"/>
      <c r="R43" s="77"/>
      <c r="S43" s="77"/>
      <c r="T43" s="77"/>
      <c r="U43" s="197"/>
      <c r="V43" s="197"/>
      <c r="W43" s="191"/>
      <c r="X43" s="191"/>
      <c r="Y43" s="191"/>
      <c r="Z43" s="191"/>
      <c r="AA43" s="191"/>
      <c r="AB43" s="191"/>
      <c r="AC43" s="191"/>
      <c r="AD43" s="199"/>
      <c r="AE43" s="191"/>
      <c r="AF43" s="191"/>
      <c r="AG43" s="191"/>
      <c r="AH43" s="191"/>
      <c r="AI43" s="191"/>
      <c r="AJ43" s="191"/>
      <c r="AK43" s="191"/>
      <c r="AL43" s="197"/>
      <c r="AM43" s="197"/>
      <c r="AN43" s="197"/>
      <c r="AO43" s="197"/>
    </row>
    <row r="44" spans="1:41" s="195" customFormat="1" ht="18" customHeight="1">
      <c r="A44" s="189"/>
      <c r="B44" s="189"/>
      <c r="C44" s="189"/>
      <c r="D44" s="77"/>
      <c r="E44" s="77"/>
      <c r="F44" s="137"/>
      <c r="G44" s="897"/>
      <c r="H44" s="898"/>
      <c r="I44" s="883"/>
      <c r="J44" s="884"/>
      <c r="K44" s="13"/>
      <c r="L44" s="13"/>
      <c r="M44" s="28"/>
      <c r="N44" s="100"/>
      <c r="O44" s="101"/>
      <c r="P44" s="100"/>
      <c r="Q44" s="101"/>
      <c r="R44" s="100"/>
      <c r="S44" s="100"/>
      <c r="T44" s="102"/>
      <c r="U44" s="200"/>
      <c r="V44" s="200"/>
      <c r="W44" s="191"/>
      <c r="X44" s="191"/>
      <c r="Y44" s="191"/>
      <c r="Z44" s="191"/>
      <c r="AA44" s="191"/>
      <c r="AB44" s="191"/>
      <c r="AC44" s="191"/>
      <c r="AD44" s="199"/>
      <c r="AE44" s="191"/>
      <c r="AF44" s="191"/>
      <c r="AG44" s="191"/>
      <c r="AH44" s="191"/>
      <c r="AI44" s="191"/>
      <c r="AJ44" s="191"/>
      <c r="AK44" s="191"/>
      <c r="AL44" s="197"/>
      <c r="AM44" s="197"/>
    </row>
    <row r="45" spans="1:41" s="195" customFormat="1" ht="18" customHeight="1">
      <c r="A45" s="189"/>
      <c r="B45" s="189"/>
      <c r="C45" s="189"/>
      <c r="D45" s="77"/>
      <c r="E45" s="77"/>
      <c r="F45" s="137"/>
      <c r="G45" s="897"/>
      <c r="H45" s="898"/>
      <c r="I45" s="883"/>
      <c r="J45" s="884"/>
      <c r="K45" s="13"/>
      <c r="L45" s="13"/>
      <c r="M45" s="100"/>
      <c r="N45" s="100"/>
      <c r="O45" s="103"/>
      <c r="P45" s="100"/>
      <c r="Q45" s="103"/>
      <c r="R45" s="100"/>
      <c r="S45" s="100"/>
      <c r="T45" s="102"/>
      <c r="U45" s="200"/>
      <c r="V45" s="200"/>
      <c r="W45" s="191"/>
      <c r="X45" s="191"/>
      <c r="Y45" s="191"/>
      <c r="Z45" s="191"/>
      <c r="AA45" s="191"/>
      <c r="AB45" s="191"/>
      <c r="AC45" s="191"/>
      <c r="AD45" s="199"/>
      <c r="AE45" s="191"/>
      <c r="AF45" s="191"/>
      <c r="AG45" s="191"/>
      <c r="AH45" s="191"/>
      <c r="AI45" s="191"/>
      <c r="AJ45" s="191"/>
      <c r="AK45" s="191"/>
      <c r="AL45" s="197"/>
      <c r="AM45" s="197"/>
    </row>
    <row r="46" spans="1:41" s="195" customFormat="1" ht="18" customHeight="1">
      <c r="A46" s="189"/>
      <c r="B46" s="189"/>
      <c r="C46" s="189"/>
      <c r="D46" s="77"/>
      <c r="E46" s="77"/>
      <c r="F46" s="137"/>
      <c r="G46" s="897"/>
      <c r="H46" s="898"/>
      <c r="I46" s="883"/>
      <c r="J46" s="884"/>
      <c r="K46" s="13"/>
      <c r="L46" s="13"/>
      <c r="M46" s="100"/>
      <c r="N46" s="100"/>
      <c r="O46" s="103"/>
      <c r="P46" s="100"/>
      <c r="Q46" s="103"/>
      <c r="R46" s="100"/>
      <c r="S46" s="100"/>
      <c r="T46" s="102"/>
      <c r="U46" s="200"/>
      <c r="V46" s="200"/>
      <c r="W46" s="191"/>
      <c r="X46" s="191"/>
      <c r="Y46" s="191"/>
      <c r="Z46" s="191"/>
      <c r="AA46" s="191"/>
      <c r="AB46" s="191"/>
      <c r="AC46" s="191"/>
      <c r="AD46" s="199"/>
      <c r="AE46" s="191"/>
      <c r="AF46" s="191"/>
      <c r="AG46" s="191"/>
      <c r="AH46" s="191"/>
      <c r="AI46" s="191"/>
      <c r="AJ46" s="191"/>
      <c r="AK46" s="191"/>
      <c r="AL46" s="197"/>
      <c r="AM46" s="197"/>
    </row>
    <row r="47" spans="1:41" s="195" customFormat="1" ht="18" customHeight="1">
      <c r="A47" s="189"/>
      <c r="B47" s="189"/>
      <c r="C47" s="189"/>
      <c r="D47" s="77"/>
      <c r="E47" s="77"/>
      <c r="F47" s="137"/>
      <c r="G47" s="897"/>
      <c r="H47" s="898"/>
      <c r="I47" s="883"/>
      <c r="J47" s="884"/>
      <c r="K47" s="13"/>
      <c r="L47" s="13"/>
      <c r="M47" s="100"/>
      <c r="N47" s="100"/>
      <c r="O47" s="103"/>
      <c r="P47" s="100"/>
      <c r="Q47" s="103"/>
      <c r="R47" s="100"/>
      <c r="S47" s="100"/>
      <c r="T47" s="102"/>
      <c r="U47" s="200"/>
      <c r="V47" s="200"/>
      <c r="W47" s="191"/>
      <c r="X47" s="191"/>
      <c r="Y47" s="191"/>
      <c r="Z47" s="191"/>
      <c r="AA47" s="191"/>
      <c r="AB47" s="191"/>
      <c r="AC47" s="191"/>
      <c r="AD47" s="199"/>
      <c r="AE47" s="191"/>
      <c r="AF47" s="191"/>
      <c r="AG47" s="191"/>
      <c r="AH47" s="191"/>
      <c r="AI47" s="191"/>
      <c r="AJ47" s="191"/>
      <c r="AK47" s="191"/>
      <c r="AL47" s="197"/>
      <c r="AM47" s="197"/>
    </row>
    <row r="48" spans="1:41" s="195" customFormat="1" ht="18" customHeight="1" thickBot="1">
      <c r="A48" s="189"/>
      <c r="B48" s="189"/>
      <c r="C48" s="189"/>
      <c r="D48" s="77"/>
      <c r="E48" s="77"/>
      <c r="F48" s="138"/>
      <c r="G48" s="895"/>
      <c r="H48" s="896"/>
      <c r="I48" s="900"/>
      <c r="J48" s="901"/>
      <c r="K48" s="13"/>
      <c r="L48" s="13"/>
      <c r="M48" s="100"/>
      <c r="N48" s="100"/>
      <c r="O48" s="103"/>
      <c r="P48" s="100"/>
      <c r="Q48" s="103"/>
      <c r="R48" s="100"/>
      <c r="S48" s="100"/>
      <c r="T48" s="102"/>
      <c r="U48" s="200"/>
      <c r="V48" s="200"/>
      <c r="W48" s="191"/>
      <c r="X48" s="191"/>
      <c r="Y48" s="191"/>
      <c r="Z48" s="191"/>
      <c r="AA48" s="191"/>
      <c r="AB48" s="191"/>
      <c r="AC48" s="191"/>
      <c r="AD48" s="199"/>
      <c r="AE48" s="191"/>
      <c r="AF48" s="191"/>
      <c r="AG48" s="191"/>
      <c r="AH48" s="191"/>
      <c r="AI48" s="191"/>
      <c r="AJ48" s="191"/>
      <c r="AK48" s="191"/>
      <c r="AL48" s="197"/>
      <c r="AM48" s="197"/>
    </row>
    <row r="49" spans="1:39" s="195" customFormat="1" ht="150" customHeight="1">
      <c r="A49" s="189"/>
      <c r="B49" s="189"/>
      <c r="C49" s="189"/>
      <c r="D49" s="77"/>
      <c r="E49" s="77"/>
      <c r="F49" s="77"/>
      <c r="G49" s="77"/>
      <c r="H49" s="77"/>
      <c r="I49" s="77"/>
      <c r="J49" s="77"/>
      <c r="K49" s="77"/>
      <c r="L49" s="103"/>
      <c r="M49" s="100"/>
      <c r="N49" s="103"/>
      <c r="O49" s="100"/>
      <c r="P49" s="100"/>
      <c r="Q49" s="102"/>
      <c r="R49" s="31"/>
      <c r="S49" s="31"/>
      <c r="T49" s="14"/>
      <c r="U49" s="191"/>
      <c r="V49" s="191"/>
      <c r="W49" s="191"/>
      <c r="X49" s="191"/>
      <c r="Y49" s="191"/>
      <c r="Z49" s="191"/>
      <c r="AA49" s="199"/>
      <c r="AB49" s="191"/>
      <c r="AC49" s="191"/>
      <c r="AD49" s="191"/>
      <c r="AE49" s="191"/>
      <c r="AF49" s="191"/>
      <c r="AG49" s="191"/>
      <c r="AH49" s="191"/>
      <c r="AI49" s="197"/>
      <c r="AJ49" s="197"/>
    </row>
    <row r="50" spans="1:39" s="195" customFormat="1" ht="18" customHeight="1">
      <c r="A50" s="189"/>
      <c r="B50" s="189"/>
      <c r="C50" s="189"/>
      <c r="D50" s="77"/>
      <c r="E50" s="42" t="s">
        <v>4547</v>
      </c>
      <c r="F50" s="104"/>
      <c r="G50" s="77"/>
      <c r="H50" s="77"/>
      <c r="I50" s="77"/>
      <c r="J50" s="77"/>
      <c r="K50" s="77"/>
      <c r="L50" s="28"/>
      <c r="M50" s="77"/>
      <c r="N50" s="28"/>
      <c r="O50" s="28"/>
      <c r="P50" s="28"/>
      <c r="Q50" s="28"/>
      <c r="R50" s="28"/>
      <c r="S50" s="28"/>
      <c r="T50" s="14"/>
      <c r="U50" s="191"/>
      <c r="V50" s="191"/>
      <c r="W50" s="191"/>
      <c r="X50" s="191"/>
      <c r="Y50" s="191"/>
      <c r="Z50" s="191"/>
      <c r="AA50" s="199"/>
      <c r="AB50" s="191"/>
      <c r="AC50" s="191"/>
      <c r="AD50" s="191"/>
      <c r="AE50" s="191"/>
      <c r="AF50" s="191"/>
      <c r="AG50" s="191"/>
      <c r="AH50" s="191"/>
      <c r="AI50" s="197"/>
      <c r="AJ50" s="197"/>
    </row>
    <row r="51" spans="1:39" s="195" customFormat="1" ht="22.4" customHeight="1">
      <c r="A51" s="189"/>
      <c r="B51" s="189"/>
      <c r="C51" s="189"/>
      <c r="D51" s="77"/>
      <c r="E51" s="77"/>
      <c r="F51" s="99" t="s">
        <v>4285</v>
      </c>
      <c r="G51" s="99" t="s">
        <v>4278</v>
      </c>
      <c r="H51" s="77"/>
      <c r="I51" s="77"/>
      <c r="J51" s="77"/>
      <c r="K51" s="77"/>
      <c r="L51" s="77"/>
      <c r="M51" s="28"/>
      <c r="N51" s="28"/>
      <c r="O51" s="28"/>
      <c r="P51" s="28"/>
      <c r="Q51" s="28"/>
      <c r="R51" s="28"/>
      <c r="S51" s="28"/>
      <c r="T51" s="14"/>
      <c r="U51" s="191"/>
      <c r="V51" s="191"/>
      <c r="W51" s="191"/>
      <c r="X51" s="191"/>
      <c r="Y51" s="191"/>
      <c r="Z51" s="191"/>
      <c r="AA51" s="199"/>
      <c r="AB51" s="191"/>
      <c r="AC51" s="191"/>
      <c r="AD51" s="191"/>
      <c r="AE51" s="191"/>
      <c r="AF51" s="191"/>
      <c r="AG51" s="191"/>
      <c r="AH51" s="191"/>
      <c r="AI51" s="197"/>
    </row>
    <row r="52" spans="1:39" s="195" customFormat="1" ht="3" customHeight="1">
      <c r="A52" s="189"/>
      <c r="B52" s="189"/>
      <c r="C52" s="189"/>
      <c r="D52" s="77"/>
      <c r="E52" s="77"/>
      <c r="F52" s="99"/>
      <c r="G52" s="99"/>
      <c r="H52" s="77"/>
      <c r="I52" s="77"/>
      <c r="J52" s="77"/>
      <c r="K52" s="77"/>
      <c r="L52" s="77"/>
      <c r="M52" s="28"/>
      <c r="N52" s="28"/>
      <c r="O52" s="28"/>
      <c r="P52" s="28"/>
      <c r="Q52" s="28"/>
      <c r="R52" s="28"/>
      <c r="S52" s="28"/>
      <c r="T52" s="14"/>
      <c r="U52" s="191"/>
      <c r="V52" s="191"/>
      <c r="W52" s="191"/>
      <c r="X52" s="191"/>
      <c r="Y52" s="191"/>
      <c r="Z52" s="191"/>
      <c r="AA52" s="199"/>
      <c r="AB52" s="191"/>
      <c r="AC52" s="191"/>
      <c r="AD52" s="191"/>
      <c r="AE52" s="191"/>
      <c r="AF52" s="191"/>
      <c r="AG52" s="191"/>
      <c r="AH52" s="191"/>
      <c r="AI52" s="197"/>
    </row>
    <row r="53" spans="1:39" s="191" customFormat="1" ht="22.4" customHeight="1" thickBot="1">
      <c r="A53" s="187"/>
      <c r="B53" s="187"/>
      <c r="C53" s="187"/>
      <c r="D53" s="14"/>
      <c r="E53" s="14"/>
      <c r="F53" s="14" t="str">
        <f>$AB$1+2&amp;"年度（第２年度）において、上記（２-１）以外に下記の買電がある場合は、そのうち車両の充電に使用した電力量をご入力ください。"</f>
        <v>2年度（第２年度）において、上記（２-１）以外に下記の買電がある場合は、そのうち車両の充電に使用した電力量をご入力ください。</v>
      </c>
      <c r="G53" s="14"/>
      <c r="H53" s="14"/>
      <c r="I53" s="14"/>
      <c r="J53" s="14"/>
      <c r="K53" s="14"/>
      <c r="L53" s="14"/>
      <c r="M53" s="28"/>
      <c r="N53" s="28"/>
      <c r="O53" s="28"/>
      <c r="P53" s="28"/>
      <c r="Q53" s="28"/>
      <c r="R53" s="28"/>
      <c r="S53" s="28"/>
      <c r="T53" s="14"/>
      <c r="AA53" s="199"/>
      <c r="AI53" s="197"/>
    </row>
    <row r="54" spans="1:39" s="195" customFormat="1" ht="30.75" customHeight="1">
      <c r="A54" s="189"/>
      <c r="B54" s="189"/>
      <c r="C54" s="189"/>
      <c r="D54" s="77"/>
      <c r="E54" s="77"/>
      <c r="F54" s="295" t="s">
        <v>4219</v>
      </c>
      <c r="G54" s="46" t="s">
        <v>4529</v>
      </c>
      <c r="H54" s="46"/>
      <c r="I54" s="294" t="s">
        <v>4541</v>
      </c>
      <c r="J54" s="280"/>
      <c r="K54" s="13"/>
      <c r="L54" s="13"/>
      <c r="M54" s="77"/>
      <c r="N54" s="77"/>
      <c r="O54" s="28"/>
      <c r="P54" s="77"/>
      <c r="Q54" s="28"/>
      <c r="R54" s="28"/>
      <c r="S54" s="28"/>
      <c r="T54" s="28"/>
      <c r="U54" s="197"/>
      <c r="V54" s="197"/>
      <c r="W54" s="191"/>
      <c r="X54" s="191"/>
      <c r="Y54" s="191"/>
      <c r="Z54" s="191"/>
      <c r="AA54" s="191"/>
      <c r="AB54" s="191"/>
      <c r="AC54" s="191"/>
      <c r="AD54" s="199"/>
      <c r="AE54" s="191"/>
      <c r="AF54" s="191"/>
      <c r="AG54" s="191"/>
      <c r="AH54" s="191"/>
      <c r="AI54" s="191"/>
      <c r="AJ54" s="191"/>
      <c r="AK54" s="191"/>
      <c r="AL54" s="197"/>
      <c r="AM54" s="197"/>
    </row>
    <row r="55" spans="1:39" s="195" customFormat="1" ht="18" customHeight="1">
      <c r="A55" s="189"/>
      <c r="B55" s="189"/>
      <c r="C55" s="189"/>
      <c r="D55" s="77"/>
      <c r="E55" s="77"/>
      <c r="F55" s="296"/>
      <c r="G55" s="897"/>
      <c r="H55" s="898"/>
      <c r="I55" s="883"/>
      <c r="J55" s="884"/>
      <c r="K55" s="13"/>
      <c r="L55" s="13"/>
      <c r="M55" s="28"/>
      <c r="N55" s="28"/>
      <c r="O55" s="28"/>
      <c r="P55" s="28"/>
      <c r="Q55" s="28"/>
      <c r="R55" s="28"/>
      <c r="S55" s="28"/>
      <c r="T55" s="28"/>
      <c r="U55" s="197"/>
      <c r="V55" s="197"/>
      <c r="W55" s="191"/>
      <c r="X55" s="191"/>
      <c r="Y55" s="191"/>
      <c r="Z55" s="191"/>
      <c r="AA55" s="191"/>
      <c r="AB55" s="191"/>
      <c r="AC55" s="191"/>
      <c r="AD55" s="199"/>
      <c r="AE55" s="191"/>
      <c r="AF55" s="191"/>
      <c r="AG55" s="191"/>
      <c r="AH55" s="191"/>
      <c r="AI55" s="191"/>
      <c r="AJ55" s="191"/>
      <c r="AK55" s="191"/>
      <c r="AL55" s="197"/>
      <c r="AM55" s="197"/>
    </row>
    <row r="56" spans="1:39" s="195" customFormat="1" ht="18" customHeight="1">
      <c r="A56" s="189"/>
      <c r="B56" s="189"/>
      <c r="C56" s="189"/>
      <c r="D56" s="77"/>
      <c r="E56" s="77"/>
      <c r="F56" s="296"/>
      <c r="G56" s="897"/>
      <c r="H56" s="898"/>
      <c r="I56" s="883"/>
      <c r="J56" s="884"/>
      <c r="K56" s="13"/>
      <c r="L56" s="13"/>
      <c r="M56" s="28"/>
      <c r="N56" s="28"/>
      <c r="O56" s="28"/>
      <c r="P56" s="28"/>
      <c r="Q56" s="28"/>
      <c r="R56" s="28"/>
      <c r="S56" s="28"/>
      <c r="T56" s="28"/>
      <c r="U56" s="197"/>
      <c r="V56" s="197"/>
      <c r="W56" s="191"/>
      <c r="X56" s="191"/>
      <c r="Y56" s="191"/>
      <c r="Z56" s="191"/>
      <c r="AA56" s="191"/>
      <c r="AB56" s="191"/>
      <c r="AC56" s="191"/>
      <c r="AD56" s="199"/>
      <c r="AE56" s="191"/>
      <c r="AF56" s="191"/>
      <c r="AG56" s="191"/>
      <c r="AH56" s="191"/>
      <c r="AI56" s="191"/>
      <c r="AJ56" s="191"/>
      <c r="AK56" s="191"/>
      <c r="AL56" s="197"/>
      <c r="AM56" s="197"/>
    </row>
    <row r="57" spans="1:39" s="195" customFormat="1" ht="18" customHeight="1">
      <c r="A57" s="189"/>
      <c r="B57" s="189"/>
      <c r="C57" s="189"/>
      <c r="D57" s="77"/>
      <c r="E57" s="77"/>
      <c r="F57" s="296"/>
      <c r="G57" s="897"/>
      <c r="H57" s="898"/>
      <c r="I57" s="883"/>
      <c r="J57" s="884"/>
      <c r="K57" s="13"/>
      <c r="L57" s="13"/>
      <c r="M57" s="28"/>
      <c r="N57" s="28"/>
      <c r="O57" s="28"/>
      <c r="P57" s="28"/>
      <c r="Q57" s="28"/>
      <c r="R57" s="28"/>
      <c r="S57" s="28"/>
      <c r="T57" s="28"/>
      <c r="U57" s="197"/>
      <c r="V57" s="197"/>
      <c r="W57" s="191"/>
      <c r="X57" s="191"/>
      <c r="Y57" s="191"/>
      <c r="Z57" s="191"/>
      <c r="AA57" s="191"/>
      <c r="AB57" s="191"/>
      <c r="AC57" s="191"/>
      <c r="AD57" s="199"/>
      <c r="AE57" s="191"/>
      <c r="AF57" s="191"/>
      <c r="AG57" s="191"/>
      <c r="AH57" s="191"/>
      <c r="AI57" s="191"/>
      <c r="AJ57" s="191"/>
      <c r="AK57" s="191"/>
      <c r="AL57" s="197"/>
      <c r="AM57" s="197"/>
    </row>
    <row r="58" spans="1:39" s="195" customFormat="1" ht="18" customHeight="1">
      <c r="A58" s="189"/>
      <c r="B58" s="189"/>
      <c r="C58" s="189"/>
      <c r="D58" s="77"/>
      <c r="E58" s="77"/>
      <c r="F58" s="296"/>
      <c r="G58" s="897"/>
      <c r="H58" s="898"/>
      <c r="I58" s="883"/>
      <c r="J58" s="884"/>
      <c r="K58" s="13"/>
      <c r="L58" s="13"/>
      <c r="M58" s="28"/>
      <c r="N58" s="28"/>
      <c r="O58" s="28"/>
      <c r="P58" s="28"/>
      <c r="Q58" s="28"/>
      <c r="R58" s="28"/>
      <c r="S58" s="28"/>
      <c r="T58" s="28"/>
      <c r="U58" s="197"/>
      <c r="V58" s="197"/>
      <c r="W58" s="191"/>
      <c r="X58" s="191"/>
      <c r="Y58" s="191"/>
      <c r="Z58" s="191"/>
      <c r="AA58" s="191"/>
      <c r="AB58" s="191"/>
      <c r="AC58" s="191"/>
      <c r="AD58" s="199"/>
      <c r="AE58" s="191"/>
      <c r="AF58" s="191"/>
      <c r="AG58" s="191"/>
      <c r="AH58" s="191"/>
      <c r="AI58" s="191"/>
      <c r="AJ58" s="191"/>
      <c r="AK58" s="191"/>
      <c r="AL58" s="197"/>
      <c r="AM58" s="197"/>
    </row>
    <row r="59" spans="1:39" s="195" customFormat="1" ht="18" customHeight="1" thickBot="1">
      <c r="A59" s="189"/>
      <c r="B59" s="189"/>
      <c r="C59" s="189"/>
      <c r="D59" s="77"/>
      <c r="E59" s="77"/>
      <c r="F59" s="297"/>
      <c r="G59" s="895"/>
      <c r="H59" s="896"/>
      <c r="I59" s="900"/>
      <c r="J59" s="901"/>
      <c r="K59" s="13"/>
      <c r="L59" s="13"/>
      <c r="M59" s="77"/>
      <c r="N59" s="77"/>
      <c r="O59" s="28"/>
      <c r="P59" s="77"/>
      <c r="Q59" s="28"/>
      <c r="R59" s="28"/>
      <c r="S59" s="28"/>
      <c r="T59" s="28"/>
      <c r="U59" s="197"/>
      <c r="V59" s="197"/>
      <c r="W59" s="191"/>
      <c r="X59" s="191"/>
      <c r="Y59" s="191"/>
      <c r="Z59" s="191"/>
      <c r="AA59" s="191"/>
      <c r="AB59" s="191"/>
      <c r="AC59" s="191"/>
      <c r="AD59" s="199"/>
      <c r="AE59" s="191"/>
      <c r="AF59" s="191"/>
      <c r="AG59" s="191"/>
      <c r="AH59" s="191"/>
      <c r="AI59" s="191"/>
      <c r="AJ59" s="191"/>
      <c r="AK59" s="191"/>
      <c r="AL59" s="197"/>
      <c r="AM59" s="197"/>
    </row>
    <row r="60" spans="1:39" s="195" customFormat="1" ht="18" customHeight="1">
      <c r="A60" s="189"/>
      <c r="B60" s="189"/>
      <c r="C60" s="189"/>
      <c r="D60" s="77"/>
      <c r="E60" s="13"/>
      <c r="F60" s="13"/>
      <c r="G60" s="13"/>
      <c r="H60" s="13"/>
      <c r="I60" s="13"/>
      <c r="J60" s="13"/>
      <c r="K60" s="13"/>
      <c r="L60" s="13"/>
      <c r="M60" s="13"/>
      <c r="N60" s="77"/>
      <c r="O60" s="28"/>
      <c r="P60" s="77"/>
      <c r="Q60" s="28"/>
      <c r="R60" s="28"/>
      <c r="S60" s="28"/>
      <c r="T60" s="28"/>
      <c r="U60" s="28"/>
      <c r="V60" s="28"/>
      <c r="W60" s="14"/>
      <c r="X60" s="14"/>
      <c r="Y60" s="14"/>
      <c r="Z60" s="14"/>
      <c r="AA60" s="14"/>
      <c r="AB60" s="14"/>
      <c r="AC60" s="14"/>
      <c r="AD60" s="39"/>
      <c r="AE60" s="14"/>
      <c r="AF60" s="14"/>
      <c r="AG60" s="14"/>
      <c r="AH60" s="14"/>
      <c r="AI60" s="14"/>
      <c r="AJ60" s="191"/>
      <c r="AK60" s="191"/>
      <c r="AL60" s="197"/>
      <c r="AM60" s="197"/>
    </row>
    <row r="61" spans="1:39" s="195" customFormat="1" ht="18" customHeight="1">
      <c r="A61" s="189"/>
      <c r="B61" s="189"/>
      <c r="C61" s="189"/>
      <c r="D61" s="77"/>
      <c r="E61" s="13"/>
      <c r="F61" s="13"/>
      <c r="G61" s="13"/>
      <c r="H61" s="13"/>
      <c r="I61" s="13"/>
      <c r="J61" s="13"/>
      <c r="K61" s="13"/>
      <c r="L61" s="13"/>
      <c r="M61" s="13"/>
      <c r="N61" s="28"/>
      <c r="O61" s="28"/>
      <c r="P61" s="28"/>
      <c r="Q61" s="28"/>
      <c r="R61" s="28"/>
      <c r="S61" s="28"/>
      <c r="T61" s="14"/>
      <c r="U61" s="14"/>
      <c r="V61" s="14"/>
      <c r="W61" s="14"/>
      <c r="X61" s="14"/>
      <c r="Y61" s="14"/>
      <c r="Z61" s="14"/>
      <c r="AA61" s="39"/>
      <c r="AB61" s="14"/>
      <c r="AC61" s="14"/>
      <c r="AD61" s="14"/>
      <c r="AE61" s="14"/>
      <c r="AF61" s="14"/>
      <c r="AG61" s="14"/>
      <c r="AH61" s="14"/>
      <c r="AI61" s="28"/>
      <c r="AJ61" s="197"/>
    </row>
    <row r="62" spans="1:39" s="191" customFormat="1" ht="18" customHeight="1">
      <c r="A62" s="189"/>
      <c r="B62" s="189"/>
      <c r="C62" s="189"/>
      <c r="D62" s="34" t="s">
        <v>4493</v>
      </c>
      <c r="E62" s="14"/>
      <c r="F62" s="14"/>
      <c r="G62" s="14"/>
      <c r="H62" s="28"/>
      <c r="I62" s="28"/>
      <c r="J62" s="28"/>
      <c r="K62" s="28"/>
      <c r="L62" s="28"/>
      <c r="M62" s="28"/>
      <c r="N62" s="28"/>
      <c r="O62" s="28"/>
      <c r="P62" s="31"/>
      <c r="Q62" s="28"/>
      <c r="R62" s="28"/>
      <c r="S62" s="28"/>
      <c r="T62" s="32"/>
      <c r="U62" s="210"/>
      <c r="V62" s="210"/>
      <c r="W62" s="210"/>
      <c r="X62" s="210"/>
      <c r="Y62" s="210"/>
      <c r="Z62" s="212"/>
      <c r="AA62" s="211"/>
      <c r="AB62" s="209"/>
      <c r="AC62" s="209"/>
      <c r="AD62" s="209"/>
    </row>
    <row r="63" spans="1:39" s="191" customFormat="1" ht="18" customHeight="1">
      <c r="A63" s="187"/>
      <c r="B63" s="187"/>
      <c r="C63" s="188"/>
      <c r="D63" s="32"/>
      <c r="E63" s="53" t="s">
        <v>4531</v>
      </c>
      <c r="F63" s="14"/>
      <c r="G63" s="14"/>
      <c r="H63" s="14"/>
      <c r="I63" s="110"/>
      <c r="J63" s="110"/>
      <c r="K63" s="110"/>
      <c r="L63" s="110"/>
      <c r="M63" s="110"/>
      <c r="N63" s="28"/>
      <c r="O63" s="28"/>
      <c r="P63" s="31"/>
      <c r="Q63" s="28"/>
      <c r="R63" s="31"/>
      <c r="S63" s="31"/>
      <c r="T63" s="31"/>
      <c r="U63" s="200"/>
      <c r="V63" s="200"/>
      <c r="W63" s="200"/>
      <c r="X63" s="200"/>
      <c r="Y63" s="200"/>
      <c r="Z63" s="200"/>
      <c r="AA63" s="201"/>
      <c r="AB63" s="200"/>
      <c r="AC63" s="200"/>
      <c r="AD63" s="200"/>
      <c r="AE63" s="200"/>
    </row>
    <row r="64" spans="1:39" s="191" customFormat="1" ht="22.4" customHeight="1">
      <c r="A64" s="187"/>
      <c r="B64" s="187"/>
      <c r="C64" s="188"/>
      <c r="D64" s="32"/>
      <c r="E64" s="111"/>
      <c r="F64" s="99" t="s">
        <v>4285</v>
      </c>
      <c r="G64" s="99" t="s">
        <v>4278</v>
      </c>
      <c r="H64" s="31"/>
      <c r="I64" s="31"/>
      <c r="J64" s="31"/>
      <c r="K64" s="110"/>
      <c r="L64" s="14"/>
      <c r="M64" s="110"/>
      <c r="N64" s="28"/>
      <c r="O64" s="28"/>
      <c r="P64" s="31"/>
      <c r="Q64" s="28"/>
      <c r="R64" s="31"/>
      <c r="S64" s="31"/>
      <c r="T64" s="31"/>
      <c r="U64" s="200"/>
      <c r="V64" s="200"/>
      <c r="W64" s="200"/>
      <c r="X64" s="200"/>
      <c r="Y64" s="200"/>
      <c r="Z64" s="200"/>
      <c r="AA64" s="201"/>
      <c r="AB64" s="200"/>
      <c r="AC64" s="200"/>
      <c r="AD64" s="200"/>
      <c r="AE64" s="200"/>
    </row>
    <row r="65" spans="1:32" s="191" customFormat="1" ht="3" customHeight="1">
      <c r="A65" s="187"/>
      <c r="B65" s="187"/>
      <c r="C65" s="188"/>
      <c r="D65" s="32"/>
      <c r="E65" s="111"/>
      <c r="F65" s="99"/>
      <c r="G65" s="99"/>
      <c r="H65" s="31"/>
      <c r="I65" s="31"/>
      <c r="J65" s="31"/>
      <c r="K65" s="110"/>
      <c r="L65" s="110"/>
      <c r="M65" s="110"/>
      <c r="N65" s="28"/>
      <c r="O65" s="28"/>
      <c r="P65" s="31"/>
      <c r="Q65" s="28"/>
      <c r="R65" s="31"/>
      <c r="S65" s="31"/>
      <c r="T65" s="31"/>
      <c r="U65" s="200"/>
      <c r="V65" s="200"/>
      <c r="W65" s="200"/>
      <c r="X65" s="200"/>
      <c r="Y65" s="200"/>
      <c r="Z65" s="200"/>
      <c r="AA65" s="201"/>
      <c r="AB65" s="200"/>
      <c r="AC65" s="200"/>
      <c r="AD65" s="200"/>
      <c r="AE65" s="200"/>
    </row>
    <row r="66" spans="1:32" s="191" customFormat="1" ht="22.4" customHeight="1" thickBot="1">
      <c r="A66" s="187"/>
      <c r="B66" s="187"/>
      <c r="C66" s="284"/>
      <c r="D66" s="288"/>
      <c r="E66" s="14" t="str">
        <f>$AB$1+2&amp;"年度（第２年度）において、エネルギー起源二酸化炭素（CO₂）以外の温室効果ガスの排出がある場合はご入力ください。"</f>
        <v>2年度（第２年度）において、エネルギー起源二酸化炭素（CO₂）以外の温室効果ガスの排出がある場合はご入力ください。</v>
      </c>
      <c r="F66" s="14"/>
      <c r="G66" s="14"/>
      <c r="H66" s="285"/>
      <c r="I66" s="285"/>
      <c r="J66" s="285"/>
      <c r="K66" s="110"/>
      <c r="L66" s="110"/>
      <c r="M66" s="110"/>
      <c r="N66" s="28"/>
      <c r="O66" s="28"/>
      <c r="P66" s="285"/>
      <c r="Q66" s="28"/>
      <c r="R66" s="285"/>
      <c r="S66" s="285"/>
      <c r="T66" s="285"/>
      <c r="U66" s="286"/>
      <c r="V66" s="286"/>
      <c r="W66" s="286"/>
      <c r="X66" s="286"/>
      <c r="Y66" s="286"/>
      <c r="Z66" s="286"/>
      <c r="AA66" s="287"/>
      <c r="AB66" s="286"/>
      <c r="AC66" s="286"/>
      <c r="AD66" s="286"/>
      <c r="AE66" s="286"/>
    </row>
    <row r="67" spans="1:32" s="191" customFormat="1" ht="38.15" customHeight="1">
      <c r="A67" s="187"/>
      <c r="B67" s="190">
        <v>1</v>
      </c>
      <c r="D67" s="32"/>
      <c r="E67" s="164" t="s">
        <v>4220</v>
      </c>
      <c r="F67" s="162"/>
      <c r="G67" s="157" t="s">
        <v>4497</v>
      </c>
      <c r="H67" s="158"/>
      <c r="I67" s="159"/>
      <c r="J67" s="160"/>
      <c r="K67" s="165" t="s">
        <v>4287</v>
      </c>
      <c r="L67" s="157"/>
      <c r="M67" s="157"/>
      <c r="N67" s="157" t="s">
        <v>4288</v>
      </c>
      <c r="O67" s="159"/>
      <c r="P67" s="110"/>
      <c r="Q67" s="28"/>
      <c r="R67" s="28"/>
      <c r="S67" s="31"/>
      <c r="T67" s="28"/>
      <c r="U67" s="200"/>
      <c r="V67" s="200"/>
      <c r="W67" s="200"/>
      <c r="X67" s="200"/>
      <c r="Y67" s="200"/>
      <c r="Z67" s="200"/>
      <c r="AA67" s="200"/>
      <c r="AB67" s="200"/>
      <c r="AC67" s="200"/>
      <c r="AD67" s="201"/>
      <c r="AE67" s="200"/>
      <c r="AF67" s="200"/>
    </row>
    <row r="68" spans="1:32" s="191" customFormat="1" ht="18" customHeight="1">
      <c r="A68" s="187"/>
      <c r="B68" s="187"/>
      <c r="C68" s="188"/>
      <c r="D68" s="32"/>
      <c r="E68" s="61" t="s">
        <v>4498</v>
      </c>
      <c r="F68" s="62"/>
      <c r="G68" s="815"/>
      <c r="H68" s="816"/>
      <c r="I68" s="816"/>
      <c r="J68" s="816"/>
      <c r="K68" s="880"/>
      <c r="L68" s="881"/>
      <c r="M68" s="882"/>
      <c r="N68" s="902"/>
      <c r="O68" s="903"/>
      <c r="P68" s="31"/>
      <c r="Q68" s="28"/>
      <c r="R68" s="28"/>
      <c r="S68" s="31"/>
      <c r="T68" s="28"/>
      <c r="U68" s="200"/>
      <c r="V68" s="200"/>
      <c r="W68" s="200"/>
      <c r="X68" s="200"/>
      <c r="Y68" s="200"/>
      <c r="Z68" s="200"/>
      <c r="AA68" s="200"/>
      <c r="AB68" s="200"/>
      <c r="AC68" s="200"/>
      <c r="AD68" s="201"/>
      <c r="AE68" s="200"/>
      <c r="AF68" s="200"/>
    </row>
    <row r="69" spans="1:32" s="191" customFormat="1" ht="18" customHeight="1">
      <c r="A69" s="187"/>
      <c r="B69" s="187"/>
      <c r="C69" s="188"/>
      <c r="D69" s="32"/>
      <c r="E69" s="63" t="s">
        <v>4171</v>
      </c>
      <c r="F69" s="64"/>
      <c r="G69" s="869"/>
      <c r="H69" s="870"/>
      <c r="I69" s="870"/>
      <c r="J69" s="870"/>
      <c r="K69" s="855"/>
      <c r="L69" s="856"/>
      <c r="M69" s="857"/>
      <c r="N69" s="878"/>
      <c r="O69" s="879"/>
      <c r="P69" s="31"/>
      <c r="Q69" s="28"/>
      <c r="R69" s="28"/>
      <c r="S69" s="31"/>
      <c r="T69" s="28"/>
      <c r="U69" s="200"/>
      <c r="V69" s="200"/>
      <c r="W69" s="200"/>
      <c r="X69" s="200"/>
      <c r="Y69" s="200"/>
      <c r="Z69" s="200"/>
      <c r="AA69" s="200"/>
      <c r="AB69" s="200"/>
      <c r="AC69" s="200"/>
      <c r="AD69" s="201"/>
      <c r="AE69" s="200"/>
      <c r="AF69" s="200"/>
    </row>
    <row r="70" spans="1:32" s="191" customFormat="1" ht="18" customHeight="1">
      <c r="A70" s="187"/>
      <c r="B70" s="187"/>
      <c r="C70" s="188"/>
      <c r="D70" s="32"/>
      <c r="E70" s="63" t="s">
        <v>4172</v>
      </c>
      <c r="F70" s="64"/>
      <c r="G70" s="869"/>
      <c r="H70" s="870"/>
      <c r="I70" s="870"/>
      <c r="J70" s="870"/>
      <c r="K70" s="855"/>
      <c r="L70" s="856"/>
      <c r="M70" s="857"/>
      <c r="N70" s="878"/>
      <c r="O70" s="879"/>
      <c r="P70" s="31"/>
      <c r="Q70" s="28"/>
      <c r="R70" s="28"/>
      <c r="S70" s="31"/>
      <c r="T70" s="28"/>
      <c r="U70" s="200"/>
      <c r="V70" s="200"/>
      <c r="W70" s="200"/>
      <c r="X70" s="200"/>
      <c r="Y70" s="200"/>
      <c r="Z70" s="200"/>
      <c r="AA70" s="200"/>
      <c r="AB70" s="200"/>
      <c r="AC70" s="200"/>
      <c r="AD70" s="201"/>
      <c r="AE70" s="200"/>
      <c r="AF70" s="200"/>
    </row>
    <row r="71" spans="1:32" s="191" customFormat="1" ht="18" customHeight="1">
      <c r="A71" s="187"/>
      <c r="B71" s="187"/>
      <c r="C71" s="188"/>
      <c r="D71" s="32"/>
      <c r="E71" s="63" t="s">
        <v>95</v>
      </c>
      <c r="F71" s="64"/>
      <c r="G71" s="869"/>
      <c r="H71" s="870"/>
      <c r="I71" s="870"/>
      <c r="J71" s="870"/>
      <c r="K71" s="855"/>
      <c r="L71" s="856"/>
      <c r="M71" s="857"/>
      <c r="N71" s="878"/>
      <c r="O71" s="879"/>
      <c r="P71" s="31"/>
      <c r="Q71" s="28"/>
      <c r="R71" s="28"/>
      <c r="S71" s="31"/>
      <c r="T71" s="28"/>
      <c r="U71" s="200"/>
      <c r="V71" s="200"/>
      <c r="W71" s="200"/>
      <c r="X71" s="200"/>
      <c r="Y71" s="200"/>
      <c r="Z71" s="200"/>
      <c r="AA71" s="200"/>
      <c r="AB71" s="200"/>
      <c r="AC71" s="200"/>
      <c r="AD71" s="201"/>
      <c r="AE71" s="200"/>
      <c r="AF71" s="200"/>
    </row>
    <row r="72" spans="1:32" s="191" customFormat="1" ht="18" customHeight="1">
      <c r="A72" s="187"/>
      <c r="B72" s="187"/>
      <c r="C72" s="188"/>
      <c r="D72" s="32"/>
      <c r="E72" s="63" t="s">
        <v>96</v>
      </c>
      <c r="F72" s="64"/>
      <c r="G72" s="869"/>
      <c r="H72" s="870"/>
      <c r="I72" s="870"/>
      <c r="J72" s="870"/>
      <c r="K72" s="855"/>
      <c r="L72" s="856"/>
      <c r="M72" s="857"/>
      <c r="N72" s="878"/>
      <c r="O72" s="879"/>
      <c r="P72" s="31"/>
      <c r="Q72" s="28"/>
      <c r="R72" s="28"/>
      <c r="S72" s="31"/>
      <c r="T72" s="28"/>
      <c r="U72" s="200"/>
      <c r="V72" s="200"/>
      <c r="W72" s="200"/>
      <c r="X72" s="200"/>
      <c r="Y72" s="200"/>
      <c r="Z72" s="200"/>
      <c r="AA72" s="200"/>
      <c r="AB72" s="200"/>
      <c r="AC72" s="200"/>
      <c r="AD72" s="201"/>
      <c r="AE72" s="200"/>
      <c r="AF72" s="200"/>
    </row>
    <row r="73" spans="1:32" s="191" customFormat="1" ht="18" customHeight="1">
      <c r="A73" s="187"/>
      <c r="B73" s="187"/>
      <c r="C73" s="188"/>
      <c r="D73" s="32"/>
      <c r="E73" s="63" t="s">
        <v>4173</v>
      </c>
      <c r="F73" s="64"/>
      <c r="G73" s="869"/>
      <c r="H73" s="870"/>
      <c r="I73" s="870"/>
      <c r="J73" s="870"/>
      <c r="K73" s="855"/>
      <c r="L73" s="856"/>
      <c r="M73" s="857"/>
      <c r="N73" s="878"/>
      <c r="O73" s="879"/>
      <c r="P73" s="31"/>
      <c r="Q73" s="31"/>
      <c r="R73" s="31"/>
      <c r="S73" s="31"/>
      <c r="T73" s="31"/>
      <c r="U73" s="200"/>
      <c r="V73" s="200"/>
      <c r="W73" s="200"/>
      <c r="X73" s="200"/>
      <c r="Y73" s="200"/>
      <c r="Z73" s="200"/>
      <c r="AA73" s="200"/>
      <c r="AB73" s="200"/>
      <c r="AC73" s="200"/>
      <c r="AD73" s="201"/>
      <c r="AE73" s="200"/>
      <c r="AF73" s="200"/>
    </row>
    <row r="74" spans="1:32" s="191" customFormat="1" ht="18" customHeight="1" thickBot="1">
      <c r="A74" s="187"/>
      <c r="B74" s="187"/>
      <c r="C74" s="188"/>
      <c r="D74" s="32"/>
      <c r="E74" s="65" t="s">
        <v>4174</v>
      </c>
      <c r="F74" s="66"/>
      <c r="G74" s="838"/>
      <c r="H74" s="839"/>
      <c r="I74" s="839"/>
      <c r="J74" s="839"/>
      <c r="K74" s="810"/>
      <c r="L74" s="811"/>
      <c r="M74" s="812"/>
      <c r="N74" s="813"/>
      <c r="O74" s="814"/>
      <c r="P74" s="31"/>
      <c r="Q74" s="31"/>
      <c r="R74" s="31"/>
      <c r="S74" s="31"/>
      <c r="T74" s="31"/>
      <c r="U74" s="200"/>
      <c r="V74" s="200"/>
      <c r="W74" s="200"/>
      <c r="X74" s="200"/>
      <c r="Y74" s="200"/>
      <c r="Z74" s="200"/>
      <c r="AA74" s="200"/>
      <c r="AB74" s="200"/>
      <c r="AC74" s="200"/>
      <c r="AD74" s="201"/>
      <c r="AE74" s="200"/>
      <c r="AF74" s="200"/>
    </row>
    <row r="75" spans="1:32" s="191" customFormat="1" ht="18" customHeight="1">
      <c r="A75" s="187"/>
      <c r="B75" s="187"/>
      <c r="C75" s="188"/>
      <c r="D75" s="32"/>
      <c r="E75" s="28"/>
      <c r="F75" s="28"/>
      <c r="G75" s="28"/>
      <c r="H75" s="28"/>
      <c r="I75" s="31"/>
      <c r="J75" s="31"/>
      <c r="K75" s="31"/>
      <c r="L75" s="31"/>
      <c r="M75" s="31"/>
      <c r="N75" s="31"/>
      <c r="O75" s="29" t="s">
        <v>4375</v>
      </c>
      <c r="P75" s="31"/>
      <c r="Q75" s="31"/>
      <c r="R75" s="31"/>
      <c r="S75" s="31"/>
      <c r="T75" s="31"/>
      <c r="U75" s="200"/>
      <c r="V75" s="200"/>
      <c r="W75" s="200"/>
      <c r="X75" s="200"/>
      <c r="Y75" s="200"/>
      <c r="Z75" s="200"/>
      <c r="AA75" s="201"/>
      <c r="AB75" s="200"/>
      <c r="AC75" s="200"/>
    </row>
    <row r="76" spans="1:32" s="191" customFormat="1" ht="18" customHeight="1">
      <c r="A76" s="187"/>
      <c r="B76" s="187"/>
      <c r="C76" s="188"/>
      <c r="D76" s="32"/>
      <c r="E76" s="28"/>
      <c r="F76" s="28"/>
      <c r="G76" s="28"/>
      <c r="H76" s="28"/>
      <c r="I76" s="31"/>
      <c r="J76" s="31"/>
      <c r="K76" s="31"/>
      <c r="L76" s="31"/>
      <c r="M76" s="31"/>
      <c r="N76" s="31"/>
      <c r="O76" s="31"/>
      <c r="P76" s="31"/>
      <c r="Q76" s="31"/>
      <c r="R76" s="31"/>
      <c r="S76" s="31"/>
      <c r="T76" s="31"/>
      <c r="U76" s="200"/>
      <c r="V76" s="200"/>
      <c r="W76" s="200"/>
      <c r="X76" s="200"/>
      <c r="Y76" s="200"/>
      <c r="Z76" s="200"/>
      <c r="AA76" s="201"/>
      <c r="AB76" s="200"/>
      <c r="AC76" s="200"/>
    </row>
    <row r="77" spans="1:32" s="191" customFormat="1" ht="18" customHeight="1">
      <c r="A77" s="187"/>
      <c r="B77" s="187"/>
      <c r="C77" s="188"/>
      <c r="D77" s="34" t="s">
        <v>4230</v>
      </c>
      <c r="E77" s="14"/>
      <c r="F77" s="14"/>
      <c r="G77" s="105"/>
      <c r="H77" s="105"/>
      <c r="I77" s="112"/>
      <c r="J77" s="112"/>
      <c r="K77" s="31"/>
      <c r="L77" s="31"/>
      <c r="M77" s="31"/>
      <c r="N77" s="31"/>
      <c r="O77" s="31"/>
      <c r="P77" s="31"/>
      <c r="Q77" s="31"/>
      <c r="R77" s="31"/>
      <c r="S77" s="31"/>
      <c r="T77" s="31"/>
      <c r="U77" s="200"/>
      <c r="V77" s="200"/>
      <c r="W77" s="200"/>
      <c r="X77" s="200"/>
      <c r="Y77" s="200"/>
      <c r="Z77" s="200"/>
      <c r="AA77" s="201"/>
      <c r="AB77" s="200"/>
      <c r="AC77" s="200"/>
      <c r="AD77" s="200"/>
      <c r="AE77" s="200"/>
    </row>
    <row r="78" spans="1:32" s="191" customFormat="1" ht="18" customHeight="1">
      <c r="A78" s="187"/>
      <c r="B78" s="187"/>
      <c r="C78" s="188"/>
      <c r="D78" s="14"/>
      <c r="E78" s="16" t="s">
        <v>4302</v>
      </c>
      <c r="F78" s="14"/>
      <c r="G78" s="14"/>
      <c r="H78" s="14"/>
      <c r="I78" s="14"/>
      <c r="J78" s="14"/>
      <c r="K78" s="14"/>
      <c r="L78" s="14"/>
      <c r="M78" s="14"/>
      <c r="N78" s="14"/>
      <c r="O78" s="14"/>
      <c r="P78" s="31"/>
      <c r="Q78" s="31"/>
      <c r="R78" s="31"/>
      <c r="S78" s="31"/>
      <c r="T78" s="31"/>
      <c r="U78" s="200"/>
      <c r="V78" s="200"/>
      <c r="W78" s="200"/>
      <c r="X78" s="200"/>
      <c r="Y78" s="200"/>
      <c r="Z78" s="200"/>
      <c r="AA78" s="201"/>
      <c r="AB78" s="200"/>
      <c r="AC78" s="200"/>
      <c r="AD78" s="200"/>
      <c r="AE78" s="200"/>
    </row>
    <row r="79" spans="1:32" s="191" customFormat="1" ht="22.4" customHeight="1">
      <c r="A79" s="187"/>
      <c r="B79" s="187"/>
      <c r="C79" s="188"/>
      <c r="D79" s="14"/>
      <c r="E79" s="14"/>
      <c r="F79" s="99" t="s">
        <v>4285</v>
      </c>
      <c r="G79" s="99" t="s">
        <v>4278</v>
      </c>
      <c r="H79" s="14"/>
      <c r="I79" s="14"/>
      <c r="J79" s="14"/>
      <c r="K79" s="14"/>
      <c r="L79" s="14"/>
      <c r="M79" s="14"/>
      <c r="N79" s="14"/>
      <c r="O79" s="14"/>
      <c r="P79" s="31"/>
      <c r="Q79" s="31"/>
      <c r="R79" s="31"/>
      <c r="S79" s="31"/>
      <c r="T79" s="31"/>
      <c r="U79" s="200"/>
      <c r="V79" s="200"/>
      <c r="W79" s="200"/>
      <c r="X79" s="200"/>
      <c r="Y79" s="200"/>
      <c r="Z79" s="200"/>
      <c r="AA79" s="201"/>
      <c r="AB79" s="200"/>
      <c r="AC79" s="200"/>
      <c r="AD79" s="200"/>
      <c r="AE79" s="200"/>
    </row>
    <row r="80" spans="1:32" s="191" customFormat="1" ht="3" customHeight="1">
      <c r="A80" s="187"/>
      <c r="B80" s="187"/>
      <c r="C80" s="188"/>
      <c r="D80" s="14"/>
      <c r="E80" s="14"/>
      <c r="F80" s="99"/>
      <c r="G80" s="99"/>
      <c r="H80" s="14"/>
      <c r="I80" s="14"/>
      <c r="J80" s="14"/>
      <c r="K80" s="14"/>
      <c r="L80" s="14"/>
      <c r="M80" s="14"/>
      <c r="N80" s="14"/>
      <c r="O80" s="14"/>
      <c r="P80" s="31"/>
      <c r="Q80" s="31"/>
      <c r="R80" s="31"/>
      <c r="S80" s="31"/>
      <c r="T80" s="31"/>
      <c r="U80" s="200"/>
      <c r="V80" s="200"/>
      <c r="W80" s="200"/>
      <c r="X80" s="200"/>
      <c r="Y80" s="200"/>
      <c r="Z80" s="200"/>
      <c r="AA80" s="201"/>
      <c r="AB80" s="200"/>
      <c r="AC80" s="200"/>
      <c r="AD80" s="200"/>
      <c r="AE80" s="200"/>
    </row>
    <row r="81" spans="1:49" s="191" customFormat="1" ht="22.4" customHeight="1">
      <c r="A81" s="187"/>
      <c r="B81" s="187"/>
      <c r="C81" s="284"/>
      <c r="D81" s="14"/>
      <c r="E81" s="14" t="str">
        <f>$AB$1+2&amp;"年度（第２年度）において、クレジット等による排出量の削減を行った場合はご入力ください。"</f>
        <v>2年度（第２年度）において、クレジット等による排出量の削減を行った場合はご入力ください。</v>
      </c>
      <c r="F81" s="14"/>
      <c r="G81" s="14"/>
      <c r="H81" s="14"/>
      <c r="I81" s="14"/>
      <c r="J81" s="14"/>
      <c r="K81" s="14"/>
      <c r="L81" s="14"/>
      <c r="M81" s="14"/>
      <c r="N81" s="14"/>
      <c r="O81" s="14"/>
      <c r="P81" s="285"/>
      <c r="Q81" s="285"/>
      <c r="R81" s="285"/>
      <c r="S81" s="285"/>
      <c r="T81" s="285"/>
      <c r="U81" s="286"/>
      <c r="V81" s="286"/>
      <c r="W81" s="286"/>
      <c r="X81" s="286"/>
      <c r="Y81" s="286"/>
      <c r="Z81" s="286"/>
      <c r="AA81" s="287"/>
      <c r="AB81" s="286"/>
      <c r="AC81" s="286"/>
      <c r="AD81" s="286"/>
      <c r="AE81" s="286"/>
    </row>
    <row r="82" spans="1:49" s="191" customFormat="1" ht="22.25" customHeight="1">
      <c r="A82" s="187"/>
      <c r="B82" s="187"/>
      <c r="C82" s="284"/>
      <c r="D82" s="14"/>
      <c r="E82" s="863" t="s">
        <v>4303</v>
      </c>
      <c r="F82" s="863"/>
      <c r="G82" s="863"/>
      <c r="H82" s="863"/>
      <c r="I82" s="863"/>
      <c r="J82" s="863"/>
      <c r="K82" s="863"/>
      <c r="L82" s="130"/>
      <c r="M82" s="14"/>
      <c r="N82" s="14"/>
      <c r="O82" s="14"/>
      <c r="P82" s="285"/>
      <c r="Q82" s="285"/>
      <c r="R82" s="285"/>
      <c r="S82" s="285"/>
      <c r="T82" s="113"/>
      <c r="U82" s="286"/>
      <c r="V82" s="286"/>
      <c r="W82" s="286"/>
      <c r="X82" s="286"/>
      <c r="Y82" s="286"/>
      <c r="Z82" s="286"/>
      <c r="AA82" s="287"/>
      <c r="AB82" s="286"/>
      <c r="AC82" s="286"/>
      <c r="AD82" s="286"/>
      <c r="AE82" s="286"/>
    </row>
    <row r="83" spans="1:49" s="191" customFormat="1" ht="22.25" customHeight="1" thickBot="1">
      <c r="A83" s="187"/>
      <c r="B83" s="187"/>
      <c r="C83" s="284"/>
      <c r="D83" s="23"/>
      <c r="E83" s="14" t="s">
        <v>4367</v>
      </c>
      <c r="F83"/>
      <c r="G83"/>
      <c r="H83"/>
      <c r="I83"/>
      <c r="J83"/>
      <c r="K83"/>
      <c r="L83"/>
      <c r="M83"/>
      <c r="N83" s="285"/>
      <c r="O83" s="285"/>
      <c r="P83" s="285"/>
      <c r="Q83" s="285"/>
      <c r="R83" s="285"/>
      <c r="S83" s="285"/>
      <c r="T83" s="285"/>
      <c r="U83" s="286"/>
      <c r="V83" s="286"/>
      <c r="W83" s="286"/>
      <c r="X83" s="286"/>
      <c r="Y83" s="286"/>
      <c r="Z83" s="286"/>
      <c r="AA83" s="286"/>
      <c r="AB83" s="287"/>
      <c r="AC83" s="286"/>
      <c r="AD83" s="286"/>
    </row>
    <row r="84" spans="1:49" s="191" customFormat="1" ht="38" customHeight="1">
      <c r="A84" s="187"/>
      <c r="B84" s="187"/>
      <c r="C84" s="188"/>
      <c r="D84" s="32"/>
      <c r="E84" s="840" t="s">
        <v>4221</v>
      </c>
      <c r="F84" s="841"/>
      <c r="G84" s="864" t="s">
        <v>4527</v>
      </c>
      <c r="H84" s="865"/>
      <c r="I84" s="866"/>
      <c r="J84" s="31"/>
      <c r="K84" s="31"/>
      <c r="L84" s="31"/>
      <c r="M84" s="31"/>
      <c r="N84" s="14"/>
      <c r="O84" s="31"/>
      <c r="P84" s="31"/>
      <c r="Q84" s="31"/>
      <c r="R84" s="31"/>
      <c r="S84" s="31"/>
      <c r="T84" s="31"/>
      <c r="U84" s="200"/>
      <c r="V84" s="200"/>
      <c r="W84" s="200"/>
      <c r="X84" s="200"/>
      <c r="Y84" s="200"/>
      <c r="Z84" s="200"/>
      <c r="AA84" s="200"/>
      <c r="AB84" s="201"/>
      <c r="AC84" s="200"/>
      <c r="AD84" s="200"/>
    </row>
    <row r="85" spans="1:49" s="191" customFormat="1" ht="18" customHeight="1">
      <c r="A85" s="187"/>
      <c r="B85" s="187"/>
      <c r="C85" s="188"/>
      <c r="D85" s="32"/>
      <c r="E85" s="867"/>
      <c r="F85" s="868"/>
      <c r="G85" s="815"/>
      <c r="H85" s="816"/>
      <c r="I85" s="817"/>
      <c r="J85" s="31"/>
      <c r="K85" s="31"/>
      <c r="L85" s="31"/>
      <c r="M85" s="31"/>
      <c r="N85" s="31"/>
      <c r="O85" s="31"/>
      <c r="P85" s="31"/>
      <c r="Q85" s="31"/>
      <c r="R85" s="31"/>
      <c r="S85" s="31"/>
      <c r="T85" s="31"/>
      <c r="U85" s="200"/>
      <c r="V85" s="200"/>
      <c r="W85" s="200"/>
      <c r="X85" s="200"/>
      <c r="Y85" s="200"/>
      <c r="Z85" s="200"/>
      <c r="AA85" s="200"/>
      <c r="AB85" s="201"/>
      <c r="AC85" s="200"/>
      <c r="AD85" s="200"/>
    </row>
    <row r="86" spans="1:49" s="191" customFormat="1" ht="18" customHeight="1">
      <c r="A86" s="187"/>
      <c r="B86" s="187"/>
      <c r="C86" s="188"/>
      <c r="D86" s="32"/>
      <c r="E86" s="861"/>
      <c r="F86" s="862"/>
      <c r="G86" s="869"/>
      <c r="H86" s="870"/>
      <c r="I86" s="871"/>
      <c r="J86" s="31"/>
      <c r="K86" s="31"/>
      <c r="L86" s="31"/>
      <c r="M86" s="31"/>
      <c r="N86" s="31"/>
      <c r="O86" s="31"/>
      <c r="P86" s="31"/>
      <c r="Q86" s="31"/>
      <c r="R86" s="31"/>
      <c r="S86" s="31"/>
      <c r="T86" s="31"/>
      <c r="U86" s="200"/>
      <c r="V86" s="200"/>
      <c r="W86" s="200"/>
      <c r="X86" s="200"/>
      <c r="Y86" s="200"/>
      <c r="Z86" s="200"/>
      <c r="AA86" s="200"/>
      <c r="AB86" s="201"/>
      <c r="AC86" s="200"/>
      <c r="AD86" s="200"/>
    </row>
    <row r="87" spans="1:49" s="191" customFormat="1" ht="18" customHeight="1">
      <c r="A87" s="187"/>
      <c r="B87" s="187"/>
      <c r="C87" s="188"/>
      <c r="D87" s="32"/>
      <c r="E87" s="861"/>
      <c r="F87" s="862"/>
      <c r="G87" s="869"/>
      <c r="H87" s="870"/>
      <c r="I87" s="871"/>
      <c r="J87" s="31"/>
      <c r="K87" s="31"/>
      <c r="L87" s="31"/>
      <c r="M87" s="31"/>
      <c r="N87" s="31"/>
      <c r="O87" s="31"/>
      <c r="P87" s="31"/>
      <c r="Q87" s="31"/>
      <c r="R87" s="31"/>
      <c r="S87" s="31"/>
      <c r="T87" s="31"/>
      <c r="U87" s="200"/>
      <c r="V87" s="200"/>
      <c r="W87" s="200"/>
      <c r="X87" s="200"/>
      <c r="Y87" s="200"/>
      <c r="Z87" s="200"/>
      <c r="AA87" s="200"/>
      <c r="AB87" s="201"/>
      <c r="AC87" s="200"/>
      <c r="AD87" s="200"/>
    </row>
    <row r="88" spans="1:49" s="191" customFormat="1" ht="18" customHeight="1">
      <c r="A88" s="187"/>
      <c r="B88" s="187"/>
      <c r="C88" s="188"/>
      <c r="D88" s="32"/>
      <c r="E88" s="861"/>
      <c r="F88" s="862"/>
      <c r="G88" s="869"/>
      <c r="H88" s="870"/>
      <c r="I88" s="871"/>
      <c r="J88" s="31"/>
      <c r="K88" s="31"/>
      <c r="L88" s="31"/>
      <c r="M88" s="31"/>
      <c r="N88" s="31"/>
      <c r="O88" s="31"/>
      <c r="P88" s="31"/>
      <c r="Q88" s="31"/>
      <c r="R88" s="31"/>
      <c r="S88" s="31"/>
      <c r="T88" s="31"/>
      <c r="U88" s="200"/>
      <c r="V88" s="200"/>
      <c r="W88" s="200"/>
      <c r="X88" s="200"/>
      <c r="Y88" s="200"/>
      <c r="Z88" s="200"/>
      <c r="AA88" s="200"/>
      <c r="AB88" s="201"/>
      <c r="AC88" s="200"/>
      <c r="AD88" s="200"/>
    </row>
    <row r="89" spans="1:49" s="191" customFormat="1" ht="18" customHeight="1">
      <c r="A89" s="187"/>
      <c r="B89" s="187"/>
      <c r="C89" s="188"/>
      <c r="D89" s="32"/>
      <c r="E89" s="861"/>
      <c r="F89" s="862"/>
      <c r="G89" s="869"/>
      <c r="H89" s="870"/>
      <c r="I89" s="871"/>
      <c r="J89" s="31"/>
      <c r="K89" s="31"/>
      <c r="L89" s="31"/>
      <c r="M89" s="31"/>
      <c r="N89" s="31"/>
      <c r="O89" s="31"/>
      <c r="P89" s="31"/>
      <c r="Q89" s="31"/>
      <c r="R89" s="31"/>
      <c r="S89" s="31"/>
      <c r="T89" s="31"/>
      <c r="U89" s="200"/>
      <c r="V89" s="200"/>
      <c r="W89" s="200"/>
      <c r="X89" s="200"/>
      <c r="Y89" s="200"/>
      <c r="Z89" s="200"/>
      <c r="AA89" s="200"/>
      <c r="AB89" s="201"/>
      <c r="AC89" s="200"/>
      <c r="AD89" s="200"/>
    </row>
    <row r="90" spans="1:49" s="191" customFormat="1" ht="18" customHeight="1">
      <c r="A90" s="187"/>
      <c r="B90" s="187"/>
      <c r="C90" s="188"/>
      <c r="D90" s="32"/>
      <c r="E90" s="861"/>
      <c r="F90" s="862"/>
      <c r="G90" s="869"/>
      <c r="H90" s="870"/>
      <c r="I90" s="871"/>
      <c r="J90" s="31"/>
      <c r="K90" s="31"/>
      <c r="L90" s="31"/>
      <c r="M90" s="31"/>
      <c r="N90" s="31"/>
      <c r="O90" s="31"/>
      <c r="P90" s="31"/>
      <c r="Q90" s="31"/>
      <c r="R90" s="31"/>
      <c r="S90" s="31"/>
      <c r="T90" s="31"/>
      <c r="U90" s="200"/>
      <c r="V90" s="200"/>
      <c r="W90" s="200"/>
      <c r="X90" s="200"/>
      <c r="Y90" s="200"/>
      <c r="Z90" s="200"/>
      <c r="AA90" s="200"/>
      <c r="AB90" s="201"/>
      <c r="AC90" s="200"/>
      <c r="AD90" s="200"/>
    </row>
    <row r="91" spans="1:49" s="191" customFormat="1" ht="18" customHeight="1" thickBot="1">
      <c r="A91" s="187"/>
      <c r="B91" s="187"/>
      <c r="C91" s="188"/>
      <c r="D91" s="32"/>
      <c r="E91" s="859"/>
      <c r="F91" s="860"/>
      <c r="G91" s="838"/>
      <c r="H91" s="839"/>
      <c r="I91" s="858"/>
      <c r="J91" s="31"/>
      <c r="K91" s="31"/>
      <c r="L91" s="31"/>
      <c r="M91" s="31"/>
      <c r="N91" s="31"/>
      <c r="O91" s="31"/>
      <c r="P91" s="31"/>
      <c r="Q91" s="31"/>
      <c r="R91" s="31"/>
      <c r="S91" s="31"/>
      <c r="T91" s="31"/>
      <c r="U91" s="200"/>
      <c r="V91" s="200"/>
      <c r="W91" s="200"/>
      <c r="X91" s="200"/>
      <c r="Y91" s="200"/>
      <c r="Z91" s="200"/>
      <c r="AA91" s="201"/>
      <c r="AB91" s="200"/>
      <c r="AC91" s="200"/>
    </row>
    <row r="92" spans="1:49" s="191" customFormat="1" ht="36" customHeight="1">
      <c r="A92" s="187"/>
      <c r="B92" s="187"/>
      <c r="C92" s="188"/>
      <c r="D92" s="32"/>
      <c r="E92" s="31"/>
      <c r="F92" s="31"/>
      <c r="G92" s="31"/>
      <c r="H92" s="31"/>
      <c r="I92" s="31"/>
      <c r="J92" s="31"/>
      <c r="K92" s="31"/>
      <c r="L92" s="31"/>
      <c r="M92" s="31"/>
      <c r="N92" s="31"/>
      <c r="O92" s="31"/>
      <c r="P92" s="31"/>
      <c r="Q92" s="31"/>
      <c r="R92" s="31"/>
      <c r="S92" s="31"/>
      <c r="T92" s="31"/>
      <c r="U92" s="200"/>
      <c r="V92" s="200"/>
      <c r="W92" s="200"/>
      <c r="X92" s="200"/>
      <c r="Y92" s="200"/>
      <c r="Z92" s="200"/>
      <c r="AA92" s="201"/>
      <c r="AB92" s="200"/>
      <c r="AC92" s="200"/>
      <c r="AD92" s="200"/>
      <c r="AE92" s="200"/>
    </row>
    <row r="93" spans="1:49" s="191" customFormat="1" ht="18" customHeight="1">
      <c r="A93" s="187"/>
      <c r="B93" s="187"/>
      <c r="C93" s="188"/>
      <c r="D93" s="52" t="s">
        <v>4345</v>
      </c>
      <c r="E93" s="14"/>
      <c r="F93" s="14"/>
      <c r="G93" s="14"/>
      <c r="H93" s="14"/>
      <c r="I93" s="14"/>
      <c r="J93" s="14"/>
      <c r="K93" s="14"/>
      <c r="L93" s="14"/>
      <c r="M93" s="14"/>
      <c r="N93" s="14"/>
      <c r="O93" s="14"/>
      <c r="P93" s="14"/>
      <c r="Q93" s="14"/>
      <c r="R93" s="14"/>
      <c r="S93" s="31"/>
      <c r="T93" s="31"/>
      <c r="U93" s="200"/>
      <c r="V93" s="200"/>
      <c r="W93" s="200"/>
      <c r="X93" s="200"/>
      <c r="Y93" s="200"/>
      <c r="Z93" s="200"/>
      <c r="AA93" s="201"/>
      <c r="AB93" s="200"/>
      <c r="AC93" s="200"/>
      <c r="AD93" s="200"/>
    </row>
    <row r="94" spans="1:49" s="191" customFormat="1" ht="18" customHeight="1" thickBot="1">
      <c r="A94" s="187"/>
      <c r="B94" s="187"/>
      <c r="C94" s="188"/>
      <c r="D94" s="14"/>
      <c r="E94" s="16" t="s">
        <v>4252</v>
      </c>
      <c r="F94" s="14"/>
      <c r="G94" s="14"/>
      <c r="H94" s="14"/>
      <c r="I94" s="79"/>
      <c r="J94" s="14"/>
      <c r="K94" s="14"/>
      <c r="L94" s="14"/>
      <c r="M94" s="131"/>
      <c r="N94" s="41"/>
      <c r="O94" s="963"/>
      <c r="P94" s="963"/>
      <c r="Q94" s="963"/>
      <c r="R94" s="31"/>
      <c r="S94" s="31"/>
      <c r="T94" s="31"/>
      <c r="U94" s="200"/>
      <c r="V94" s="200"/>
      <c r="AA94" s="199"/>
    </row>
    <row r="95" spans="1:49" s="191" customFormat="1" ht="38.15" customHeight="1">
      <c r="A95" s="187"/>
      <c r="B95" s="187"/>
      <c r="C95" s="188"/>
      <c r="D95" s="32"/>
      <c r="E95" s="164" t="s">
        <v>100</v>
      </c>
      <c r="F95" s="246"/>
      <c r="G95" s="247"/>
      <c r="H95" s="247"/>
      <c r="I95" s="247"/>
      <c r="J95" s="31"/>
      <c r="K95" s="31"/>
      <c r="L95" s="31"/>
      <c r="M95" s="31"/>
      <c r="N95" s="31"/>
      <c r="O95" s="31"/>
      <c r="P95" s="14"/>
      <c r="Q95" s="31"/>
      <c r="R95" s="31"/>
      <c r="S95" s="31"/>
      <c r="T95" s="31"/>
      <c r="U95" s="200"/>
      <c r="V95" s="200"/>
      <c r="W95" s="200"/>
      <c r="X95" s="200"/>
      <c r="Y95" s="200"/>
      <c r="Z95" s="200"/>
      <c r="AA95" s="200"/>
      <c r="AB95" s="201"/>
      <c r="AC95" s="200"/>
      <c r="AD95" s="200"/>
      <c r="AW95" s="187"/>
    </row>
    <row r="96" spans="1:49" s="191" customFormat="1" ht="18" customHeight="1">
      <c r="A96" s="187"/>
      <c r="B96" s="187"/>
      <c r="C96" s="188"/>
      <c r="D96" s="32"/>
      <c r="E96" s="71" t="s">
        <v>67</v>
      </c>
      <c r="F96" s="72"/>
      <c r="G96" s="948" t="str">
        <f>'入力シート（計画書）'!G96&amp;""</f>
        <v/>
      </c>
      <c r="H96" s="949"/>
      <c r="I96" s="950"/>
      <c r="J96" s="31"/>
      <c r="K96" s="31"/>
      <c r="L96" s="31"/>
      <c r="M96" s="31"/>
      <c r="N96" s="31"/>
      <c r="O96" s="31"/>
      <c r="P96" s="31"/>
      <c r="Q96" s="31"/>
      <c r="R96" s="31"/>
      <c r="S96" s="31"/>
      <c r="T96" s="31"/>
      <c r="U96" s="200"/>
      <c r="V96" s="200"/>
      <c r="W96" s="200"/>
      <c r="X96" s="200"/>
      <c r="Y96" s="200"/>
      <c r="Z96" s="200"/>
      <c r="AA96" s="200"/>
      <c r="AB96" s="201"/>
      <c r="AC96" s="200"/>
      <c r="AD96" s="200"/>
    </row>
    <row r="97" spans="1:34" s="191" customFormat="1" ht="18" customHeight="1">
      <c r="A97" s="187"/>
      <c r="B97" s="187"/>
      <c r="C97" s="188"/>
      <c r="D97" s="32"/>
      <c r="E97" s="73" t="s">
        <v>103</v>
      </c>
      <c r="F97" s="74"/>
      <c r="G97" s="945" t="str">
        <f>'入力シート（計画書）'!G97&amp;""</f>
        <v/>
      </c>
      <c r="H97" s="946"/>
      <c r="I97" s="947"/>
      <c r="J97" s="31"/>
      <c r="K97" s="31"/>
      <c r="L97" s="31"/>
      <c r="M97" s="31"/>
      <c r="N97" s="31"/>
      <c r="O97" s="31"/>
      <c r="P97" s="31"/>
      <c r="Q97" s="31"/>
      <c r="R97" s="31"/>
      <c r="S97" s="31"/>
      <c r="T97" s="31"/>
      <c r="U97" s="200"/>
      <c r="V97" s="200"/>
      <c r="W97" s="200"/>
      <c r="X97" s="200"/>
      <c r="Y97" s="200"/>
      <c r="Z97" s="200"/>
      <c r="AA97" s="200"/>
      <c r="AB97" s="201"/>
      <c r="AC97" s="200"/>
      <c r="AD97" s="200"/>
    </row>
    <row r="98" spans="1:34" s="191" customFormat="1" ht="18" customHeight="1" thickBot="1">
      <c r="A98" s="187"/>
      <c r="B98" s="187"/>
      <c r="C98" s="188"/>
      <c r="D98" s="32"/>
      <c r="E98" s="75" t="s">
        <v>102</v>
      </c>
      <c r="F98" s="76"/>
      <c r="G98" s="842"/>
      <c r="H98" s="843"/>
      <c r="I98" s="844"/>
      <c r="J98" s="14" t="str">
        <f>"　←"&amp;$AB$1+2&amp;"年度（第２年度）の数値をご入力ください。"</f>
        <v>　←2年度（第２年度）の数値をご入力ください。</v>
      </c>
      <c r="K98" s="31"/>
      <c r="L98" s="31"/>
      <c r="M98" s="31"/>
      <c r="N98" s="31"/>
      <c r="O98" s="31"/>
      <c r="P98" s="31"/>
      <c r="Q98" s="31"/>
      <c r="R98" s="31"/>
      <c r="S98" s="31"/>
      <c r="T98" s="31"/>
      <c r="U98" s="200"/>
      <c r="V98" s="200"/>
      <c r="W98" s="200"/>
      <c r="X98" s="200"/>
      <c r="Y98" s="200"/>
      <c r="Z98" s="200"/>
      <c r="AA98" s="200"/>
      <c r="AB98" s="201"/>
      <c r="AC98" s="200"/>
      <c r="AD98" s="200"/>
    </row>
    <row r="99" spans="1:34" s="195" customFormat="1" ht="18" customHeight="1">
      <c r="A99" s="189"/>
      <c r="B99" s="189"/>
      <c r="C99" s="189"/>
      <c r="D99" s="77"/>
      <c r="E99" s="77"/>
      <c r="F99" s="77"/>
      <c r="G99" s="77"/>
      <c r="H99" s="77"/>
      <c r="I99" s="77"/>
      <c r="J99" s="77"/>
      <c r="K99" s="77"/>
      <c r="L99" s="77"/>
      <c r="M99" s="77"/>
      <c r="N99" s="77"/>
      <c r="O99" s="77"/>
      <c r="P99" s="77"/>
      <c r="Q99" s="77"/>
      <c r="R99" s="77"/>
      <c r="S99" s="77"/>
      <c r="T99" s="77"/>
      <c r="AA99" s="196"/>
    </row>
    <row r="100" spans="1:34" s="195" customFormat="1" ht="16.5" hidden="1" customHeight="1">
      <c r="A100" s="189"/>
      <c r="B100" s="189"/>
      <c r="C100" s="189"/>
      <c r="D100" s="77"/>
      <c r="E100" s="77"/>
      <c r="F100" s="14"/>
      <c r="G100" s="77"/>
      <c r="H100" s="77"/>
      <c r="I100" s="77"/>
      <c r="J100" s="77"/>
      <c r="K100" s="77"/>
      <c r="L100" s="77"/>
      <c r="M100" s="77"/>
      <c r="N100" s="77"/>
      <c r="O100" s="77"/>
      <c r="P100" s="77"/>
      <c r="Q100" s="77"/>
      <c r="R100" s="77"/>
      <c r="S100" s="77"/>
      <c r="T100" s="77"/>
      <c r="AA100" s="196"/>
    </row>
    <row r="101" spans="1:34" s="191" customFormat="1" ht="22.5" hidden="1" customHeight="1">
      <c r="A101" s="187"/>
      <c r="B101" s="187"/>
      <c r="C101" s="188"/>
      <c r="D101" s="14"/>
      <c r="E101" s="14"/>
      <c r="F101" s="14"/>
      <c r="G101" s="14"/>
      <c r="H101" s="14"/>
      <c r="I101" s="14"/>
      <c r="J101" s="14"/>
      <c r="K101" s="14"/>
      <c r="L101" s="14"/>
      <c r="M101" s="14"/>
      <c r="N101" s="14"/>
      <c r="O101" s="14"/>
      <c r="P101" s="14"/>
      <c r="Q101" s="31"/>
      <c r="R101" s="31"/>
      <c r="S101" s="31"/>
      <c r="T101" s="31"/>
      <c r="U101" s="200"/>
      <c r="V101" s="200"/>
      <c r="W101" s="200"/>
      <c r="X101" s="200"/>
      <c r="Y101" s="200"/>
      <c r="Z101" s="200"/>
      <c r="AA101" s="199"/>
      <c r="AG101" s="200"/>
    </row>
    <row r="102" spans="1:34" s="191" customFormat="1" ht="22.25" hidden="1" customHeight="1">
      <c r="A102" s="187"/>
      <c r="B102" s="187"/>
      <c r="C102" s="192"/>
      <c r="D102" s="28"/>
      <c r="E102" s="28"/>
      <c r="F102" s="28"/>
      <c r="G102" s="28"/>
      <c r="H102" s="28"/>
      <c r="I102" s="28"/>
      <c r="J102" s="28"/>
      <c r="K102" s="28"/>
      <c r="L102" s="28"/>
      <c r="M102" s="28"/>
      <c r="N102" s="28"/>
      <c r="O102" s="28"/>
      <c r="P102" s="28"/>
      <c r="Q102" s="28"/>
      <c r="R102" s="28"/>
      <c r="S102" s="28"/>
      <c r="T102" s="28"/>
      <c r="U102" s="200"/>
      <c r="V102" s="200"/>
      <c r="W102" s="200"/>
      <c r="X102" s="200"/>
      <c r="Y102" s="200"/>
      <c r="Z102" s="200"/>
      <c r="AA102" s="199"/>
      <c r="AG102" s="200"/>
    </row>
    <row r="103" spans="1:34" s="191" customFormat="1" ht="20.149999999999999" hidden="1" customHeight="1">
      <c r="A103" s="187"/>
      <c r="B103" s="187"/>
      <c r="C103" s="192"/>
      <c r="D103" s="28"/>
      <c r="E103" s="28"/>
      <c r="F103" s="28"/>
      <c r="G103" s="28"/>
      <c r="H103" s="28"/>
      <c r="I103" s="28"/>
      <c r="J103" s="28"/>
      <c r="K103" s="28"/>
      <c r="L103" s="28"/>
      <c r="M103" s="28"/>
      <c r="N103" s="28"/>
      <c r="O103" s="28"/>
      <c r="P103" s="28"/>
      <c r="Q103" s="28"/>
      <c r="R103" s="28"/>
      <c r="S103" s="28"/>
      <c r="T103" s="28"/>
      <c r="U103" s="200"/>
      <c r="V103" s="200"/>
      <c r="W103" s="200"/>
      <c r="X103" s="200"/>
      <c r="Y103" s="200"/>
      <c r="Z103" s="200"/>
      <c r="AA103" s="199"/>
      <c r="AG103" s="200"/>
    </row>
    <row r="104" spans="1:34" s="191" customFormat="1" ht="200" hidden="1" customHeight="1">
      <c r="A104" s="187"/>
      <c r="B104" s="187"/>
      <c r="C104" s="192"/>
      <c r="D104" s="28"/>
      <c r="E104" s="28"/>
      <c r="F104" s="28"/>
      <c r="G104" s="28"/>
      <c r="H104" s="28"/>
      <c r="I104" s="28"/>
      <c r="J104" s="28"/>
      <c r="K104" s="28"/>
      <c r="L104" s="28"/>
      <c r="M104" s="28"/>
      <c r="N104" s="28"/>
      <c r="O104" s="28"/>
      <c r="P104" s="28"/>
      <c r="Q104" s="28"/>
      <c r="R104" s="28"/>
      <c r="S104" s="28"/>
      <c r="T104" s="28"/>
      <c r="U104" s="200"/>
      <c r="V104" s="200"/>
      <c r="W104" s="200"/>
      <c r="X104" s="200"/>
      <c r="Y104" s="200"/>
      <c r="Z104" s="200"/>
      <c r="AA104" s="201"/>
      <c r="AH104" s="200"/>
    </row>
    <row r="105" spans="1:34" s="191" customFormat="1" ht="18" hidden="1" customHeight="1">
      <c r="A105" s="187"/>
      <c r="B105" s="187"/>
      <c r="C105" s="192"/>
      <c r="D105" s="28"/>
      <c r="E105" s="28"/>
      <c r="F105" s="28"/>
      <c r="G105" s="28"/>
      <c r="H105" s="28"/>
      <c r="I105" s="28"/>
      <c r="J105" s="28"/>
      <c r="K105" s="28"/>
      <c r="L105" s="28"/>
      <c r="M105" s="28"/>
      <c r="N105" s="28"/>
      <c r="O105" s="28"/>
      <c r="P105" s="28"/>
      <c r="Q105" s="28"/>
      <c r="R105" s="28"/>
      <c r="S105" s="28"/>
      <c r="T105" s="28"/>
      <c r="U105" s="200"/>
      <c r="V105" s="200"/>
      <c r="W105" s="200"/>
      <c r="X105" s="200"/>
      <c r="Y105" s="200"/>
      <c r="Z105" s="200"/>
      <c r="AA105" s="201"/>
      <c r="AH105" s="200"/>
    </row>
    <row r="106" spans="1:34" s="191" customFormat="1" ht="20.149999999999999" hidden="1" customHeight="1">
      <c r="A106" s="187"/>
      <c r="B106" s="187"/>
      <c r="C106" s="192"/>
      <c r="D106" s="28"/>
      <c r="E106" s="28"/>
      <c r="F106" s="28"/>
      <c r="G106" s="28"/>
      <c r="H106" s="28"/>
      <c r="I106" s="28"/>
      <c r="J106" s="28"/>
      <c r="K106" s="28"/>
      <c r="L106" s="28"/>
      <c r="M106" s="28"/>
      <c r="N106" s="28"/>
      <c r="O106" s="28"/>
      <c r="P106" s="28"/>
      <c r="Q106" s="28"/>
      <c r="R106" s="28"/>
      <c r="S106" s="28"/>
      <c r="T106" s="28"/>
      <c r="U106" s="200"/>
      <c r="V106" s="200"/>
      <c r="W106" s="200"/>
      <c r="X106" s="200"/>
      <c r="Y106" s="200"/>
      <c r="Z106" s="200"/>
      <c r="AA106" s="201"/>
      <c r="AH106" s="200"/>
    </row>
    <row r="107" spans="1:34" s="191" customFormat="1" ht="38.4" hidden="1" customHeight="1">
      <c r="A107" s="187"/>
      <c r="B107" s="187"/>
      <c r="C107" s="192"/>
      <c r="D107" s="28"/>
      <c r="E107" s="28"/>
      <c r="F107" s="28"/>
      <c r="G107" s="28"/>
      <c r="H107" s="28"/>
      <c r="I107" s="28"/>
      <c r="J107" s="28"/>
      <c r="K107" s="28"/>
      <c r="L107" s="28"/>
      <c r="M107" s="28"/>
      <c r="N107" s="28"/>
      <c r="O107" s="28"/>
      <c r="P107" s="28"/>
      <c r="Q107" s="28"/>
      <c r="R107" s="28"/>
      <c r="S107" s="28"/>
      <c r="T107" s="28"/>
      <c r="U107" s="200"/>
      <c r="V107" s="200"/>
      <c r="W107" s="200"/>
      <c r="X107" s="200"/>
      <c r="Y107" s="200"/>
      <c r="Z107" s="200"/>
      <c r="AA107" s="199"/>
      <c r="AG107" s="200"/>
    </row>
    <row r="108" spans="1:34" s="191" customFormat="1" ht="18" customHeight="1">
      <c r="A108" s="187"/>
      <c r="B108" s="187"/>
      <c r="C108" s="192"/>
      <c r="D108" s="28"/>
      <c r="E108" s="28"/>
      <c r="F108" s="28"/>
      <c r="G108" s="28"/>
      <c r="H108" s="28"/>
      <c r="I108" s="28"/>
      <c r="J108" s="28"/>
      <c r="K108" s="28"/>
      <c r="L108" s="28"/>
      <c r="M108" s="28"/>
      <c r="N108" s="28"/>
      <c r="O108" s="28"/>
      <c r="P108" s="28"/>
      <c r="Q108" s="28"/>
      <c r="R108" s="28"/>
      <c r="S108" s="28"/>
      <c r="T108" s="28"/>
      <c r="U108" s="200"/>
      <c r="V108" s="200"/>
      <c r="W108" s="200"/>
      <c r="X108" s="200"/>
      <c r="Y108" s="200"/>
      <c r="Z108" s="200"/>
      <c r="AA108" s="199"/>
      <c r="AG108" s="200"/>
    </row>
    <row r="109" spans="1:34" s="191" customFormat="1" ht="18" customHeight="1">
      <c r="A109" s="187"/>
      <c r="B109" s="187"/>
      <c r="C109" s="192"/>
      <c r="D109" s="52" t="s">
        <v>4434</v>
      </c>
      <c r="E109" s="28"/>
      <c r="F109" s="28"/>
      <c r="G109" s="28"/>
      <c r="H109" s="28"/>
      <c r="I109" s="28"/>
      <c r="J109" s="28"/>
      <c r="K109" s="28"/>
      <c r="L109" s="28"/>
      <c r="M109" s="28"/>
      <c r="N109" s="28"/>
      <c r="O109" s="28"/>
      <c r="P109" s="28"/>
      <c r="Q109" s="28"/>
      <c r="R109" s="28"/>
      <c r="S109" s="28"/>
      <c r="T109" s="28"/>
      <c r="U109" s="200"/>
      <c r="V109" s="200"/>
      <c r="W109" s="200"/>
      <c r="X109" s="200"/>
      <c r="Y109" s="200"/>
      <c r="Z109" s="200"/>
      <c r="AA109" s="199"/>
      <c r="AG109" s="200"/>
    </row>
    <row r="110" spans="1:34" s="191" customFormat="1" ht="18" customHeight="1" thickBot="1">
      <c r="A110" s="187"/>
      <c r="B110" s="187"/>
      <c r="C110" s="192"/>
      <c r="D110" s="28"/>
      <c r="E110" s="711" t="str">
        <f>"６-１．" &amp; $AB$1+2&amp; "年度末における使用車両数をご入力ください。"</f>
        <v>６-１．2年度末における使用車両数をご入力ください。</v>
      </c>
      <c r="F110" s="168"/>
      <c r="G110" s="168"/>
      <c r="H110" s="168"/>
      <c r="I110" s="28"/>
      <c r="J110" s="28"/>
      <c r="K110" s="28"/>
      <c r="L110" s="28"/>
      <c r="M110" s="28"/>
      <c r="N110" s="28"/>
      <c r="O110" s="28"/>
      <c r="P110" s="28"/>
      <c r="Q110" s="28"/>
      <c r="R110" s="28"/>
      <c r="S110" s="28"/>
      <c r="T110" s="28"/>
      <c r="U110" s="200"/>
      <c r="V110" s="200"/>
      <c r="W110" s="200"/>
      <c r="X110" s="200"/>
      <c r="Y110" s="200"/>
      <c r="Z110" s="200"/>
      <c r="AA110" s="199"/>
      <c r="AG110" s="200"/>
    </row>
    <row r="111" spans="1:34" s="191" customFormat="1" ht="18" customHeight="1">
      <c r="A111" s="187"/>
      <c r="B111" s="187"/>
      <c r="C111" s="192"/>
      <c r="D111" s="28"/>
      <c r="E111" s="933" t="s">
        <v>4422</v>
      </c>
      <c r="F111" s="934"/>
      <c r="G111" s="929" t="s">
        <v>4416</v>
      </c>
      <c r="H111" s="930"/>
      <c r="I111" s="933" t="s">
        <v>4417</v>
      </c>
      <c r="J111" s="934"/>
      <c r="K111" s="934"/>
      <c r="L111" s="934"/>
      <c r="M111" s="934"/>
      <c r="N111" s="960" t="s">
        <v>4418</v>
      </c>
      <c r="O111" s="28"/>
      <c r="P111" s="28"/>
      <c r="Q111" s="28"/>
      <c r="R111" s="28"/>
      <c r="S111" s="28"/>
      <c r="T111" s="28"/>
      <c r="U111" s="200"/>
      <c r="V111" s="200"/>
      <c r="W111" s="200"/>
      <c r="X111" s="200"/>
      <c r="Y111" s="200"/>
      <c r="Z111" s="200"/>
      <c r="AA111" s="199"/>
      <c r="AG111" s="200"/>
    </row>
    <row r="112" spans="1:34" s="191" customFormat="1" ht="18" customHeight="1">
      <c r="A112" s="187"/>
      <c r="B112" s="187"/>
      <c r="C112" s="192"/>
      <c r="D112" s="28"/>
      <c r="E112" s="935"/>
      <c r="F112" s="936"/>
      <c r="G112" s="931"/>
      <c r="H112" s="932"/>
      <c r="I112" s="935"/>
      <c r="J112" s="936"/>
      <c r="K112" s="936"/>
      <c r="L112" s="936"/>
      <c r="M112" s="936"/>
      <c r="N112" s="961"/>
      <c r="O112" s="28"/>
      <c r="P112" s="28"/>
      <c r="Q112" s="28"/>
      <c r="R112" s="28"/>
      <c r="S112" s="28"/>
      <c r="T112" s="28"/>
      <c r="U112" s="200"/>
      <c r="V112" s="200"/>
      <c r="W112" s="200"/>
      <c r="X112" s="200"/>
      <c r="Y112" s="200"/>
      <c r="Z112" s="200"/>
      <c r="AA112" s="199"/>
      <c r="AG112" s="200"/>
    </row>
    <row r="113" spans="1:34" s="191" customFormat="1" ht="18" customHeight="1">
      <c r="A113" s="187"/>
      <c r="B113" s="187"/>
      <c r="C113" s="192"/>
      <c r="D113" s="28"/>
      <c r="E113" s="834" t="s">
        <v>4423</v>
      </c>
      <c r="F113" s="835"/>
      <c r="G113" s="909"/>
      <c r="H113" s="910"/>
      <c r="I113" s="173" t="s">
        <v>4419</v>
      </c>
      <c r="J113" s="173"/>
      <c r="K113" s="251"/>
      <c r="L113" s="252"/>
      <c r="M113" s="252"/>
      <c r="N113" s="381"/>
      <c r="O113" s="28"/>
      <c r="P113" s="28"/>
      <c r="Q113" s="28"/>
      <c r="R113" s="28"/>
      <c r="S113" s="28"/>
      <c r="T113" s="28"/>
      <c r="U113" s="200"/>
      <c r="V113" s="200"/>
      <c r="W113" s="200"/>
      <c r="X113" s="200"/>
      <c r="Y113" s="200"/>
      <c r="Z113" s="200"/>
      <c r="AA113" s="199"/>
      <c r="AG113" s="200"/>
    </row>
    <row r="114" spans="1:34" s="191" customFormat="1" ht="18" customHeight="1">
      <c r="A114" s="187"/>
      <c r="B114" s="187"/>
      <c r="C114" s="192"/>
      <c r="D114" s="28"/>
      <c r="E114" s="836"/>
      <c r="F114" s="837"/>
      <c r="G114" s="905"/>
      <c r="H114" s="906"/>
      <c r="I114" s="170" t="s">
        <v>4420</v>
      </c>
      <c r="J114" s="170"/>
      <c r="K114" s="177"/>
      <c r="L114" s="178"/>
      <c r="M114" s="178"/>
      <c r="N114" s="382"/>
      <c r="O114" s="28"/>
      <c r="P114" s="28"/>
      <c r="Q114" s="28"/>
      <c r="R114" s="28"/>
      <c r="S114" s="28"/>
      <c r="T114" s="28"/>
      <c r="U114" s="200"/>
      <c r="V114" s="200"/>
      <c r="W114" s="200"/>
      <c r="X114" s="200"/>
      <c r="Y114" s="200"/>
      <c r="Z114" s="200"/>
      <c r="AA114" s="199"/>
      <c r="AG114" s="200"/>
    </row>
    <row r="115" spans="1:34" s="191" customFormat="1" ht="18" customHeight="1">
      <c r="A115" s="187"/>
      <c r="B115" s="187"/>
      <c r="C115" s="192"/>
      <c r="D115" s="28"/>
      <c r="E115" s="836"/>
      <c r="F115" s="837"/>
      <c r="G115" s="905"/>
      <c r="H115" s="906"/>
      <c r="I115" s="171" t="s">
        <v>4421</v>
      </c>
      <c r="J115" s="171"/>
      <c r="K115" s="171"/>
      <c r="L115" s="174"/>
      <c r="M115" s="174"/>
      <c r="N115" s="385"/>
      <c r="O115" s="28"/>
      <c r="P115" s="28"/>
      <c r="Q115" s="28"/>
      <c r="R115" s="28"/>
      <c r="S115" s="28"/>
      <c r="T115" s="28"/>
      <c r="U115" s="200"/>
      <c r="V115" s="200"/>
      <c r="W115" s="200"/>
      <c r="X115" s="200"/>
      <c r="Y115" s="200"/>
      <c r="Z115" s="200"/>
      <c r="AA115" s="199"/>
      <c r="AG115" s="200"/>
    </row>
    <row r="116" spans="1:34" s="191" customFormat="1" ht="18" customHeight="1">
      <c r="A116" s="187"/>
      <c r="B116" s="187"/>
      <c r="C116" s="192"/>
      <c r="D116" s="28"/>
      <c r="E116" s="830" t="s">
        <v>4424</v>
      </c>
      <c r="F116" s="831"/>
      <c r="G116" s="905"/>
      <c r="H116" s="906"/>
      <c r="I116" s="169" t="s">
        <v>4419</v>
      </c>
      <c r="J116" s="175"/>
      <c r="K116" s="175"/>
      <c r="L116" s="175"/>
      <c r="M116" s="175"/>
      <c r="N116" s="386"/>
      <c r="O116" s="28"/>
      <c r="P116" s="28"/>
      <c r="Q116" s="28"/>
      <c r="R116" s="28"/>
      <c r="S116" s="28"/>
      <c r="T116" s="28"/>
      <c r="U116" s="200"/>
      <c r="V116" s="200"/>
      <c r="W116" s="200"/>
      <c r="X116" s="200"/>
      <c r="Y116" s="200"/>
      <c r="Z116" s="200"/>
      <c r="AA116" s="199"/>
      <c r="AG116" s="200"/>
    </row>
    <row r="117" spans="1:34" s="191" customFormat="1" ht="18" customHeight="1">
      <c r="A117" s="187"/>
      <c r="B117" s="187"/>
      <c r="C117" s="192"/>
      <c r="D117" s="28"/>
      <c r="E117" s="830"/>
      <c r="F117" s="831"/>
      <c r="G117" s="905"/>
      <c r="H117" s="906"/>
      <c r="I117" s="170" t="s">
        <v>4420</v>
      </c>
      <c r="J117" s="176"/>
      <c r="K117" s="176"/>
      <c r="L117" s="176"/>
      <c r="M117" s="176"/>
      <c r="N117" s="382"/>
      <c r="O117" s="28"/>
      <c r="P117" s="28"/>
      <c r="Q117" s="28"/>
      <c r="R117" s="28"/>
      <c r="S117" s="28"/>
      <c r="T117" s="28"/>
      <c r="U117" s="200"/>
      <c r="V117" s="200"/>
      <c r="W117" s="200"/>
      <c r="X117" s="200"/>
      <c r="Y117" s="200"/>
      <c r="Z117" s="200"/>
      <c r="AA117" s="199"/>
      <c r="AG117" s="200"/>
    </row>
    <row r="118" spans="1:34" s="191" customFormat="1" ht="18" customHeight="1">
      <c r="A118" s="187"/>
      <c r="B118" s="187"/>
      <c r="C118" s="192"/>
      <c r="D118" s="28"/>
      <c r="E118" s="830"/>
      <c r="F118" s="831"/>
      <c r="G118" s="905"/>
      <c r="H118" s="906"/>
      <c r="I118" s="171" t="s">
        <v>4421</v>
      </c>
      <c r="J118" s="174"/>
      <c r="K118" s="174"/>
      <c r="L118" s="174"/>
      <c r="M118" s="174"/>
      <c r="N118" s="385"/>
      <c r="O118" s="28"/>
      <c r="P118" s="28"/>
      <c r="Q118" s="28"/>
      <c r="R118" s="28"/>
      <c r="S118" s="28"/>
      <c r="T118" s="28"/>
      <c r="U118" s="200"/>
      <c r="V118" s="200"/>
      <c r="W118" s="200"/>
      <c r="X118" s="200"/>
      <c r="Y118" s="200"/>
      <c r="Z118" s="200"/>
      <c r="AA118" s="199"/>
      <c r="AG118" s="200"/>
    </row>
    <row r="119" spans="1:34" s="191" customFormat="1" ht="18" customHeight="1">
      <c r="A119" s="187"/>
      <c r="B119" s="187"/>
      <c r="C119" s="192"/>
      <c r="D119" s="28"/>
      <c r="E119" s="830" t="s">
        <v>4425</v>
      </c>
      <c r="F119" s="831"/>
      <c r="G119" s="905"/>
      <c r="H119" s="906"/>
      <c r="I119" s="169" t="s">
        <v>4419</v>
      </c>
      <c r="J119" s="175"/>
      <c r="K119" s="175"/>
      <c r="L119" s="175"/>
      <c r="M119" s="175"/>
      <c r="N119" s="386"/>
      <c r="O119" s="28"/>
      <c r="P119" s="28"/>
      <c r="Q119" s="28"/>
      <c r="R119" s="28"/>
      <c r="S119" s="28"/>
      <c r="T119" s="28"/>
      <c r="U119" s="200"/>
      <c r="V119" s="200"/>
      <c r="W119" s="200"/>
      <c r="X119" s="200"/>
      <c r="Y119" s="200"/>
      <c r="Z119" s="200"/>
      <c r="AA119" s="199"/>
      <c r="AG119" s="200"/>
    </row>
    <row r="120" spans="1:34" s="191" customFormat="1" ht="18" customHeight="1" thickBot="1">
      <c r="A120" s="187"/>
      <c r="B120" s="187"/>
      <c r="C120" s="192"/>
      <c r="D120" s="28"/>
      <c r="E120" s="832"/>
      <c r="F120" s="833"/>
      <c r="G120" s="907"/>
      <c r="H120" s="908"/>
      <c r="I120" s="732" t="s">
        <v>4420</v>
      </c>
      <c r="J120" s="733"/>
      <c r="K120" s="733"/>
      <c r="L120" s="733"/>
      <c r="M120" s="733"/>
      <c r="N120" s="734"/>
      <c r="O120" s="28"/>
      <c r="P120" s="28"/>
      <c r="Q120" s="28"/>
      <c r="R120" s="28"/>
      <c r="S120" s="28"/>
      <c r="T120" s="28"/>
      <c r="U120" s="200"/>
      <c r="V120" s="200"/>
      <c r="W120" s="200"/>
      <c r="X120" s="200"/>
      <c r="Y120" s="200"/>
      <c r="Z120" s="200"/>
      <c r="AA120" s="199"/>
      <c r="AG120" s="200"/>
    </row>
    <row r="121" spans="1:34" s="191" customFormat="1" ht="18" customHeight="1" thickTop="1" thickBot="1">
      <c r="A121" s="187"/>
      <c r="B121" s="187"/>
      <c r="C121" s="192"/>
      <c r="D121" s="28"/>
      <c r="E121" s="851" t="s">
        <v>4426</v>
      </c>
      <c r="F121" s="852"/>
      <c r="G121" s="853" t="str">
        <f>IF(COUNTBLANK(G113:G120)=8,"",SUM(G113,G116,G119))</f>
        <v/>
      </c>
      <c r="H121" s="854"/>
      <c r="I121" s="729" t="s">
        <v>4427</v>
      </c>
      <c r="J121" s="730"/>
      <c r="K121" s="730"/>
      <c r="L121" s="730"/>
      <c r="M121" s="731"/>
      <c r="N121" s="735" t="str">
        <f>IF(COUNTBLANK(N113:N120)=8,"",SUM(N113:N120))</f>
        <v/>
      </c>
      <c r="O121" s="28"/>
      <c r="P121" s="28"/>
      <c r="Q121" s="28"/>
      <c r="R121" s="28"/>
      <c r="S121" s="28"/>
      <c r="T121" s="28"/>
      <c r="U121" s="200"/>
      <c r="V121" s="200"/>
      <c r="W121" s="200"/>
      <c r="X121" s="200"/>
      <c r="Y121" s="200"/>
      <c r="Z121" s="200"/>
      <c r="AA121" s="199"/>
      <c r="AG121" s="200"/>
    </row>
    <row r="122" spans="1:34" s="191" customFormat="1" ht="18" customHeight="1">
      <c r="A122" s="187"/>
      <c r="B122" s="187"/>
      <c r="C122" s="192"/>
      <c r="D122" s="28"/>
      <c r="E122" s="28"/>
      <c r="F122" s="28"/>
      <c r="G122" s="14"/>
      <c r="H122" s="28"/>
      <c r="I122" s="31"/>
      <c r="J122" s="28"/>
      <c r="K122" s="28"/>
      <c r="L122" s="28"/>
      <c r="M122" s="28"/>
      <c r="N122" s="14"/>
      <c r="O122" s="28"/>
      <c r="P122" s="28"/>
      <c r="Q122" s="28"/>
      <c r="R122" s="28"/>
      <c r="S122" s="28"/>
      <c r="T122" s="28"/>
      <c r="U122" s="200"/>
      <c r="V122" s="200"/>
      <c r="W122" s="200"/>
      <c r="X122" s="200"/>
      <c r="Y122" s="200"/>
      <c r="Z122" s="200"/>
      <c r="AA122" s="199"/>
      <c r="AG122" s="200"/>
    </row>
    <row r="123" spans="1:34" s="191" customFormat="1" ht="18" hidden="1" customHeight="1">
      <c r="A123" s="187"/>
      <c r="B123" s="187"/>
      <c r="C123" s="192"/>
      <c r="D123" s="28"/>
      <c r="E123" s="28"/>
      <c r="F123" s="28"/>
      <c r="G123" s="28"/>
      <c r="H123" s="28"/>
      <c r="I123" s="31"/>
      <c r="J123" s="28"/>
      <c r="K123" s="28"/>
      <c r="L123" s="28"/>
      <c r="M123" s="28"/>
      <c r="N123" s="28"/>
      <c r="O123" s="28"/>
      <c r="P123" s="28"/>
      <c r="Q123" s="28"/>
      <c r="R123" s="28"/>
      <c r="S123" s="28"/>
      <c r="T123" s="28"/>
      <c r="U123" s="200"/>
      <c r="V123" s="200"/>
      <c r="W123" s="200"/>
      <c r="X123" s="200"/>
      <c r="Y123" s="200"/>
      <c r="Z123" s="200"/>
      <c r="AA123" s="199"/>
      <c r="AG123" s="200"/>
    </row>
    <row r="124" spans="1:34" s="191" customFormat="1" ht="18" hidden="1" customHeight="1">
      <c r="A124" s="187"/>
      <c r="B124" s="187"/>
      <c r="C124" s="192"/>
      <c r="D124" s="28"/>
      <c r="E124" s="28"/>
      <c r="F124" s="28"/>
      <c r="G124" s="28"/>
      <c r="H124" s="28"/>
      <c r="I124" s="31"/>
      <c r="J124" s="28"/>
      <c r="K124" s="28"/>
      <c r="L124" s="28"/>
      <c r="M124" s="28"/>
      <c r="N124" s="28"/>
      <c r="O124" s="28"/>
      <c r="P124" s="28"/>
      <c r="Q124" s="28"/>
      <c r="R124" s="28"/>
      <c r="S124" s="28"/>
      <c r="T124" s="28"/>
      <c r="U124" s="200"/>
      <c r="V124" s="200"/>
      <c r="W124" s="200"/>
      <c r="X124" s="200"/>
      <c r="Y124" s="200"/>
      <c r="Z124" s="200"/>
      <c r="AA124" s="199"/>
      <c r="AG124" s="200"/>
    </row>
    <row r="125" spans="1:34" s="191" customFormat="1" ht="18" customHeight="1">
      <c r="A125" s="187"/>
      <c r="B125" s="187"/>
      <c r="C125" s="192"/>
      <c r="D125" s="28"/>
      <c r="E125" s="28"/>
      <c r="F125" s="28"/>
      <c r="G125" s="28"/>
      <c r="H125" s="28"/>
      <c r="I125" s="28"/>
      <c r="J125" s="28"/>
      <c r="K125" s="28"/>
      <c r="L125" s="28"/>
      <c r="M125" s="28"/>
      <c r="N125" s="28"/>
      <c r="O125" s="28"/>
      <c r="P125" s="28"/>
      <c r="Q125" s="28"/>
      <c r="R125" s="28"/>
      <c r="S125" s="28"/>
      <c r="T125" s="28"/>
      <c r="U125" s="200"/>
      <c r="V125" s="200"/>
      <c r="W125" s="200"/>
      <c r="X125" s="200"/>
      <c r="Y125" s="200"/>
      <c r="Z125" s="200"/>
      <c r="AA125" s="201"/>
      <c r="AH125" s="200"/>
    </row>
    <row r="126" spans="1:34" s="195" customFormat="1" ht="18" customHeight="1">
      <c r="A126" s="189"/>
      <c r="B126" s="189"/>
      <c r="C126" s="189"/>
      <c r="D126" s="34" t="s">
        <v>4537</v>
      </c>
      <c r="E126" s="77"/>
      <c r="F126" s="77"/>
      <c r="G126" s="77"/>
      <c r="H126" s="77"/>
      <c r="I126" s="77"/>
      <c r="J126" s="77"/>
      <c r="K126" s="77"/>
      <c r="L126" s="77"/>
      <c r="M126" s="77"/>
      <c r="N126" s="77"/>
      <c r="O126" s="77"/>
      <c r="P126" s="77"/>
      <c r="Q126" s="77"/>
      <c r="R126" s="77"/>
      <c r="S126" s="77"/>
      <c r="T126" s="77"/>
      <c r="AA126" s="196"/>
    </row>
    <row r="127" spans="1:34" s="191" customFormat="1" ht="18" hidden="1" customHeight="1">
      <c r="A127" s="187"/>
      <c r="B127" s="187"/>
      <c r="C127" s="192"/>
      <c r="D127" s="14"/>
      <c r="E127" s="99" t="str">
        <f>"７-１．『"&amp;N3&amp;"』の"&amp;AB1&amp;"年度（基準年度）における温室効果ガスの排出状況は以下のとおりです。"</f>
        <v>７-１．『』の0年度（基準年度）における温室効果ガスの排出状況は以下のとおりです。</v>
      </c>
      <c r="F127" s="28"/>
      <c r="G127" s="28"/>
      <c r="H127" s="28"/>
      <c r="I127" s="28"/>
      <c r="J127" s="28"/>
      <c r="K127" s="28"/>
      <c r="L127" s="28"/>
      <c r="M127" s="28"/>
      <c r="N127" s="28"/>
      <c r="O127" s="28"/>
      <c r="P127" s="14"/>
      <c r="Q127" s="28"/>
      <c r="R127" s="28"/>
      <c r="S127" s="28"/>
      <c r="T127" s="14"/>
      <c r="AA127" s="199"/>
      <c r="AG127" s="200"/>
    </row>
    <row r="128" spans="1:34" s="191" customFormat="1" ht="18" customHeight="1">
      <c r="A128" s="187"/>
      <c r="B128" s="187"/>
      <c r="C128" s="192"/>
      <c r="D128" s="14"/>
      <c r="E128" s="16" t="s">
        <v>4530</v>
      </c>
      <c r="F128" s="28"/>
      <c r="G128" s="28"/>
      <c r="H128" s="28"/>
      <c r="I128" s="28"/>
      <c r="J128" s="28"/>
      <c r="K128" s="28"/>
      <c r="L128" s="28"/>
      <c r="M128" s="28"/>
      <c r="N128" s="28"/>
      <c r="O128" s="28"/>
      <c r="P128" s="14"/>
      <c r="Q128" s="28"/>
      <c r="R128" s="28"/>
      <c r="S128" s="28"/>
      <c r="T128" s="14"/>
      <c r="AA128" s="199"/>
      <c r="AG128" s="200"/>
    </row>
    <row r="129" spans="1:37" s="191" customFormat="1" ht="18" hidden="1" customHeight="1">
      <c r="A129" s="187"/>
      <c r="B129" s="187"/>
      <c r="C129" s="192"/>
      <c r="D129" s="28"/>
      <c r="E129" s="28"/>
      <c r="F129" s="28"/>
      <c r="G129" s="28"/>
      <c r="H129" s="28"/>
      <c r="I129" s="28"/>
      <c r="J129" s="28"/>
      <c r="K129" s="28"/>
      <c r="L129" s="28"/>
      <c r="M129" s="28"/>
      <c r="N129" s="28"/>
      <c r="O129" s="28"/>
      <c r="P129" s="28"/>
      <c r="Q129" s="28"/>
      <c r="R129" s="28"/>
      <c r="S129" s="28"/>
      <c r="T129" s="14"/>
      <c r="AA129" s="199"/>
      <c r="AD129" s="200"/>
      <c r="AE129" s="200"/>
      <c r="AF129" s="200"/>
      <c r="AG129" s="200"/>
    </row>
    <row r="130" spans="1:37" s="191" customFormat="1" ht="36" customHeight="1">
      <c r="A130" s="187"/>
      <c r="B130" s="187"/>
      <c r="C130" s="192"/>
      <c r="D130" s="28"/>
      <c r="E130" s="772" t="s">
        <v>4226</v>
      </c>
      <c r="F130" s="773"/>
      <c r="G130" s="786" t="str">
        <f>IF($AB$1=0,"",$AB$1)</f>
        <v/>
      </c>
      <c r="H130" s="826"/>
      <c r="I130" s="764" t="s">
        <v>4277</v>
      </c>
      <c r="J130" s="765"/>
      <c r="K130" s="765"/>
      <c r="L130" s="766"/>
      <c r="M130" s="254" t="s">
        <v>4231</v>
      </c>
      <c r="N130" s="264" t="str">
        <f>IF('P1'!R4=0,"",'P1'!V14)</f>
        <v/>
      </c>
      <c r="O130" s="258" t="s">
        <v>4499</v>
      </c>
      <c r="P130" s="265" t="s">
        <v>4232</v>
      </c>
      <c r="Q130" s="707" t="str">
        <f>IF('P1'!R4=0,"",'P1'!V17)</f>
        <v/>
      </c>
      <c r="R130" s="259" t="str">
        <f>"t-CO₂/"&amp;$G$97</f>
        <v>t-CO₂/</v>
      </c>
      <c r="S130" s="28"/>
      <c r="T130" s="28"/>
      <c r="U130" s="197"/>
      <c r="V130" s="197"/>
      <c r="AD130" s="199"/>
      <c r="AG130" s="200"/>
      <c r="AH130" s="200"/>
      <c r="AI130" s="200"/>
      <c r="AJ130" s="200"/>
    </row>
    <row r="131" spans="1:37" s="191" customFormat="1" ht="36" customHeight="1">
      <c r="A131" s="187"/>
      <c r="B131" s="187"/>
      <c r="C131" s="192"/>
      <c r="D131" s="28"/>
      <c r="E131" s="776"/>
      <c r="F131" s="777"/>
      <c r="G131" s="790"/>
      <c r="H131" s="827"/>
      <c r="I131" s="748" t="s">
        <v>4511</v>
      </c>
      <c r="J131" s="749"/>
      <c r="K131" s="749"/>
      <c r="L131" s="749"/>
      <c r="M131" s="749"/>
      <c r="N131" s="749"/>
      <c r="O131" s="749"/>
      <c r="P131" s="750"/>
      <c r="Q131" s="266" t="str">
        <f>'入力シート（計画書）'!Q131</f>
        <v/>
      </c>
      <c r="R131" s="267" t="s">
        <v>106</v>
      </c>
      <c r="S131" s="28"/>
      <c r="T131" s="28"/>
      <c r="U131" s="197"/>
      <c r="V131" s="197"/>
      <c r="W131" s="200"/>
      <c r="X131" s="200"/>
      <c r="Y131" s="200"/>
      <c r="Z131" s="200"/>
      <c r="AA131" s="200"/>
      <c r="AB131" s="200"/>
      <c r="AC131" s="200"/>
      <c r="AD131" s="199"/>
      <c r="AG131" s="200"/>
      <c r="AH131" s="200"/>
      <c r="AI131" s="200"/>
      <c r="AJ131" s="200"/>
    </row>
    <row r="132" spans="1:37" s="191" customFormat="1" ht="18" hidden="1" customHeight="1">
      <c r="A132" s="187"/>
      <c r="B132" s="187"/>
      <c r="C132" s="192"/>
      <c r="D132" s="28"/>
      <c r="E132" s="14"/>
      <c r="F132" s="14"/>
      <c r="G132" s="14"/>
      <c r="H132" s="14"/>
      <c r="I132" s="14"/>
      <c r="J132" s="14"/>
      <c r="K132" s="14"/>
      <c r="L132" s="14"/>
      <c r="M132" s="14"/>
      <c r="N132" s="148"/>
      <c r="O132" s="14"/>
      <c r="P132" s="28"/>
      <c r="Q132" s="149"/>
      <c r="R132" s="28"/>
      <c r="S132" s="28"/>
      <c r="T132" s="31"/>
      <c r="U132" s="200"/>
      <c r="V132" s="200"/>
      <c r="W132" s="200"/>
      <c r="X132" s="200"/>
      <c r="Y132" s="200"/>
      <c r="Z132" s="200"/>
      <c r="AA132" s="201"/>
      <c r="AE132" s="200"/>
      <c r="AF132" s="200"/>
      <c r="AG132" s="200"/>
      <c r="AH132" s="200"/>
    </row>
    <row r="133" spans="1:37" s="191" customFormat="1" ht="18" hidden="1" customHeight="1">
      <c r="A133" s="187"/>
      <c r="B133" s="187"/>
      <c r="C133" s="192"/>
      <c r="D133" s="28"/>
      <c r="E133" s="14"/>
      <c r="F133" s="14"/>
      <c r="G133" s="14"/>
      <c r="H133" s="14"/>
      <c r="I133" s="14"/>
      <c r="J133" s="14"/>
      <c r="K133" s="14"/>
      <c r="L133" s="14"/>
      <c r="M133" s="14"/>
      <c r="N133" s="148"/>
      <c r="O133" s="14"/>
      <c r="P133" s="28"/>
      <c r="Q133" s="149"/>
      <c r="R133" s="28"/>
      <c r="S133" s="28"/>
      <c r="T133" s="31"/>
      <c r="U133" s="200"/>
      <c r="V133" s="200"/>
      <c r="W133" s="200"/>
      <c r="X133" s="200"/>
      <c r="Y133" s="200"/>
      <c r="Z133" s="200"/>
      <c r="AA133" s="201"/>
      <c r="AE133" s="200"/>
      <c r="AF133" s="200"/>
      <c r="AG133" s="200"/>
      <c r="AH133" s="200"/>
    </row>
    <row r="134" spans="1:37" s="191" customFormat="1" ht="36" customHeight="1">
      <c r="A134" s="187"/>
      <c r="B134" s="187"/>
      <c r="C134" s="192"/>
      <c r="D134" s="28"/>
      <c r="E134" s="772" t="s">
        <v>4037</v>
      </c>
      <c r="F134" s="773"/>
      <c r="G134" s="786" t="str">
        <f>IF($AB$1=0,"",$AB$2)</f>
        <v/>
      </c>
      <c r="H134" s="787"/>
      <c r="I134" s="764" t="s">
        <v>4277</v>
      </c>
      <c r="J134" s="765"/>
      <c r="K134" s="765"/>
      <c r="L134" s="766"/>
      <c r="M134" s="254" t="s">
        <v>3982</v>
      </c>
      <c r="N134" s="264" t="str">
        <f>IF('入力シート（計画書）'!N134="","",'入力シート（計画書）'!N134)</f>
        <v/>
      </c>
      <c r="O134" s="258" t="s">
        <v>4499</v>
      </c>
      <c r="P134" s="254" t="s">
        <v>109</v>
      </c>
      <c r="Q134" s="708" t="str">
        <f>IF('入力シート（計画書）'!Q134="","",'入力シート（計画書）'!Q134)</f>
        <v/>
      </c>
      <c r="R134" s="259" t="str">
        <f>"t-CO₂/"&amp;$G$97</f>
        <v>t-CO₂/</v>
      </c>
      <c r="S134" s="28"/>
      <c r="T134" s="28"/>
      <c r="U134" s="197"/>
      <c r="V134" s="197"/>
      <c r="W134" s="200"/>
      <c r="X134" s="200"/>
      <c r="Y134" s="200"/>
      <c r="Z134" s="200"/>
      <c r="AA134" s="200"/>
      <c r="AB134" s="200"/>
      <c r="AC134" s="200"/>
      <c r="AD134" s="201"/>
      <c r="AH134" s="200"/>
      <c r="AI134" s="200"/>
      <c r="AJ134" s="200"/>
      <c r="AK134" s="200"/>
    </row>
    <row r="135" spans="1:37" s="191" customFormat="1" ht="36" customHeight="1">
      <c r="A135" s="187"/>
      <c r="B135" s="187"/>
      <c r="C135" s="192"/>
      <c r="D135" s="28"/>
      <c r="E135" s="774"/>
      <c r="F135" s="775"/>
      <c r="G135" s="788"/>
      <c r="H135" s="789"/>
      <c r="I135" s="781"/>
      <c r="J135" s="782"/>
      <c r="K135" s="782"/>
      <c r="L135" s="783"/>
      <c r="M135" s="254" t="s">
        <v>4233</v>
      </c>
      <c r="N135" s="269" t="str">
        <f>IFERROR((IF(N134="","",INT((N$130-N134)/N$130*10000)/100)),"")</f>
        <v/>
      </c>
      <c r="O135" s="258" t="s">
        <v>106</v>
      </c>
      <c r="P135" s="265" t="s">
        <v>4233</v>
      </c>
      <c r="Q135" s="269" t="str">
        <f>IFERROR((IF(Q134="","",INT((Q$130-Q134)/Q$130*10000)/100)),"")</f>
        <v/>
      </c>
      <c r="R135" s="258" t="s">
        <v>106</v>
      </c>
      <c r="S135" s="28"/>
      <c r="T135" s="28"/>
      <c r="U135" s="197"/>
      <c r="V135" s="197"/>
      <c r="W135" s="200"/>
      <c r="X135" s="200"/>
      <c r="Y135" s="200"/>
      <c r="Z135" s="200"/>
      <c r="AA135" s="200"/>
      <c r="AB135" s="200"/>
      <c r="AC135" s="200"/>
      <c r="AD135" s="201"/>
      <c r="AH135" s="200"/>
      <c r="AI135" s="200"/>
      <c r="AJ135" s="200"/>
      <c r="AK135" s="200"/>
    </row>
    <row r="136" spans="1:37" s="191" customFormat="1" ht="36" customHeight="1">
      <c r="A136" s="187"/>
      <c r="B136" s="187"/>
      <c r="C136" s="192"/>
      <c r="D136" s="28"/>
      <c r="E136" s="776"/>
      <c r="F136" s="777"/>
      <c r="G136" s="790"/>
      <c r="H136" s="791"/>
      <c r="I136" s="748" t="s">
        <v>4524</v>
      </c>
      <c r="J136" s="749"/>
      <c r="K136" s="749"/>
      <c r="L136" s="749"/>
      <c r="M136" s="749"/>
      <c r="N136" s="749"/>
      <c r="O136" s="749"/>
      <c r="P136" s="750"/>
      <c r="Q136" s="270" t="str">
        <f>IF('入力シート（計画書）'!Q136="","",'入力シート（計画書）'!Q136)</f>
        <v/>
      </c>
      <c r="R136" s="260" t="s">
        <v>106</v>
      </c>
      <c r="S136" s="28"/>
      <c r="T136" s="28"/>
      <c r="U136" s="197"/>
      <c r="V136" s="197"/>
      <c r="W136" s="200"/>
      <c r="X136" s="200"/>
      <c r="Y136" s="200"/>
      <c r="Z136" s="200"/>
      <c r="AA136" s="200"/>
      <c r="AB136" s="200"/>
      <c r="AC136" s="200"/>
      <c r="AD136" s="201"/>
      <c r="AH136" s="200"/>
      <c r="AI136" s="200"/>
      <c r="AJ136" s="200"/>
      <c r="AK136" s="200"/>
    </row>
    <row r="137" spans="1:37" s="191" customFormat="1" ht="36" customHeight="1">
      <c r="A137" s="187"/>
      <c r="B137" s="187"/>
      <c r="C137" s="192"/>
      <c r="D137" s="28"/>
      <c r="E137" s="772" t="s">
        <v>4009</v>
      </c>
      <c r="F137" s="773"/>
      <c r="G137" s="786" t="str">
        <f>IF($AB$1=0,"",$AB$1+1)</f>
        <v/>
      </c>
      <c r="H137" s="787"/>
      <c r="I137" s="764" t="s">
        <v>4277</v>
      </c>
      <c r="J137" s="765"/>
      <c r="K137" s="765"/>
      <c r="L137" s="766"/>
      <c r="M137" s="254" t="s">
        <v>4023</v>
      </c>
      <c r="N137" s="264" t="str">
        <f>IF('R1-1'!R4=0,"",'R1-1'!V14)</f>
        <v/>
      </c>
      <c r="O137" s="258" t="s">
        <v>4499</v>
      </c>
      <c r="P137" s="265" t="s">
        <v>3041</v>
      </c>
      <c r="Q137" s="708" t="str">
        <f>IF('R1-1'!R4=0,"",'R1-1'!V17)</f>
        <v/>
      </c>
      <c r="R137" s="259" t="str">
        <f>"t-CO₂/"&amp;$G$97</f>
        <v>t-CO₂/</v>
      </c>
      <c r="S137" s="28"/>
      <c r="T137" s="28"/>
      <c r="U137" s="197"/>
      <c r="V137" s="197"/>
      <c r="W137" s="200"/>
      <c r="AD137" s="199"/>
      <c r="AH137" s="200"/>
      <c r="AI137" s="200"/>
      <c r="AJ137" s="200"/>
      <c r="AK137" s="200"/>
    </row>
    <row r="138" spans="1:37" s="191" customFormat="1" ht="36" customHeight="1">
      <c r="A138" s="187"/>
      <c r="B138" s="187"/>
      <c r="C138" s="192"/>
      <c r="D138" s="28"/>
      <c r="E138" s="774"/>
      <c r="F138" s="775"/>
      <c r="G138" s="788"/>
      <c r="H138" s="789"/>
      <c r="I138" s="781"/>
      <c r="J138" s="782"/>
      <c r="K138" s="782"/>
      <c r="L138" s="783"/>
      <c r="M138" s="254" t="s">
        <v>4233</v>
      </c>
      <c r="N138" s="269" t="str">
        <f>IFERROR((IF(N137="","",INT((N$130-N137)/N$130*10000)/100)),"")</f>
        <v/>
      </c>
      <c r="O138" s="258" t="s">
        <v>106</v>
      </c>
      <c r="P138" s="254" t="s">
        <v>4233</v>
      </c>
      <c r="Q138" s="262" t="str">
        <f>IFERROR((IF(Q137="","",INT((Q$130-Q137)/Q$130*10000)/100)),"")</f>
        <v/>
      </c>
      <c r="R138" s="258" t="s">
        <v>106</v>
      </c>
      <c r="S138" s="28"/>
      <c r="T138" s="28"/>
      <c r="U138" s="197"/>
      <c r="V138" s="197"/>
      <c r="AD138" s="199"/>
      <c r="AG138" s="200"/>
      <c r="AH138" s="200"/>
      <c r="AI138" s="200"/>
      <c r="AJ138" s="200"/>
    </row>
    <row r="139" spans="1:37" s="191" customFormat="1" ht="36" customHeight="1">
      <c r="A139" s="187"/>
      <c r="B139" s="187"/>
      <c r="C139" s="192"/>
      <c r="D139" s="28"/>
      <c r="E139" s="776"/>
      <c r="F139" s="777"/>
      <c r="G139" s="790"/>
      <c r="H139" s="791"/>
      <c r="I139" s="748" t="s">
        <v>4511</v>
      </c>
      <c r="J139" s="749"/>
      <c r="K139" s="749"/>
      <c r="L139" s="749"/>
      <c r="M139" s="749"/>
      <c r="N139" s="749"/>
      <c r="O139" s="749"/>
      <c r="P139" s="750"/>
      <c r="Q139" s="270" t="str">
        <f>'入力シート（第１年度報告書）'!Q139</f>
        <v/>
      </c>
      <c r="R139" s="260" t="s">
        <v>106</v>
      </c>
      <c r="S139" s="28"/>
      <c r="T139" s="28"/>
      <c r="U139" s="197"/>
      <c r="V139" s="197"/>
      <c r="AD139" s="199"/>
      <c r="AG139" s="200"/>
      <c r="AH139" s="200"/>
      <c r="AI139" s="200"/>
      <c r="AJ139" s="200"/>
    </row>
    <row r="140" spans="1:37" s="191" customFormat="1" ht="36" customHeight="1">
      <c r="A140" s="187"/>
      <c r="B140" s="187"/>
      <c r="C140" s="192"/>
      <c r="D140" s="28"/>
      <c r="E140" s="772" t="s">
        <v>4014</v>
      </c>
      <c r="F140" s="773"/>
      <c r="G140" s="786" t="str">
        <f>IF($AB$1=0,"",IF($AB$1+2&lt;=$AB$2,$AB$1+2,"---------------"))</f>
        <v/>
      </c>
      <c r="H140" s="787"/>
      <c r="I140" s="764" t="s">
        <v>4277</v>
      </c>
      <c r="J140" s="765"/>
      <c r="K140" s="765"/>
      <c r="L140" s="766"/>
      <c r="M140" s="254" t="s">
        <v>4023</v>
      </c>
      <c r="N140" s="264" t="str">
        <f>IF('R1-2'!R4=0,"",'R1-2'!V14)</f>
        <v/>
      </c>
      <c r="O140" s="258" t="s">
        <v>4499</v>
      </c>
      <c r="P140" s="265" t="s">
        <v>3041</v>
      </c>
      <c r="Q140" s="708" t="str">
        <f>IF('R1-2'!R4=0,"",'R1-2'!V17)</f>
        <v/>
      </c>
      <c r="R140" s="259" t="str">
        <f>"t-CO₂/"&amp;$G$97</f>
        <v>t-CO₂/</v>
      </c>
      <c r="S140" s="28"/>
      <c r="T140" s="28"/>
      <c r="U140" s="197"/>
      <c r="V140" s="197"/>
      <c r="AD140" s="199"/>
      <c r="AG140" s="200"/>
      <c r="AH140" s="200"/>
      <c r="AI140" s="200"/>
      <c r="AJ140" s="200"/>
    </row>
    <row r="141" spans="1:37" s="191" customFormat="1" ht="36" customHeight="1">
      <c r="A141" s="187"/>
      <c r="B141" s="187"/>
      <c r="C141" s="192"/>
      <c r="D141" s="28"/>
      <c r="E141" s="774"/>
      <c r="F141" s="775"/>
      <c r="G141" s="788"/>
      <c r="H141" s="789"/>
      <c r="I141" s="781"/>
      <c r="J141" s="782"/>
      <c r="K141" s="782"/>
      <c r="L141" s="783"/>
      <c r="M141" s="254" t="s">
        <v>4233</v>
      </c>
      <c r="N141" s="269" t="str">
        <f>IFERROR((IF(N140="","",INT((N$130-N140)/N$130*10000)/100)),"")</f>
        <v/>
      </c>
      <c r="O141" s="258" t="s">
        <v>106</v>
      </c>
      <c r="P141" s="265" t="s">
        <v>4233</v>
      </c>
      <c r="Q141" s="269" t="str">
        <f>IFERROR((IF(Q140="","",INT((Q$130-Q140)/Q$130*10000)/100)),"")</f>
        <v/>
      </c>
      <c r="R141" s="258" t="s">
        <v>106</v>
      </c>
      <c r="S141" s="28"/>
      <c r="T141" s="28"/>
      <c r="U141" s="197"/>
      <c r="V141" s="197"/>
      <c r="W141" s="200"/>
      <c r="X141" s="200"/>
      <c r="Y141" s="200"/>
      <c r="Z141" s="200"/>
      <c r="AA141" s="200"/>
      <c r="AB141" s="200"/>
      <c r="AC141" s="200"/>
      <c r="AD141" s="199"/>
      <c r="AG141" s="200"/>
      <c r="AH141" s="200"/>
      <c r="AI141" s="200"/>
      <c r="AJ141" s="200"/>
    </row>
    <row r="142" spans="1:37" s="191" customFormat="1" ht="36" customHeight="1">
      <c r="A142" s="187"/>
      <c r="B142" s="187"/>
      <c r="C142" s="192"/>
      <c r="D142" s="28"/>
      <c r="E142" s="776"/>
      <c r="F142" s="777"/>
      <c r="G142" s="790"/>
      <c r="H142" s="791"/>
      <c r="I142" s="748" t="s">
        <v>4511</v>
      </c>
      <c r="J142" s="749"/>
      <c r="K142" s="749"/>
      <c r="L142" s="749"/>
      <c r="M142" s="749"/>
      <c r="N142" s="749"/>
      <c r="O142" s="749"/>
      <c r="P142" s="750"/>
      <c r="Q142" s="270" t="str">
        <f>IF(OR(G121=0,G121="",N121=0,N121="")=TRUE,"",'R1-2'!V20)</f>
        <v/>
      </c>
      <c r="R142" s="260" t="s">
        <v>106</v>
      </c>
      <c r="S142" s="28"/>
      <c r="T142" s="28"/>
      <c r="U142" s="197"/>
      <c r="V142" s="197"/>
      <c r="W142" s="200"/>
      <c r="X142" s="200"/>
      <c r="Y142" s="200"/>
      <c r="Z142" s="200"/>
      <c r="AA142" s="200"/>
      <c r="AB142" s="200"/>
      <c r="AC142" s="200"/>
      <c r="AD142" s="201"/>
      <c r="AH142" s="200"/>
      <c r="AI142" s="200"/>
      <c r="AJ142" s="200"/>
      <c r="AK142" s="200"/>
    </row>
    <row r="143" spans="1:37" s="191" customFormat="1" ht="36" hidden="1" customHeight="1">
      <c r="A143" s="187"/>
      <c r="B143" s="187"/>
      <c r="C143" s="192"/>
      <c r="D143" s="28"/>
      <c r="E143" s="772" t="s">
        <v>4015</v>
      </c>
      <c r="F143" s="773"/>
      <c r="G143" s="786">
        <f>IF($AB$1+3&lt;=$AB$2,$AB$1+3,"--------")</f>
        <v>3</v>
      </c>
      <c r="H143" s="787"/>
      <c r="I143" s="764" t="s">
        <v>4277</v>
      </c>
      <c r="J143" s="765"/>
      <c r="K143" s="765"/>
      <c r="L143" s="766"/>
      <c r="M143" s="254" t="s">
        <v>4023</v>
      </c>
      <c r="N143" s="264"/>
      <c r="O143" s="258" t="s">
        <v>4499</v>
      </c>
      <c r="P143" s="265" t="s">
        <v>3041</v>
      </c>
      <c r="Q143" s="268"/>
      <c r="R143" s="259" t="str">
        <f>"t-CO₂/"&amp;$G$97</f>
        <v>t-CO₂/</v>
      </c>
      <c r="S143" s="28"/>
      <c r="T143" s="28"/>
      <c r="U143" s="197"/>
      <c r="V143" s="197"/>
      <c r="W143" s="200"/>
      <c r="X143" s="200"/>
      <c r="Y143" s="200"/>
      <c r="Z143" s="200"/>
      <c r="AA143" s="200"/>
      <c r="AB143" s="200"/>
      <c r="AC143" s="200"/>
      <c r="AD143" s="199"/>
      <c r="AG143" s="200"/>
      <c r="AH143" s="200"/>
      <c r="AI143" s="200"/>
      <c r="AJ143" s="200"/>
    </row>
    <row r="144" spans="1:37" s="191" customFormat="1" ht="36" hidden="1" customHeight="1">
      <c r="A144" s="187"/>
      <c r="B144" s="187"/>
      <c r="C144" s="192"/>
      <c r="D144" s="28"/>
      <c r="E144" s="774"/>
      <c r="F144" s="775"/>
      <c r="G144" s="788"/>
      <c r="H144" s="789"/>
      <c r="I144" s="781"/>
      <c r="J144" s="782"/>
      <c r="K144" s="782"/>
      <c r="L144" s="783"/>
      <c r="M144" s="254" t="s">
        <v>4233</v>
      </c>
      <c r="N144" s="269"/>
      <c r="O144" s="258" t="s">
        <v>106</v>
      </c>
      <c r="P144" s="265" t="s">
        <v>4233</v>
      </c>
      <c r="Q144" s="269"/>
      <c r="R144" s="258" t="s">
        <v>106</v>
      </c>
      <c r="S144" s="28"/>
      <c r="T144" s="28"/>
      <c r="U144" s="197"/>
      <c r="V144" s="197"/>
      <c r="W144" s="200"/>
      <c r="X144" s="200"/>
      <c r="Y144" s="200"/>
      <c r="Z144" s="200"/>
      <c r="AA144" s="200"/>
      <c r="AB144" s="200"/>
      <c r="AC144" s="200"/>
      <c r="AD144" s="201"/>
      <c r="AH144" s="200"/>
      <c r="AI144" s="200"/>
      <c r="AJ144" s="200"/>
      <c r="AK144" s="200"/>
    </row>
    <row r="145" spans="1:36" s="191" customFormat="1" ht="36" hidden="1" customHeight="1">
      <c r="A145" s="187"/>
      <c r="B145" s="187"/>
      <c r="C145" s="192"/>
      <c r="D145" s="28"/>
      <c r="E145" s="776"/>
      <c r="F145" s="777"/>
      <c r="G145" s="790"/>
      <c r="H145" s="791"/>
      <c r="I145" s="748" t="s">
        <v>4511</v>
      </c>
      <c r="J145" s="749"/>
      <c r="K145" s="749"/>
      <c r="L145" s="749"/>
      <c r="M145" s="749"/>
      <c r="N145" s="749"/>
      <c r="O145" s="749"/>
      <c r="P145" s="750"/>
      <c r="Q145" s="270">
        <f>'R1-3'!V20</f>
        <v>0</v>
      </c>
      <c r="R145" s="260" t="s">
        <v>106</v>
      </c>
      <c r="S145" s="28"/>
      <c r="T145" s="28"/>
      <c r="U145" s="197"/>
      <c r="V145" s="197"/>
      <c r="W145" s="200"/>
      <c r="X145" s="200"/>
      <c r="Y145" s="200"/>
      <c r="Z145" s="200"/>
      <c r="AA145" s="200"/>
      <c r="AB145" s="200"/>
      <c r="AC145" s="200"/>
      <c r="AD145" s="199"/>
      <c r="AG145" s="200"/>
      <c r="AH145" s="200"/>
      <c r="AI145" s="200"/>
      <c r="AJ145" s="200"/>
    </row>
    <row r="146" spans="1:36" s="191" customFormat="1" ht="18" hidden="1" customHeight="1">
      <c r="A146" s="187"/>
      <c r="B146" s="187"/>
      <c r="C146" s="192"/>
      <c r="D146" s="28"/>
      <c r="E146" s="14"/>
      <c r="F146" s="14"/>
      <c r="G146" s="14"/>
      <c r="H146" s="14"/>
      <c r="I146" s="14"/>
      <c r="J146" s="14"/>
      <c r="K146" s="14"/>
      <c r="L146" s="14"/>
      <c r="M146" s="14"/>
      <c r="N146" s="14"/>
      <c r="O146" s="14"/>
      <c r="P146" s="28"/>
      <c r="Q146" s="28"/>
      <c r="R146" s="28"/>
      <c r="S146" s="28"/>
      <c r="T146" s="26"/>
      <c r="U146" s="200"/>
      <c r="V146" s="200"/>
      <c r="W146" s="200"/>
      <c r="X146" s="200"/>
      <c r="Y146" s="200"/>
      <c r="Z146" s="200"/>
      <c r="AA146" s="201"/>
      <c r="AE146" s="200"/>
      <c r="AF146" s="200"/>
      <c r="AG146" s="200"/>
      <c r="AH146" s="200"/>
    </row>
    <row r="147" spans="1:36" s="191" customFormat="1" ht="18" customHeight="1">
      <c r="A147" s="187"/>
      <c r="B147" s="187"/>
      <c r="C147" s="192"/>
      <c r="D147" s="28"/>
      <c r="E147" s="28"/>
      <c r="F147" s="28"/>
      <c r="G147" s="28"/>
      <c r="H147" s="28"/>
      <c r="I147" s="28"/>
      <c r="J147" s="28"/>
      <c r="K147" s="28"/>
      <c r="L147" s="28"/>
      <c r="M147" s="28"/>
      <c r="N147" s="28"/>
      <c r="O147" s="28"/>
      <c r="P147" s="28"/>
      <c r="Q147" s="28"/>
      <c r="R147" s="28"/>
      <c r="S147" s="28"/>
      <c r="T147" s="31"/>
      <c r="U147" s="200"/>
      <c r="V147" s="200"/>
      <c r="W147" s="200"/>
      <c r="X147" s="200"/>
      <c r="Y147" s="200"/>
      <c r="Z147" s="200"/>
      <c r="AA147" s="201"/>
      <c r="AE147" s="200"/>
      <c r="AF147" s="200"/>
      <c r="AG147" s="200"/>
      <c r="AH147" s="200"/>
    </row>
    <row r="148" spans="1:36" s="191" customFormat="1" ht="18" customHeight="1">
      <c r="A148" s="187"/>
      <c r="B148" s="187"/>
      <c r="C148" s="187"/>
      <c r="D148" s="14"/>
      <c r="E148" s="14" t="str">
        <f>"第２年度（"&amp;$AB$1+2&amp;"年度）における温室効果ガス排出量等の増減理由をご入力ください。"</f>
        <v>第２年度（2年度）における温室効果ガス排出量等の増減理由をご入力ください。</v>
      </c>
      <c r="F148" s="141"/>
      <c r="G148" s="14"/>
      <c r="H148" s="14"/>
      <c r="I148" s="14"/>
      <c r="J148" s="14"/>
      <c r="K148" s="14"/>
      <c r="L148" s="14"/>
      <c r="M148" s="14"/>
      <c r="N148" s="14"/>
      <c r="O148" s="14"/>
      <c r="P148" s="14"/>
      <c r="Q148" s="14"/>
      <c r="R148" s="14"/>
      <c r="S148" s="14"/>
      <c r="T148" s="14"/>
      <c r="AA148" s="199"/>
      <c r="AD148" s="200"/>
      <c r="AE148" s="200"/>
      <c r="AF148" s="200"/>
      <c r="AG148" s="200"/>
    </row>
    <row r="149" spans="1:36" s="191" customFormat="1" ht="100.25" hidden="1" customHeight="1">
      <c r="A149" s="187"/>
      <c r="B149" s="187"/>
      <c r="C149" s="192"/>
      <c r="D149" s="28"/>
      <c r="E149" s="784" t="s">
        <v>4234</v>
      </c>
      <c r="F149" s="785"/>
      <c r="G149" s="114"/>
      <c r="H149" s="115"/>
      <c r="I149" s="115"/>
      <c r="J149" s="115"/>
      <c r="K149" s="115"/>
      <c r="L149" s="115"/>
      <c r="M149" s="115"/>
      <c r="N149" s="115"/>
      <c r="O149" s="116"/>
      <c r="P149" s="23"/>
      <c r="Q149" s="28"/>
      <c r="R149" s="28"/>
      <c r="S149" s="28"/>
      <c r="T149" s="14"/>
      <c r="AA149" s="199"/>
      <c r="AD149" s="200"/>
      <c r="AE149" s="200"/>
      <c r="AF149" s="200"/>
      <c r="AG149" s="200"/>
    </row>
    <row r="150" spans="1:36" s="191" customFormat="1" ht="200" customHeight="1">
      <c r="A150" s="187"/>
      <c r="B150" s="187"/>
      <c r="C150" s="192"/>
      <c r="D150" s="28"/>
      <c r="E150" s="801" t="s">
        <v>4239</v>
      </c>
      <c r="F150" s="802"/>
      <c r="G150" s="953"/>
      <c r="H150" s="954"/>
      <c r="I150" s="954"/>
      <c r="J150" s="954"/>
      <c r="K150" s="954"/>
      <c r="L150" s="954"/>
      <c r="M150" s="954"/>
      <c r="N150" s="954"/>
      <c r="O150" s="954"/>
      <c r="P150" s="954"/>
      <c r="Q150" s="954"/>
      <c r="R150" s="955"/>
      <c r="S150" s="28"/>
      <c r="T150" s="14"/>
      <c r="AA150" s="199"/>
      <c r="AD150" s="200"/>
      <c r="AE150" s="200"/>
      <c r="AF150" s="200"/>
      <c r="AG150" s="200"/>
    </row>
    <row r="151" spans="1:36" s="191" customFormat="1" ht="100.25" hidden="1" customHeight="1">
      <c r="A151" s="187"/>
      <c r="B151" s="187"/>
      <c r="C151" s="192"/>
      <c r="D151" s="28"/>
      <c r="E151" s="746" t="s">
        <v>4239</v>
      </c>
      <c r="F151" s="747"/>
      <c r="G151" s="957"/>
      <c r="H151" s="958"/>
      <c r="I151" s="958"/>
      <c r="J151" s="958"/>
      <c r="K151" s="958"/>
      <c r="L151" s="958"/>
      <c r="M151" s="958"/>
      <c r="N151" s="958"/>
      <c r="O151" s="959"/>
      <c r="P151" s="23"/>
      <c r="Q151" s="28"/>
      <c r="R151" s="28"/>
      <c r="S151" s="28"/>
      <c r="T151" s="31"/>
      <c r="U151" s="200"/>
      <c r="V151" s="200"/>
      <c r="W151" s="200"/>
      <c r="X151" s="200"/>
      <c r="Y151" s="200"/>
      <c r="Z151" s="200"/>
      <c r="AA151" s="199"/>
      <c r="AD151" s="200"/>
      <c r="AE151" s="200"/>
      <c r="AF151" s="200"/>
      <c r="AG151" s="200"/>
    </row>
    <row r="152" spans="1:36" s="197" customFormat="1" ht="100.25" hidden="1" customHeight="1">
      <c r="A152" s="192"/>
      <c r="B152" s="192"/>
      <c r="C152" s="192"/>
      <c r="D152" s="28"/>
      <c r="E152" s="746" t="s">
        <v>4239</v>
      </c>
      <c r="F152" s="747"/>
      <c r="G152" s="957"/>
      <c r="H152" s="958"/>
      <c r="I152" s="958"/>
      <c r="J152" s="958"/>
      <c r="K152" s="958"/>
      <c r="L152" s="958"/>
      <c r="M152" s="958"/>
      <c r="N152" s="958"/>
      <c r="O152" s="958"/>
      <c r="P152" s="958"/>
      <c r="Q152" s="958"/>
      <c r="R152" s="959"/>
      <c r="S152" s="28"/>
      <c r="T152" s="14"/>
      <c r="U152" s="191"/>
      <c r="V152" s="191"/>
      <c r="W152" s="191"/>
      <c r="X152" s="191"/>
      <c r="Y152" s="191"/>
      <c r="Z152" s="191"/>
      <c r="AA152" s="199"/>
      <c r="AB152" s="191"/>
      <c r="AC152" s="191"/>
      <c r="AD152" s="191"/>
      <c r="AE152" s="191"/>
      <c r="AF152" s="191"/>
      <c r="AG152" s="191"/>
      <c r="AH152" s="191"/>
    </row>
    <row r="153" spans="1:36" s="197" customFormat="1" ht="18" customHeight="1">
      <c r="A153" s="192"/>
      <c r="B153" s="192"/>
      <c r="C153" s="192"/>
      <c r="D153" s="28"/>
      <c r="E153" s="28"/>
      <c r="F153" s="28"/>
      <c r="G153" s="28"/>
      <c r="H153" s="28"/>
      <c r="I153" s="28"/>
      <c r="J153" s="28"/>
      <c r="K153" s="28"/>
      <c r="L153" s="28"/>
      <c r="M153" s="28"/>
      <c r="N153" s="28"/>
      <c r="O153" s="28"/>
      <c r="P153" s="28"/>
      <c r="Q153" s="28"/>
      <c r="R153" s="28"/>
      <c r="S153" s="28"/>
      <c r="T153" s="14"/>
      <c r="U153" s="191"/>
      <c r="V153" s="191"/>
      <c r="W153" s="191"/>
      <c r="X153" s="191"/>
      <c r="Y153" s="191"/>
      <c r="Z153" s="191"/>
      <c r="AA153" s="199"/>
      <c r="AB153" s="191"/>
      <c r="AC153" s="191"/>
      <c r="AD153" s="191"/>
      <c r="AE153" s="191"/>
      <c r="AF153" s="191"/>
      <c r="AG153" s="191"/>
      <c r="AH153" s="191"/>
    </row>
    <row r="154" spans="1:36" s="191" customFormat="1" ht="18" customHeight="1">
      <c r="A154" s="187"/>
      <c r="B154" s="187"/>
      <c r="C154" s="187"/>
      <c r="D154" s="28"/>
      <c r="E154" s="28"/>
      <c r="F154" s="28"/>
      <c r="G154" s="28"/>
      <c r="H154" s="28"/>
      <c r="I154" s="28"/>
      <c r="J154" s="28"/>
      <c r="K154" s="28"/>
      <c r="L154" s="28"/>
      <c r="M154" s="28"/>
      <c r="N154" s="28"/>
      <c r="O154" s="14"/>
      <c r="P154" s="14"/>
      <c r="Q154" s="79"/>
      <c r="R154" s="14"/>
      <c r="S154" s="14"/>
      <c r="T154" s="14"/>
      <c r="AA154" s="199"/>
    </row>
    <row r="155" spans="1:36" s="191" customFormat="1" ht="18" customHeight="1">
      <c r="A155" s="187"/>
      <c r="B155" s="187"/>
      <c r="C155" s="187"/>
      <c r="D155" s="34" t="s">
        <v>4436</v>
      </c>
      <c r="E155" s="14"/>
      <c r="F155" s="28"/>
      <c r="G155" s="28"/>
      <c r="H155" s="28"/>
      <c r="I155" s="28"/>
      <c r="J155" s="28"/>
      <c r="K155" s="28"/>
      <c r="L155" s="28"/>
      <c r="M155" s="28"/>
      <c r="N155" s="28"/>
      <c r="O155" s="14"/>
      <c r="P155" s="14"/>
      <c r="Q155" s="14"/>
      <c r="R155" s="79"/>
      <c r="S155" s="14"/>
      <c r="T155" s="14"/>
      <c r="AA155" s="199"/>
    </row>
    <row r="156" spans="1:36" s="191" customFormat="1" ht="18" customHeight="1">
      <c r="A156" s="187"/>
      <c r="B156" s="187"/>
      <c r="C156" s="187"/>
      <c r="D156" s="14"/>
      <c r="E156" s="16" t="s">
        <v>4437</v>
      </c>
      <c r="F156" s="28"/>
      <c r="G156" s="28"/>
      <c r="H156" s="28"/>
      <c r="I156" s="28"/>
      <c r="J156" s="28"/>
      <c r="K156" s="28"/>
      <c r="L156" s="28"/>
      <c r="M156" s="28"/>
      <c r="N156" s="28"/>
      <c r="O156" s="14"/>
      <c r="P156" s="14"/>
      <c r="Q156" s="14"/>
      <c r="R156" s="14"/>
      <c r="S156" s="14"/>
      <c r="T156" s="14"/>
      <c r="AA156" s="199"/>
    </row>
    <row r="157" spans="1:36" s="191" customFormat="1" ht="20.149999999999999" customHeight="1">
      <c r="A157" s="187"/>
      <c r="B157" s="187"/>
      <c r="C157" s="187"/>
      <c r="D157" s="14"/>
      <c r="E157" s="14"/>
      <c r="F157" s="14" t="str">
        <f>$AB$1+2&amp;"年度（第２年度）における実施状況をプルダウンから選択してください。"</f>
        <v>2年度（第２年度）における実施状況をプルダウンから選択してください。</v>
      </c>
      <c r="G157" s="28"/>
      <c r="H157" s="28"/>
      <c r="I157" s="28"/>
      <c r="J157" s="28"/>
      <c r="K157" s="28"/>
      <c r="L157" s="28"/>
      <c r="M157" s="28"/>
      <c r="N157" s="28"/>
      <c r="O157" s="14"/>
      <c r="P157" s="14"/>
      <c r="Q157" s="14"/>
      <c r="R157" s="14"/>
      <c r="S157" s="14"/>
      <c r="T157" s="14"/>
      <c r="AA157" s="199"/>
    </row>
    <row r="158" spans="1:36" s="191" customFormat="1" ht="20" hidden="1" customHeight="1">
      <c r="A158" s="187"/>
      <c r="B158" s="187"/>
      <c r="C158" s="187"/>
      <c r="D158" s="14"/>
      <c r="E158" s="14"/>
      <c r="F158" s="28"/>
      <c r="G158" s="28"/>
      <c r="H158" s="28"/>
      <c r="I158" s="28"/>
      <c r="J158" s="28"/>
      <c r="K158" s="28"/>
      <c r="L158" s="28"/>
      <c r="M158" s="28"/>
      <c r="N158" s="28"/>
      <c r="O158" s="14"/>
      <c r="P158" s="14"/>
      <c r="Q158" s="14"/>
      <c r="R158" s="14"/>
      <c r="S158" s="14"/>
      <c r="T158" s="14"/>
      <c r="AA158" s="199"/>
    </row>
    <row r="159" spans="1:36" s="191" customFormat="1" ht="25.25" hidden="1" customHeight="1">
      <c r="A159" s="187"/>
      <c r="B159" s="187"/>
      <c r="C159" s="187"/>
      <c r="D159" s="14"/>
      <c r="E159" s="14"/>
      <c r="F159" s="28"/>
      <c r="G159" s="28"/>
      <c r="H159" s="28"/>
      <c r="I159" s="28"/>
      <c r="J159" s="28"/>
      <c r="K159" s="28"/>
      <c r="L159" s="28"/>
      <c r="M159" s="28"/>
      <c r="N159" s="28"/>
      <c r="O159" s="14"/>
      <c r="P159" s="14"/>
      <c r="Q159" s="14"/>
      <c r="R159" s="14"/>
      <c r="S159" s="14"/>
      <c r="T159" s="14"/>
      <c r="AA159" s="199"/>
    </row>
    <row r="160" spans="1:36" s="191" customFormat="1" ht="20" hidden="1" customHeight="1">
      <c r="A160" s="187"/>
      <c r="B160" s="187"/>
      <c r="C160" s="187"/>
      <c r="D160" s="14"/>
      <c r="E160" s="14"/>
      <c r="F160" s="39"/>
      <c r="G160" s="14"/>
      <c r="H160" s="14"/>
      <c r="I160" s="39"/>
      <c r="J160" s="39"/>
      <c r="K160" s="14"/>
      <c r="L160" s="14"/>
      <c r="M160" s="39"/>
      <c r="N160" s="14"/>
      <c r="O160" s="39"/>
      <c r="P160" s="14"/>
      <c r="Q160" s="14"/>
      <c r="R160" s="14"/>
      <c r="S160" s="14"/>
      <c r="T160" s="14"/>
      <c r="AD160" s="199"/>
    </row>
    <row r="161" spans="1:30" s="191" customFormat="1" ht="20.149999999999999" customHeight="1">
      <c r="A161" s="187"/>
      <c r="B161" s="187"/>
      <c r="C161" s="187"/>
      <c r="D161" s="14"/>
      <c r="E161" s="249" t="s">
        <v>4240</v>
      </c>
      <c r="F161" s="14"/>
      <c r="G161" s="14"/>
      <c r="H161" s="14"/>
      <c r="I161" s="14"/>
      <c r="J161" s="14"/>
      <c r="K161" s="14"/>
      <c r="L161" s="14"/>
      <c r="M161" s="14"/>
      <c r="N161" s="14"/>
      <c r="O161" s="14"/>
      <c r="P161" s="14"/>
      <c r="Q161" s="14"/>
      <c r="R161" s="14"/>
      <c r="S161" s="14"/>
      <c r="T161" s="14"/>
      <c r="AD161" s="199"/>
    </row>
    <row r="162" spans="1:30" s="195" customFormat="1" ht="18" customHeight="1">
      <c r="A162" s="189"/>
      <c r="B162" s="189"/>
      <c r="C162" s="189"/>
      <c r="D162" s="77"/>
      <c r="E162" s="745" t="s">
        <v>77</v>
      </c>
      <c r="F162" s="762" t="s">
        <v>78</v>
      </c>
      <c r="G162" s="792" t="s">
        <v>79</v>
      </c>
      <c r="H162" s="793"/>
      <c r="I162" s="793"/>
      <c r="J162" s="793"/>
      <c r="K162" s="793"/>
      <c r="L162" s="793"/>
      <c r="M162" s="794"/>
      <c r="N162" s="117" t="s">
        <v>4020</v>
      </c>
      <c r="O162" s="132"/>
      <c r="P162" s="118"/>
      <c r="Q162" s="274"/>
      <c r="R162" s="77"/>
      <c r="S162" s="77"/>
      <c r="T162" s="77"/>
      <c r="AD162" s="196"/>
    </row>
    <row r="163" spans="1:30" s="195" customFormat="1" ht="18" customHeight="1">
      <c r="A163" s="189"/>
      <c r="B163" s="189"/>
      <c r="C163" s="189"/>
      <c r="D163" s="77"/>
      <c r="E163" s="745"/>
      <c r="F163" s="763"/>
      <c r="G163" s="795"/>
      <c r="H163" s="796"/>
      <c r="I163" s="796"/>
      <c r="J163" s="796"/>
      <c r="K163" s="796"/>
      <c r="L163" s="796"/>
      <c r="M163" s="797"/>
      <c r="N163" s="119" t="s">
        <v>4016</v>
      </c>
      <c r="O163" s="119" t="s">
        <v>4009</v>
      </c>
      <c r="P163" s="119" t="s">
        <v>4014</v>
      </c>
      <c r="Q163" s="274"/>
      <c r="R163" s="77"/>
      <c r="S163" s="77"/>
      <c r="T163" s="77"/>
      <c r="AD163" s="196"/>
    </row>
    <row r="164" spans="1:30" s="195" customFormat="1" ht="65.150000000000006" customHeight="1">
      <c r="A164" s="189"/>
      <c r="B164" s="189"/>
      <c r="C164" s="189"/>
      <c r="D164" s="77"/>
      <c r="E164" s="122">
        <v>1</v>
      </c>
      <c r="F164" s="90" t="s">
        <v>3973</v>
      </c>
      <c r="G164" s="755" t="s">
        <v>4464</v>
      </c>
      <c r="H164" s="756"/>
      <c r="I164" s="756"/>
      <c r="J164" s="756"/>
      <c r="K164" s="756"/>
      <c r="L164" s="756"/>
      <c r="M164" s="757"/>
      <c r="N164" s="8" t="str">
        <f>IF('入力シート（計画書）'!N164="","",'入力シート（計画書）'!N164)</f>
        <v/>
      </c>
      <c r="O164" s="9" t="str">
        <f>IFERROR(IF(VLOOKUP(F164,'入力シート（第１年度報告書）'!$F$164:$O$193,10,0)="","未入力",VLOOKUP(F164,'入力シート（第１年度報告書）'!$F$164:$O$193,10,0)),"-------")</f>
        <v>未入力</v>
      </c>
      <c r="P164" s="1"/>
      <c r="Q164" s="274"/>
      <c r="R164" s="77"/>
      <c r="S164" s="77"/>
      <c r="T164" s="77"/>
      <c r="AD164" s="196"/>
    </row>
    <row r="165" spans="1:30" s="195" customFormat="1" ht="65.150000000000006" customHeight="1">
      <c r="A165" s="189"/>
      <c r="B165" s="189"/>
      <c r="C165" s="189"/>
      <c r="D165" s="77"/>
      <c r="E165" s="122">
        <v>2</v>
      </c>
      <c r="F165" s="90" t="s">
        <v>3975</v>
      </c>
      <c r="G165" s="755" t="s">
        <v>4474</v>
      </c>
      <c r="H165" s="756"/>
      <c r="I165" s="756"/>
      <c r="J165" s="756"/>
      <c r="K165" s="756"/>
      <c r="L165" s="756"/>
      <c r="M165" s="757"/>
      <c r="N165" s="8" t="str">
        <f>IF('入力シート（計画書）'!N165="","",'入力シート（計画書）'!N165)</f>
        <v/>
      </c>
      <c r="O165" s="9" t="str">
        <f>IFERROR(IF(VLOOKUP(F165,'入力シート（第１年度報告書）'!$F$164:$O$193,10,0)="","未入力",VLOOKUP(F165,'入力シート（第１年度報告書）'!$F$164:$O$193,10,0)),"-------")</f>
        <v>未入力</v>
      </c>
      <c r="P165" s="1"/>
      <c r="Q165" s="274"/>
      <c r="R165" s="77"/>
      <c r="S165" s="77"/>
      <c r="T165" s="77"/>
      <c r="AD165" s="196"/>
    </row>
    <row r="166" spans="1:30" s="195" customFormat="1" ht="65.150000000000006" customHeight="1">
      <c r="A166" s="189"/>
      <c r="B166" s="189"/>
      <c r="C166" s="189"/>
      <c r="D166" s="77"/>
      <c r="E166" s="122">
        <v>3</v>
      </c>
      <c r="F166" s="90" t="s">
        <v>3974</v>
      </c>
      <c r="G166" s="755" t="s">
        <v>4465</v>
      </c>
      <c r="H166" s="756"/>
      <c r="I166" s="756"/>
      <c r="J166" s="756"/>
      <c r="K166" s="756"/>
      <c r="L166" s="756"/>
      <c r="M166" s="757"/>
      <c r="N166" s="8" t="str">
        <f>IF('入力シート（計画書）'!N166="","",'入力シート（計画書）'!N166)</f>
        <v/>
      </c>
      <c r="O166" s="9" t="str">
        <f>IFERROR(IF(VLOOKUP(F166,'入力シート（第１年度報告書）'!$F$164:$O$193,10,0)="","未入力",VLOOKUP(F166,'入力シート（第１年度報告書）'!$F$164:$O$193,10,0)),"-------")</f>
        <v>未入力</v>
      </c>
      <c r="P166" s="1"/>
      <c r="Q166" s="274"/>
      <c r="R166" s="77"/>
      <c r="S166" s="77"/>
      <c r="T166" s="77"/>
      <c r="AD166" s="196"/>
    </row>
    <row r="167" spans="1:30" s="195" customFormat="1" ht="65.150000000000006" customHeight="1">
      <c r="A167" s="189"/>
      <c r="B167" s="189"/>
      <c r="C167" s="189"/>
      <c r="D167" s="77"/>
      <c r="E167" s="122">
        <v>4</v>
      </c>
      <c r="F167" s="90" t="s">
        <v>4466</v>
      </c>
      <c r="G167" s="755" t="s">
        <v>4467</v>
      </c>
      <c r="H167" s="756"/>
      <c r="I167" s="756"/>
      <c r="J167" s="756"/>
      <c r="K167" s="756"/>
      <c r="L167" s="756"/>
      <c r="M167" s="757"/>
      <c r="N167" s="8" t="str">
        <f>IF('入力シート（計画書）'!N167="","",'入力シート（計画書）'!N167)</f>
        <v/>
      </c>
      <c r="O167" s="9" t="str">
        <f>IFERROR(IF(VLOOKUP(F167,'入力シート（第１年度報告書）'!$F$164:$O$193,10,0)="","未入力",VLOOKUP(F167,'入力シート（第１年度報告書）'!$F$164:$O$193,10,0)),"-------")</f>
        <v>未入力</v>
      </c>
      <c r="P167" s="1"/>
      <c r="Q167" s="274"/>
      <c r="R167" s="77"/>
      <c r="S167" s="77"/>
      <c r="T167" s="77"/>
      <c r="AD167" s="196"/>
    </row>
    <row r="168" spans="1:30" s="195" customFormat="1" ht="65.150000000000006" customHeight="1">
      <c r="A168" s="189"/>
      <c r="B168" s="189"/>
      <c r="C168" s="189"/>
      <c r="D168" s="77"/>
      <c r="E168" s="122">
        <v>5</v>
      </c>
      <c r="F168" s="90" t="s">
        <v>4442</v>
      </c>
      <c r="G168" s="755" t="s">
        <v>4443</v>
      </c>
      <c r="H168" s="756"/>
      <c r="I168" s="756"/>
      <c r="J168" s="756"/>
      <c r="K168" s="756"/>
      <c r="L168" s="756"/>
      <c r="M168" s="757"/>
      <c r="N168" s="8" t="str">
        <f>IF('入力シート（計画書）'!N168="","",'入力シート（計画書）'!N168)</f>
        <v/>
      </c>
      <c r="O168" s="9" t="str">
        <f>IFERROR(IF(VLOOKUP(F168,'入力シート（第１年度報告書）'!$F$164:$O$193,10,0)="","未入力",VLOOKUP(F168,'入力シート（第１年度報告書）'!$F$164:$O$193,10,0)),"-------")</f>
        <v>未入力</v>
      </c>
      <c r="P168" s="3"/>
      <c r="Q168" s="274"/>
      <c r="R168" s="77"/>
      <c r="S168" s="77"/>
      <c r="T168" s="77"/>
      <c r="AD168" s="196"/>
    </row>
    <row r="169" spans="1:30" s="195" customFormat="1" ht="65.150000000000006" customHeight="1">
      <c r="A169" s="189"/>
      <c r="B169" s="189"/>
      <c r="C169" s="189"/>
      <c r="D169" s="77"/>
      <c r="E169" s="122">
        <v>6</v>
      </c>
      <c r="F169" s="90" t="s">
        <v>4444</v>
      </c>
      <c r="G169" s="755" t="s">
        <v>4468</v>
      </c>
      <c r="H169" s="756"/>
      <c r="I169" s="756"/>
      <c r="J169" s="756"/>
      <c r="K169" s="756"/>
      <c r="L169" s="756"/>
      <c r="M169" s="757"/>
      <c r="N169" s="8" t="str">
        <f>IF('入力シート（計画書）'!N169="","",'入力シート（計画書）'!N169)</f>
        <v/>
      </c>
      <c r="O169" s="9" t="str">
        <f>IFERROR(IF(VLOOKUP(F169,'入力シート（第１年度報告書）'!$F$164:$O$193,10,0)="","未入力",VLOOKUP(F169,'入力シート（第１年度報告書）'!$F$164:$O$193,10,0)),"-------")</f>
        <v>未入力</v>
      </c>
      <c r="P169" s="1"/>
      <c r="Q169" s="274"/>
      <c r="R169" s="77"/>
      <c r="S169" s="77"/>
      <c r="T169" s="77"/>
      <c r="AD169" s="196"/>
    </row>
    <row r="170" spans="1:30" s="195" customFormat="1" ht="65.150000000000006" customHeight="1">
      <c r="A170" s="189"/>
      <c r="B170" s="189"/>
      <c r="C170" s="189"/>
      <c r="D170" s="77"/>
      <c r="E170" s="122">
        <v>7</v>
      </c>
      <c r="F170" s="90" t="s">
        <v>3977</v>
      </c>
      <c r="G170" s="755" t="s">
        <v>4475</v>
      </c>
      <c r="H170" s="756"/>
      <c r="I170" s="756"/>
      <c r="J170" s="756"/>
      <c r="K170" s="756"/>
      <c r="L170" s="756"/>
      <c r="M170" s="757"/>
      <c r="N170" s="8" t="str">
        <f>IF('入力シート（計画書）'!N170="","",'入力シート（計画書）'!N170)</f>
        <v/>
      </c>
      <c r="O170" s="9" t="str">
        <f>IFERROR(IF(VLOOKUP(F170,'入力シート（第１年度報告書）'!$F$164:$O$193,10,0)="","未入力",VLOOKUP(F170,'入力シート（第１年度報告書）'!$F$164:$O$193,10,0)),"-------")</f>
        <v>未入力</v>
      </c>
      <c r="P170" s="1"/>
      <c r="Q170" s="274"/>
      <c r="R170" s="77"/>
      <c r="S170" s="77"/>
      <c r="T170" s="77"/>
      <c r="AD170" s="196"/>
    </row>
    <row r="171" spans="1:30" s="195" customFormat="1" ht="65.150000000000006" customHeight="1">
      <c r="A171" s="189"/>
      <c r="B171" s="189"/>
      <c r="C171" s="189"/>
      <c r="D171" s="77"/>
      <c r="E171" s="122">
        <v>8</v>
      </c>
      <c r="F171" s="90" t="s">
        <v>4469</v>
      </c>
      <c r="G171" s="755" t="s">
        <v>4470</v>
      </c>
      <c r="H171" s="756"/>
      <c r="I171" s="756"/>
      <c r="J171" s="756"/>
      <c r="K171" s="756"/>
      <c r="L171" s="756"/>
      <c r="M171" s="757"/>
      <c r="N171" s="8" t="str">
        <f>IF('入力シート（計画書）'!N171="","",'入力シート（計画書）'!N171)</f>
        <v/>
      </c>
      <c r="O171" s="9" t="str">
        <f>IFERROR(IF(VLOOKUP(F171,'入力シート（第１年度報告書）'!$F$164:$O$193,10,0)="","未入力",VLOOKUP(F171,'入力シート（第１年度報告書）'!$F$164:$O$193,10,0)),"-------")</f>
        <v>未入力</v>
      </c>
      <c r="P171" s="1"/>
      <c r="Q171" s="274"/>
      <c r="R171" s="77"/>
      <c r="S171" s="77"/>
      <c r="T171" s="77"/>
      <c r="AD171" s="196"/>
    </row>
    <row r="172" spans="1:30" s="195" customFormat="1" ht="65.150000000000006" customHeight="1">
      <c r="A172" s="189"/>
      <c r="B172" s="189"/>
      <c r="C172" s="189"/>
      <c r="D172" s="77"/>
      <c r="E172" s="122">
        <v>9</v>
      </c>
      <c r="F172" s="90" t="s">
        <v>4461</v>
      </c>
      <c r="G172" s="755" t="s">
        <v>4462</v>
      </c>
      <c r="H172" s="756"/>
      <c r="I172" s="756"/>
      <c r="J172" s="756"/>
      <c r="K172" s="756"/>
      <c r="L172" s="756"/>
      <c r="M172" s="757"/>
      <c r="N172" s="8" t="str">
        <f>IF('入力シート（計画書）'!N172="","",'入力シート（計画書）'!N172)</f>
        <v/>
      </c>
      <c r="O172" s="9" t="str">
        <f>IFERROR(IF(VLOOKUP(F172,'入力シート（第１年度報告書）'!$F$164:$O$193,10,0)="","未入力",VLOOKUP(F172,'入力シート（第１年度報告書）'!$F$164:$O$193,10,0)),"-------")</f>
        <v>未入力</v>
      </c>
      <c r="P172" s="1"/>
      <c r="Q172" s="274"/>
      <c r="R172" s="77"/>
      <c r="S172" s="77"/>
      <c r="T172" s="77"/>
      <c r="AD172" s="196"/>
    </row>
    <row r="173" spans="1:30" s="195" customFormat="1" ht="65.150000000000006" customHeight="1">
      <c r="A173" s="189"/>
      <c r="B173" s="189"/>
      <c r="C173" s="189"/>
      <c r="D173" s="77"/>
      <c r="E173" s="122">
        <v>10</v>
      </c>
      <c r="F173" s="90" t="s">
        <v>4476</v>
      </c>
      <c r="G173" s="755" t="s">
        <v>4445</v>
      </c>
      <c r="H173" s="756"/>
      <c r="I173" s="756"/>
      <c r="J173" s="756"/>
      <c r="K173" s="756"/>
      <c r="L173" s="756"/>
      <c r="M173" s="757"/>
      <c r="N173" s="8" t="str">
        <f>IF('入力シート（計画書）'!N173="","",'入力シート（計画書）'!N173)</f>
        <v/>
      </c>
      <c r="O173" s="9" t="str">
        <f>IFERROR(IF(VLOOKUP(F173,'入力シート（第１年度報告書）'!$F$164:$O$193,10,0)="","未入力",VLOOKUP(F173,'入力シート（第１年度報告書）'!$F$164:$O$193,10,0)),"-------")</f>
        <v>未入力</v>
      </c>
      <c r="P173" s="1"/>
      <c r="Q173" s="274"/>
      <c r="R173" s="77"/>
      <c r="S173" s="77"/>
      <c r="T173" s="77"/>
      <c r="AD173" s="196"/>
    </row>
    <row r="174" spans="1:30" s="195" customFormat="1" ht="65.150000000000006" customHeight="1">
      <c r="A174" s="189"/>
      <c r="B174" s="189"/>
      <c r="C174" s="189"/>
      <c r="D174" s="77"/>
      <c r="E174" s="122">
        <v>11</v>
      </c>
      <c r="F174" s="90" t="s">
        <v>4477</v>
      </c>
      <c r="G174" s="755" t="s">
        <v>4446</v>
      </c>
      <c r="H174" s="756"/>
      <c r="I174" s="756"/>
      <c r="J174" s="756"/>
      <c r="K174" s="756"/>
      <c r="L174" s="756"/>
      <c r="M174" s="757"/>
      <c r="N174" s="8" t="str">
        <f>IF('入力シート（計画書）'!N174="","",'入力シート（計画書）'!N174)</f>
        <v/>
      </c>
      <c r="O174" s="9" t="str">
        <f>IFERROR(IF(VLOOKUP(F174,'入力シート（第１年度報告書）'!$F$164:$O$193,10,0)="","未入力",VLOOKUP(F174,'入力シート（第１年度報告書）'!$F$164:$O$193,10,0)),"-------")</f>
        <v>未入力</v>
      </c>
      <c r="P174" s="1"/>
      <c r="Q174" s="274"/>
      <c r="R174" s="77"/>
      <c r="S174" s="77"/>
      <c r="T174" s="77"/>
      <c r="AD174" s="196"/>
    </row>
    <row r="175" spans="1:30" s="195" customFormat="1" ht="65.150000000000006" customHeight="1">
      <c r="A175" s="189"/>
      <c r="B175" s="189"/>
      <c r="C175" s="189"/>
      <c r="D175" s="77"/>
      <c r="E175" s="122">
        <v>12</v>
      </c>
      <c r="F175" s="90" t="s">
        <v>4447</v>
      </c>
      <c r="G175" s="755" t="s">
        <v>4448</v>
      </c>
      <c r="H175" s="756"/>
      <c r="I175" s="756"/>
      <c r="J175" s="756"/>
      <c r="K175" s="756"/>
      <c r="L175" s="756"/>
      <c r="M175" s="757"/>
      <c r="N175" s="8" t="str">
        <f>IF('入力シート（計画書）'!N175="","",'入力シート（計画書）'!N175)</f>
        <v/>
      </c>
      <c r="O175" s="9" t="str">
        <f>IFERROR(IF(VLOOKUP(F175,'入力シート（第１年度報告書）'!$F$164:$O$193,10,0)="","未入力",VLOOKUP(F175,'入力シート（第１年度報告書）'!$F$164:$O$193,10,0)),"-------")</f>
        <v>未入力</v>
      </c>
      <c r="P175" s="1"/>
      <c r="Q175" s="274"/>
      <c r="R175" s="77"/>
      <c r="S175" s="77"/>
      <c r="T175" s="77"/>
      <c r="AD175" s="196"/>
    </row>
    <row r="176" spans="1:30" s="195" customFormat="1" ht="65.150000000000006" customHeight="1">
      <c r="A176" s="189"/>
      <c r="B176" s="189"/>
      <c r="C176" s="189"/>
      <c r="D176" s="77"/>
      <c r="E176" s="122">
        <v>13</v>
      </c>
      <c r="F176" s="90" t="s">
        <v>4478</v>
      </c>
      <c r="G176" s="755" t="s">
        <v>4479</v>
      </c>
      <c r="H176" s="756"/>
      <c r="I176" s="756"/>
      <c r="J176" s="756"/>
      <c r="K176" s="756"/>
      <c r="L176" s="756"/>
      <c r="M176" s="757"/>
      <c r="N176" s="8" t="str">
        <f>IF('入力シート（計画書）'!N176="","",'入力シート（計画書）'!N176)</f>
        <v/>
      </c>
      <c r="O176" s="9" t="str">
        <f>IFERROR(IF(VLOOKUP(F176,'入力シート（第１年度報告書）'!$F$164:$O$193,10,0)="","未入力",VLOOKUP(F176,'入力シート（第１年度報告書）'!$F$164:$O$193,10,0)),"-------")</f>
        <v>未入力</v>
      </c>
      <c r="P176" s="1"/>
      <c r="Q176" s="274"/>
      <c r="R176" s="77"/>
      <c r="S176" s="77"/>
      <c r="T176" s="77"/>
      <c r="AD176" s="196"/>
    </row>
    <row r="177" spans="1:30" s="195" customFormat="1" ht="65.150000000000006" customHeight="1">
      <c r="A177" s="189"/>
      <c r="B177" s="189"/>
      <c r="C177" s="189"/>
      <c r="D177" s="77"/>
      <c r="E177" s="122">
        <v>14</v>
      </c>
      <c r="F177" s="90" t="s">
        <v>4451</v>
      </c>
      <c r="G177" s="755" t="s">
        <v>4452</v>
      </c>
      <c r="H177" s="756"/>
      <c r="I177" s="756"/>
      <c r="J177" s="756"/>
      <c r="K177" s="756"/>
      <c r="L177" s="756"/>
      <c r="M177" s="757"/>
      <c r="N177" s="8" t="str">
        <f>IF('入力シート（計画書）'!N177="","",'入力シート（計画書）'!N177)</f>
        <v/>
      </c>
      <c r="O177" s="9" t="str">
        <f>IFERROR(IF(VLOOKUP(F177,'入力シート（第１年度報告書）'!$F$164:$O$193,10,0)="","未入力",VLOOKUP(F177,'入力シート（第１年度報告書）'!$F$164:$O$193,10,0)),"-------")</f>
        <v>未入力</v>
      </c>
      <c r="P177" s="1"/>
      <c r="Q177" s="274"/>
      <c r="R177" s="77"/>
      <c r="S177" s="77"/>
      <c r="T177" s="77"/>
      <c r="AD177" s="196"/>
    </row>
    <row r="178" spans="1:30" s="195" customFormat="1" ht="65.150000000000006" customHeight="1">
      <c r="A178" s="189"/>
      <c r="B178" s="189"/>
      <c r="C178" s="189"/>
      <c r="D178" s="77"/>
      <c r="E178" s="122">
        <v>15</v>
      </c>
      <c r="F178" s="90" t="s">
        <v>4450</v>
      </c>
      <c r="G178" s="755" t="s">
        <v>4471</v>
      </c>
      <c r="H178" s="756"/>
      <c r="I178" s="756"/>
      <c r="J178" s="756"/>
      <c r="K178" s="756"/>
      <c r="L178" s="756"/>
      <c r="M178" s="757"/>
      <c r="N178" s="8" t="str">
        <f>IF('入力シート（計画書）'!N178="","",'入力シート（計画書）'!N178)</f>
        <v/>
      </c>
      <c r="O178" s="9" t="str">
        <f>IFERROR(IF(VLOOKUP(F178,'入力シート（第１年度報告書）'!$F$164:$O$193,10,0)="","未入力",VLOOKUP(F178,'入力シート（第１年度報告書）'!$F$164:$O$193,10,0)),"-------")</f>
        <v>未入力</v>
      </c>
      <c r="P178" s="1"/>
      <c r="Q178" s="274"/>
      <c r="R178" s="77"/>
      <c r="S178" s="77"/>
      <c r="T178" s="77"/>
      <c r="AD178" s="196"/>
    </row>
    <row r="179" spans="1:30" s="195" customFormat="1" ht="65.150000000000006" customHeight="1">
      <c r="A179" s="189"/>
      <c r="B179" s="189"/>
      <c r="C179" s="189"/>
      <c r="D179" s="77"/>
      <c r="E179" s="122">
        <v>16</v>
      </c>
      <c r="F179" s="90" t="s">
        <v>3976</v>
      </c>
      <c r="G179" s="755" t="s">
        <v>4472</v>
      </c>
      <c r="H179" s="756"/>
      <c r="I179" s="756"/>
      <c r="J179" s="756"/>
      <c r="K179" s="756"/>
      <c r="L179" s="756"/>
      <c r="M179" s="757"/>
      <c r="N179" s="8" t="str">
        <f>IF('入力シート（計画書）'!N179="","",'入力シート（計画書）'!N179)</f>
        <v/>
      </c>
      <c r="O179" s="9" t="str">
        <f>IFERROR(IF(VLOOKUP(F179,'入力シート（第１年度報告書）'!$F$164:$O$193,10,0)="","未入力",VLOOKUP(F179,'入力シート（第１年度報告書）'!$F$164:$O$193,10,0)),"-------")</f>
        <v>未入力</v>
      </c>
      <c r="P179" s="1"/>
      <c r="Q179" s="274"/>
      <c r="R179" s="77"/>
      <c r="S179" s="77"/>
      <c r="T179" s="77"/>
      <c r="AD179" s="196"/>
    </row>
    <row r="180" spans="1:30" s="195" customFormat="1" ht="65.150000000000006" customHeight="1">
      <c r="A180" s="189"/>
      <c r="B180" s="189"/>
      <c r="C180" s="189"/>
      <c r="D180" s="77"/>
      <c r="E180" s="122">
        <v>17</v>
      </c>
      <c r="F180" s="90" t="s">
        <v>4449</v>
      </c>
      <c r="G180" s="755" t="s">
        <v>4480</v>
      </c>
      <c r="H180" s="756"/>
      <c r="I180" s="756"/>
      <c r="J180" s="756"/>
      <c r="K180" s="756"/>
      <c r="L180" s="756"/>
      <c r="M180" s="757"/>
      <c r="N180" s="8" t="str">
        <f>IF('入力シート（計画書）'!N180="","",'入力シート（計画書）'!N180)</f>
        <v/>
      </c>
      <c r="O180" s="9" t="str">
        <f>IFERROR(IF(VLOOKUP(F180,'入力シート（第１年度報告書）'!$F$164:$O$193,10,0)="","未入力",VLOOKUP(F180,'入力シート（第１年度報告書）'!$F$164:$O$193,10,0)),"-------")</f>
        <v>未入力</v>
      </c>
      <c r="P180" s="1"/>
      <c r="Q180" s="274"/>
      <c r="R180" s="77"/>
      <c r="S180" s="77"/>
      <c r="T180" s="77"/>
      <c r="AD180" s="196"/>
    </row>
    <row r="181" spans="1:30" s="195" customFormat="1" ht="65.150000000000006" customHeight="1">
      <c r="A181" s="189"/>
      <c r="B181" s="189"/>
      <c r="C181" s="189"/>
      <c r="D181" s="77"/>
      <c r="E181" s="122">
        <v>18</v>
      </c>
      <c r="F181" s="90" t="s">
        <v>4342</v>
      </c>
      <c r="G181" s="755" t="s">
        <v>4473</v>
      </c>
      <c r="H181" s="756"/>
      <c r="I181" s="756"/>
      <c r="J181" s="756"/>
      <c r="K181" s="756"/>
      <c r="L181" s="756"/>
      <c r="M181" s="757"/>
      <c r="N181" s="8" t="str">
        <f>IF('入力シート（計画書）'!N181="","",'入力シート（計画書）'!N181)</f>
        <v/>
      </c>
      <c r="O181" s="9" t="str">
        <f>IFERROR(IF(VLOOKUP(F181,'入力シート（第１年度報告書）'!$F$164:$O$193,10,0)="","未入力",VLOOKUP(F181,'入力シート（第１年度報告書）'!$F$164:$O$193,10,0)),"-------")</f>
        <v>未入力</v>
      </c>
      <c r="P181" s="1"/>
      <c r="Q181" s="274"/>
      <c r="R181" s="77"/>
      <c r="S181" s="77"/>
      <c r="T181" s="77"/>
      <c r="AD181" s="196"/>
    </row>
    <row r="182" spans="1:30" s="195" customFormat="1" ht="65.150000000000006" hidden="1" customHeight="1">
      <c r="A182" s="189"/>
      <c r="B182" s="189"/>
      <c r="C182" s="189"/>
      <c r="D182" s="77"/>
      <c r="E182" s="13"/>
      <c r="F182" s="13"/>
      <c r="G182" s="13"/>
      <c r="H182" s="13"/>
      <c r="I182" s="13"/>
      <c r="J182" s="13"/>
      <c r="K182" s="13"/>
      <c r="L182" s="13"/>
      <c r="M182" s="13"/>
      <c r="N182" s="13"/>
      <c r="O182" s="13"/>
      <c r="P182" s="13"/>
      <c r="Q182" s="13"/>
      <c r="R182" s="13"/>
      <c r="S182" s="77"/>
      <c r="T182" s="77"/>
      <c r="AD182" s="196"/>
    </row>
    <row r="183" spans="1:30" s="195" customFormat="1" ht="65.150000000000006" hidden="1" customHeight="1">
      <c r="A183" s="189"/>
      <c r="B183" s="189"/>
      <c r="C183" s="189"/>
      <c r="D183" s="77"/>
      <c r="E183" s="13"/>
      <c r="F183" s="13"/>
      <c r="G183" s="13"/>
      <c r="H183" s="13"/>
      <c r="I183" s="13"/>
      <c r="J183" s="13"/>
      <c r="K183" s="13"/>
      <c r="L183" s="13"/>
      <c r="M183" s="13"/>
      <c r="N183" s="13"/>
      <c r="O183" s="13"/>
      <c r="P183" s="13"/>
      <c r="Q183" s="13"/>
      <c r="R183" s="13"/>
      <c r="S183" s="77"/>
      <c r="T183" s="77"/>
      <c r="AD183" s="196"/>
    </row>
    <row r="184" spans="1:30" s="195" customFormat="1" ht="65.150000000000006" hidden="1" customHeight="1">
      <c r="A184" s="189"/>
      <c r="B184" s="189"/>
      <c r="C184" s="189"/>
      <c r="D184" s="77"/>
      <c r="E184" s="13"/>
      <c r="F184" s="13"/>
      <c r="G184" s="13"/>
      <c r="H184" s="13"/>
      <c r="I184" s="13"/>
      <c r="J184" s="13"/>
      <c r="K184" s="13"/>
      <c r="L184" s="13"/>
      <c r="M184" s="13"/>
      <c r="N184" s="13"/>
      <c r="O184" s="13"/>
      <c r="P184" s="13"/>
      <c r="Q184" s="13"/>
      <c r="R184" s="13"/>
      <c r="S184" s="77"/>
      <c r="T184" s="77"/>
      <c r="AD184" s="196"/>
    </row>
    <row r="185" spans="1:30" s="195" customFormat="1" ht="65.150000000000006" hidden="1" customHeight="1">
      <c r="A185" s="189"/>
      <c r="B185" s="189"/>
      <c r="C185" s="189"/>
      <c r="D185" s="77"/>
      <c r="E185" s="13"/>
      <c r="F185" s="13"/>
      <c r="G185" s="13"/>
      <c r="H185" s="13"/>
      <c r="I185" s="13"/>
      <c r="J185" s="13"/>
      <c r="K185" s="13"/>
      <c r="L185" s="13"/>
      <c r="M185" s="13"/>
      <c r="N185" s="13"/>
      <c r="O185" s="13"/>
      <c r="P185" s="13"/>
      <c r="Q185" s="13"/>
      <c r="R185" s="13"/>
      <c r="S185" s="77"/>
      <c r="T185" s="77"/>
      <c r="AD185" s="196"/>
    </row>
    <row r="186" spans="1:30" s="195" customFormat="1" ht="65.150000000000006" hidden="1" customHeight="1">
      <c r="A186" s="189"/>
      <c r="B186" s="189"/>
      <c r="C186" s="189"/>
      <c r="D186" s="77"/>
      <c r="E186" s="13"/>
      <c r="F186" s="13"/>
      <c r="G186" s="13"/>
      <c r="H186" s="13"/>
      <c r="I186" s="13"/>
      <c r="J186" s="13"/>
      <c r="K186" s="13"/>
      <c r="L186" s="13"/>
      <c r="M186" s="13"/>
      <c r="N186" s="13"/>
      <c r="O186" s="13"/>
      <c r="P186" s="13"/>
      <c r="Q186" s="13"/>
      <c r="R186" s="13"/>
      <c r="S186" s="77"/>
      <c r="T186" s="77"/>
      <c r="AD186" s="196"/>
    </row>
    <row r="187" spans="1:30" s="195" customFormat="1" ht="65" hidden="1" customHeight="1">
      <c r="A187" s="189"/>
      <c r="B187" s="189"/>
      <c r="C187" s="189"/>
      <c r="D187" s="77"/>
      <c r="E187" s="28"/>
      <c r="F187" s="28"/>
      <c r="G187" s="28"/>
      <c r="H187" s="28"/>
      <c r="I187" s="28"/>
      <c r="J187" s="28"/>
      <c r="K187" s="28"/>
      <c r="L187" s="28"/>
      <c r="M187" s="28"/>
      <c r="N187" s="28"/>
      <c r="O187" s="28"/>
      <c r="P187" s="28"/>
      <c r="Q187" s="28"/>
      <c r="R187" s="28"/>
      <c r="S187" s="28"/>
      <c r="T187" s="28"/>
      <c r="AD187" s="196"/>
    </row>
    <row r="188" spans="1:30" s="195" customFormat="1" ht="65" hidden="1" customHeight="1">
      <c r="A188" s="189"/>
      <c r="B188" s="189"/>
      <c r="C188" s="189"/>
      <c r="D188" s="77"/>
      <c r="E188" s="28"/>
      <c r="F188" s="28"/>
      <c r="G188" s="28"/>
      <c r="H188" s="28"/>
      <c r="I188" s="28"/>
      <c r="J188" s="28"/>
      <c r="K188" s="28"/>
      <c r="L188" s="28"/>
      <c r="M188" s="28"/>
      <c r="N188" s="28"/>
      <c r="O188" s="28"/>
      <c r="P188" s="28"/>
      <c r="Q188" s="28"/>
      <c r="R188" s="28"/>
      <c r="S188" s="28"/>
      <c r="T188" s="28"/>
      <c r="AD188" s="196"/>
    </row>
    <row r="189" spans="1:30" s="195" customFormat="1" ht="65" hidden="1" customHeight="1">
      <c r="A189" s="189"/>
      <c r="B189" s="189"/>
      <c r="C189" s="189"/>
      <c r="D189" s="77"/>
      <c r="E189" s="28"/>
      <c r="F189" s="28"/>
      <c r="G189" s="28"/>
      <c r="H189" s="28"/>
      <c r="I189" s="28"/>
      <c r="J189" s="28"/>
      <c r="K189" s="28"/>
      <c r="L189" s="28"/>
      <c r="M189" s="28"/>
      <c r="N189" s="28"/>
      <c r="O189" s="28"/>
      <c r="P189" s="28"/>
      <c r="Q189" s="28"/>
      <c r="R189" s="28"/>
      <c r="S189" s="28"/>
      <c r="T189" s="28"/>
      <c r="AD189" s="196"/>
    </row>
    <row r="190" spans="1:30" s="195" customFormat="1" ht="65" hidden="1" customHeight="1">
      <c r="A190" s="189"/>
      <c r="B190" s="189"/>
      <c r="C190" s="189"/>
      <c r="D190" s="77"/>
      <c r="E190" s="28"/>
      <c r="F190" s="28"/>
      <c r="G190" s="28"/>
      <c r="H190" s="28"/>
      <c r="I190" s="28"/>
      <c r="J190" s="28"/>
      <c r="K190" s="28"/>
      <c r="L190" s="28"/>
      <c r="M190" s="28"/>
      <c r="N190" s="28"/>
      <c r="O190" s="28"/>
      <c r="P190" s="28"/>
      <c r="Q190" s="28"/>
      <c r="R190" s="28"/>
      <c r="S190" s="28"/>
      <c r="T190" s="28"/>
      <c r="AD190" s="196"/>
    </row>
    <row r="191" spans="1:30" s="195" customFormat="1" ht="65" hidden="1" customHeight="1">
      <c r="A191" s="189"/>
      <c r="B191" s="189"/>
      <c r="C191" s="189"/>
      <c r="D191" s="77"/>
      <c r="E191" s="28"/>
      <c r="F191" s="28"/>
      <c r="G191" s="28"/>
      <c r="H191" s="28"/>
      <c r="I191" s="28"/>
      <c r="J191" s="28"/>
      <c r="K191" s="28"/>
      <c r="L191" s="28"/>
      <c r="M191" s="28"/>
      <c r="N191" s="28"/>
      <c r="O191" s="28"/>
      <c r="P191" s="28"/>
      <c r="Q191" s="28"/>
      <c r="R191" s="28"/>
      <c r="S191" s="28"/>
      <c r="T191" s="28"/>
      <c r="AD191" s="196"/>
    </row>
    <row r="192" spans="1:30" s="195" customFormat="1" ht="65" hidden="1" customHeight="1">
      <c r="A192" s="189"/>
      <c r="B192" s="189"/>
      <c r="C192" s="189"/>
      <c r="D192" s="77"/>
      <c r="E192" s="28"/>
      <c r="F192" s="28"/>
      <c r="G192" s="28"/>
      <c r="H192" s="28"/>
      <c r="I192" s="28"/>
      <c r="J192" s="28"/>
      <c r="K192" s="28"/>
      <c r="L192" s="28"/>
      <c r="M192" s="28"/>
      <c r="N192" s="28"/>
      <c r="O192" s="28"/>
      <c r="P192" s="28"/>
      <c r="Q192" s="28"/>
      <c r="R192" s="28"/>
      <c r="S192" s="28"/>
      <c r="T192" s="28"/>
      <c r="AD192" s="196"/>
    </row>
    <row r="193" spans="1:30" s="195" customFormat="1" ht="65" hidden="1" customHeight="1">
      <c r="A193" s="189"/>
      <c r="B193" s="189"/>
      <c r="C193" s="189"/>
      <c r="D193" s="77"/>
      <c r="E193" s="28"/>
      <c r="F193" s="28"/>
      <c r="G193" s="28"/>
      <c r="H193" s="28"/>
      <c r="I193" s="28"/>
      <c r="J193" s="28"/>
      <c r="K193" s="28"/>
      <c r="L193" s="28"/>
      <c r="M193" s="28"/>
      <c r="N193" s="28"/>
      <c r="O193" s="28"/>
      <c r="P193" s="28"/>
      <c r="Q193" s="28"/>
      <c r="R193" s="28"/>
      <c r="S193" s="28"/>
      <c r="T193" s="28"/>
      <c r="AD193" s="196"/>
    </row>
    <row r="194" spans="1:30" s="195" customFormat="1" ht="18" customHeight="1">
      <c r="A194" s="189"/>
      <c r="B194" s="189"/>
      <c r="C194" s="189"/>
      <c r="D194" s="77"/>
      <c r="E194" s="77"/>
      <c r="F194" s="77"/>
      <c r="G194" s="77"/>
      <c r="H194" s="77"/>
      <c r="I194" s="77"/>
      <c r="J194" s="77"/>
      <c r="K194" s="77"/>
      <c r="L194" s="77"/>
      <c r="M194" s="77"/>
      <c r="N194" s="77"/>
      <c r="O194" s="77"/>
      <c r="P194" s="77"/>
      <c r="Q194" s="77"/>
      <c r="R194" s="28"/>
      <c r="S194" s="77"/>
      <c r="T194" s="77"/>
      <c r="AD194" s="196"/>
    </row>
    <row r="195" spans="1:30" s="191" customFormat="1" ht="18" customHeight="1">
      <c r="A195" s="187"/>
      <c r="B195" s="187"/>
      <c r="C195" s="187"/>
      <c r="D195" s="14"/>
      <c r="E195" s="16" t="str">
        <f>"８-２．【選択対策】基本対策に加えて、計画期間中に積極的に実施することが望ましい取組み"</f>
        <v>８-２．【選択対策】基本対策に加えて、計画期間中に積極的に実施することが望ましい取組み</v>
      </c>
      <c r="F195" s="14"/>
      <c r="G195" s="14"/>
      <c r="H195" s="14"/>
      <c r="I195" s="14"/>
      <c r="J195" s="14"/>
      <c r="K195" s="14"/>
      <c r="L195" s="14"/>
      <c r="M195" s="14"/>
      <c r="N195" s="79"/>
      <c r="O195" s="14"/>
      <c r="P195" s="14"/>
      <c r="Q195" s="14"/>
      <c r="R195" s="28"/>
      <c r="S195" s="14"/>
      <c r="T195" s="14"/>
      <c r="AD195" s="199"/>
    </row>
    <row r="196" spans="1:30" s="191" customFormat="1" ht="20.149999999999999" customHeight="1">
      <c r="A196" s="187"/>
      <c r="B196" s="187"/>
      <c r="C196" s="187"/>
      <c r="D196" s="14"/>
      <c r="E196" s="120"/>
      <c r="F196" s="24" t="str">
        <f>$AB$1+2&amp;"年度（第２年度）における実施状況をプルダウンから選択してください。"</f>
        <v>2年度（第２年度）における実施状況をプルダウンから選択してください。</v>
      </c>
      <c r="G196" s="14"/>
      <c r="H196" s="14"/>
      <c r="I196" s="14"/>
      <c r="J196" s="14"/>
      <c r="K196" s="14"/>
      <c r="L196" s="14"/>
      <c r="M196" s="14"/>
      <c r="N196" s="14"/>
      <c r="O196" s="97"/>
      <c r="P196" s="14"/>
      <c r="Q196" s="14"/>
      <c r="R196" s="28"/>
      <c r="S196" s="14"/>
      <c r="T196" s="14"/>
      <c r="U196" s="281"/>
      <c r="AD196" s="199"/>
    </row>
    <row r="197" spans="1:30" s="191" customFormat="1" ht="20.149999999999999" customHeight="1">
      <c r="A197" s="187"/>
      <c r="B197" s="187"/>
      <c r="C197" s="187"/>
      <c r="D197" s="14"/>
      <c r="E197" s="121"/>
      <c r="F197" s="37" t="str">
        <f>"　項目の追加："&amp;$AB$1+2&amp;"年度（第２年度）に開始した取組み、期間中に実施予定の取組は、『選択対策 項目追加する場合はこちら』ボタンを押下し移動後、"</f>
        <v>　項目の追加：2年度（第２年度）に開始した取組み、期間中に実施予定の取組は、『選択対策 項目追加する場合はこちら』ボタンを押下し移動後、</v>
      </c>
      <c r="G197" s="14"/>
      <c r="H197" s="14"/>
      <c r="I197" s="14"/>
      <c r="J197" s="14"/>
      <c r="K197" s="14"/>
      <c r="L197" s="14"/>
      <c r="M197" s="14"/>
      <c r="N197" s="14"/>
      <c r="O197" s="97"/>
      <c r="P197" s="14"/>
      <c r="Q197" s="14"/>
      <c r="R197" s="28"/>
      <c r="S197" s="14"/>
      <c r="T197" s="14"/>
      <c r="U197" s="281"/>
      <c r="AD197" s="199"/>
    </row>
    <row r="198" spans="1:30" s="191" customFormat="1" ht="25.4" customHeight="1">
      <c r="A198" s="187"/>
      <c r="B198" s="187"/>
      <c r="C198" s="187"/>
      <c r="D198" s="14"/>
      <c r="E198" s="121"/>
      <c r="F198" s="37" t="s">
        <v>4542</v>
      </c>
      <c r="G198" s="14"/>
      <c r="H198" s="14"/>
      <c r="I198" s="14"/>
      <c r="J198" s="14"/>
      <c r="K198" s="14"/>
      <c r="L198" s="14"/>
      <c r="M198" s="14"/>
      <c r="N198" s="14"/>
      <c r="O198" s="97"/>
      <c r="P198" s="14"/>
      <c r="Q198" s="14"/>
      <c r="R198" s="28"/>
      <c r="S198" s="14"/>
      <c r="T198" s="14"/>
      <c r="U198" s="281"/>
      <c r="AD198" s="199"/>
    </row>
    <row r="199" spans="1:30" s="191" customFormat="1" ht="20.149999999999999" customHeight="1">
      <c r="A199" s="187"/>
      <c r="B199" s="187"/>
      <c r="C199" s="187"/>
      <c r="D199" s="14"/>
      <c r="E199" s="28"/>
      <c r="F199" s="37" t="s">
        <v>4549</v>
      </c>
      <c r="G199" s="28"/>
      <c r="H199" s="28"/>
      <c r="I199" s="28"/>
      <c r="J199" s="28"/>
      <c r="K199" s="28"/>
      <c r="L199" s="28"/>
      <c r="M199" s="28"/>
      <c r="N199" s="28"/>
      <c r="O199" s="28"/>
      <c r="P199" s="28"/>
      <c r="Q199" s="28"/>
      <c r="R199" s="14"/>
      <c r="S199" s="14"/>
      <c r="T199" s="14"/>
      <c r="AD199" s="199"/>
    </row>
    <row r="200" spans="1:30" s="191" customFormat="1" ht="20.149999999999999" customHeight="1">
      <c r="A200" s="187"/>
      <c r="B200" s="187"/>
      <c r="C200" s="187"/>
      <c r="D200" s="14"/>
      <c r="E200" s="250" t="s">
        <v>4241</v>
      </c>
      <c r="F200" s="14"/>
      <c r="G200" s="14"/>
      <c r="H200" s="14"/>
      <c r="I200" s="14"/>
      <c r="J200" s="14"/>
      <c r="K200" s="14"/>
      <c r="L200" s="14"/>
      <c r="M200" s="14"/>
      <c r="N200" s="14"/>
      <c r="O200" s="14"/>
      <c r="P200" s="14"/>
      <c r="Q200" s="14"/>
      <c r="R200" s="28"/>
      <c r="S200" s="14"/>
      <c r="T200" s="14"/>
      <c r="AD200" s="199"/>
    </row>
    <row r="201" spans="1:30" s="195" customFormat="1" ht="18" customHeight="1">
      <c r="A201" s="189"/>
      <c r="B201" s="189"/>
      <c r="C201" s="189"/>
      <c r="D201" s="77"/>
      <c r="E201" s="745" t="s">
        <v>77</v>
      </c>
      <c r="F201" s="762" t="s">
        <v>78</v>
      </c>
      <c r="G201" s="792" t="s">
        <v>79</v>
      </c>
      <c r="H201" s="793"/>
      <c r="I201" s="793"/>
      <c r="J201" s="793"/>
      <c r="K201" s="793"/>
      <c r="L201" s="793"/>
      <c r="M201" s="794"/>
      <c r="N201" s="117" t="s">
        <v>4020</v>
      </c>
      <c r="O201" s="132"/>
      <c r="P201" s="118"/>
      <c r="Q201" s="274"/>
      <c r="R201" s="77"/>
      <c r="S201" s="77"/>
      <c r="T201" s="77"/>
      <c r="AD201" s="196"/>
    </row>
    <row r="202" spans="1:30" s="195" customFormat="1" ht="18" customHeight="1">
      <c r="A202" s="189"/>
      <c r="B202" s="189"/>
      <c r="C202" s="189"/>
      <c r="D202" s="77"/>
      <c r="E202" s="745"/>
      <c r="F202" s="763"/>
      <c r="G202" s="795"/>
      <c r="H202" s="796"/>
      <c r="I202" s="796"/>
      <c r="J202" s="796"/>
      <c r="K202" s="796"/>
      <c r="L202" s="796"/>
      <c r="M202" s="797"/>
      <c r="N202" s="119" t="s">
        <v>4016</v>
      </c>
      <c r="O202" s="119" t="s">
        <v>4009</v>
      </c>
      <c r="P202" s="119" t="s">
        <v>4014</v>
      </c>
      <c r="Q202" s="274"/>
      <c r="R202" s="77"/>
      <c r="S202" s="77"/>
      <c r="T202" s="77"/>
      <c r="AD202" s="196"/>
    </row>
    <row r="203" spans="1:30" s="195" customFormat="1" ht="70.400000000000006" customHeight="1">
      <c r="A203" s="189"/>
      <c r="B203" s="189"/>
      <c r="C203" s="189"/>
      <c r="D203" s="77"/>
      <c r="E203" s="122">
        <v>1</v>
      </c>
      <c r="F203" s="11" t="str">
        <f>対策リスト!AX2&amp;""</f>
        <v/>
      </c>
      <c r="G203" s="755" t="str">
        <f>IFERROR(VLOOKUP(F203,選択対策,2,0),"")</f>
        <v/>
      </c>
      <c r="H203" s="756"/>
      <c r="I203" s="756"/>
      <c r="J203" s="756"/>
      <c r="K203" s="756"/>
      <c r="L203" s="756"/>
      <c r="M203" s="757"/>
      <c r="N203" s="8" t="str">
        <f>IF(F203="","",IFERROR(IF(VLOOKUP(F203,'入力シート（第１年度報告書）'!$F$203:$O$211,9,0)="","未入力",VLOOKUP(F203,'入力シート（第１年度報告書）'!$F$203:$O$211,9,0)),"-------"))</f>
        <v/>
      </c>
      <c r="O203" s="9" t="str">
        <f>IF(F203="","",IFERROR(IF(VLOOKUP(F203,'入力シート（第１年度報告書）'!$F$203:$O$211,10,0)="","未入力",VLOOKUP(F203,'入力シート（第１年度報告書）'!$F$203:$O$211,10,0)),"-------"))</f>
        <v/>
      </c>
      <c r="P203" s="1"/>
      <c r="Q203" s="274"/>
      <c r="R203" s="77"/>
      <c r="S203" s="77"/>
      <c r="T203" s="77"/>
      <c r="AD203" s="196"/>
    </row>
    <row r="204" spans="1:30" s="195" customFormat="1" ht="70.400000000000006" customHeight="1">
      <c r="A204" s="189"/>
      <c r="B204" s="189"/>
      <c r="C204" s="189"/>
      <c r="D204" s="77"/>
      <c r="E204" s="122">
        <v>2</v>
      </c>
      <c r="F204" s="11" t="str">
        <f>対策リスト!AX3&amp;""</f>
        <v/>
      </c>
      <c r="G204" s="755" t="str">
        <f t="shared" ref="G204:G211" si="0">IFERROR(VLOOKUP(F204,選択対策,2,0),"")</f>
        <v/>
      </c>
      <c r="H204" s="756"/>
      <c r="I204" s="756"/>
      <c r="J204" s="756"/>
      <c r="K204" s="756"/>
      <c r="L204" s="756"/>
      <c r="M204" s="757"/>
      <c r="N204" s="8" t="str">
        <f>IF(F204="","",IFERROR(IF(VLOOKUP(F204,'入力シート（第１年度報告書）'!$F$203:$O$211,9,0)="","未入力",VLOOKUP(F204,'入力シート（第１年度報告書）'!$F$203:$O$211,9,0)),"-------"))</f>
        <v/>
      </c>
      <c r="O204" s="9" t="str">
        <f>IF(F204="","",IFERROR(IF(VLOOKUP(F204,'入力シート（第１年度報告書）'!$F$203:$O$211,10,0)="","未入力",VLOOKUP(F204,'入力シート（第１年度報告書）'!$F$203:$O$211,10,0)),"-------"))</f>
        <v/>
      </c>
      <c r="P204" s="1"/>
      <c r="Q204" s="274"/>
      <c r="R204" s="77"/>
      <c r="S204" s="77"/>
      <c r="T204" s="77"/>
      <c r="AD204" s="196"/>
    </row>
    <row r="205" spans="1:30" s="195" customFormat="1" ht="70.400000000000006" customHeight="1">
      <c r="A205" s="189"/>
      <c r="B205" s="189"/>
      <c r="C205" s="189"/>
      <c r="D205" s="77"/>
      <c r="E205" s="122">
        <v>3</v>
      </c>
      <c r="F205" s="11" t="str">
        <f>対策リスト!AX4&amp;""</f>
        <v/>
      </c>
      <c r="G205" s="755" t="str">
        <f t="shared" si="0"/>
        <v/>
      </c>
      <c r="H205" s="756"/>
      <c r="I205" s="756"/>
      <c r="J205" s="756"/>
      <c r="K205" s="756"/>
      <c r="L205" s="756"/>
      <c r="M205" s="757"/>
      <c r="N205" s="8" t="str">
        <f>IF(F205="","",IFERROR(IF(VLOOKUP(F205,'入力シート（第１年度報告書）'!$F$203:$O$211,9,0)="","未入力",VLOOKUP(F205,'入力シート（第１年度報告書）'!$F$203:$O$211,9,0)),"-------"))</f>
        <v/>
      </c>
      <c r="O205" s="9" t="str">
        <f>IF(F205="","",IFERROR(IF(VLOOKUP(F205,'入力シート（第１年度報告書）'!$F$203:$O$211,10,0)="","未入力",VLOOKUP(F205,'入力シート（第１年度報告書）'!$F$203:$O$211,10,0)),"-------"))</f>
        <v/>
      </c>
      <c r="P205" s="1"/>
      <c r="Q205" s="274"/>
      <c r="R205" s="77"/>
      <c r="S205" s="77"/>
      <c r="T205" s="77"/>
      <c r="AD205" s="196"/>
    </row>
    <row r="206" spans="1:30" s="195" customFormat="1" ht="70.400000000000006" customHeight="1">
      <c r="A206" s="189"/>
      <c r="B206" s="189"/>
      <c r="C206" s="189"/>
      <c r="D206" s="77"/>
      <c r="E206" s="122">
        <v>4</v>
      </c>
      <c r="F206" s="11" t="str">
        <f>対策リスト!AX5&amp;""</f>
        <v/>
      </c>
      <c r="G206" s="755" t="str">
        <f t="shared" si="0"/>
        <v/>
      </c>
      <c r="H206" s="756"/>
      <c r="I206" s="756"/>
      <c r="J206" s="756"/>
      <c r="K206" s="756"/>
      <c r="L206" s="756"/>
      <c r="M206" s="757"/>
      <c r="N206" s="8" t="str">
        <f>IF(F206="","",IFERROR(IF(VLOOKUP(F206,'入力シート（第１年度報告書）'!$F$203:$O$211,9,0)="","未入力",VLOOKUP(F206,'入力シート（第１年度報告書）'!$F$203:$O$211,9,0)),"-------"))</f>
        <v/>
      </c>
      <c r="O206" s="9" t="str">
        <f>IF(F206="","",IFERROR(IF(VLOOKUP(F206,'入力シート（第１年度報告書）'!$F$203:$O$211,10,0)="","未入力",VLOOKUP(F206,'入力シート（第１年度報告書）'!$F$203:$O$211,10,0)),"-------"))</f>
        <v/>
      </c>
      <c r="P206" s="1"/>
      <c r="Q206" s="274"/>
      <c r="R206" s="77"/>
      <c r="S206" s="77"/>
      <c r="T206" s="77"/>
      <c r="AD206" s="196"/>
    </row>
    <row r="207" spans="1:30" s="195" customFormat="1" ht="70.400000000000006" customHeight="1">
      <c r="A207" s="189"/>
      <c r="B207" s="189"/>
      <c r="C207" s="189"/>
      <c r="D207" s="77"/>
      <c r="E207" s="122">
        <v>5</v>
      </c>
      <c r="F207" s="11" t="str">
        <f>対策リスト!AX6&amp;""</f>
        <v/>
      </c>
      <c r="G207" s="755" t="str">
        <f t="shared" si="0"/>
        <v/>
      </c>
      <c r="H207" s="756"/>
      <c r="I207" s="756"/>
      <c r="J207" s="756"/>
      <c r="K207" s="756"/>
      <c r="L207" s="756"/>
      <c r="M207" s="757"/>
      <c r="N207" s="8" t="str">
        <f>IF(F207="","",IFERROR(IF(VLOOKUP(F207,'入力シート（第１年度報告書）'!$F$203:$O$211,9,0)="","未入力",VLOOKUP(F207,'入力シート（第１年度報告書）'!$F$203:$O$211,9,0)),"-------"))</f>
        <v/>
      </c>
      <c r="O207" s="9" t="str">
        <f>IF(F207="","",IFERROR(IF(VLOOKUP(F207,'入力シート（第１年度報告書）'!$F$203:$O$211,10,0)="","未入力",VLOOKUP(F207,'入力シート（第１年度報告書）'!$F$203:$O$211,10,0)),"-------"))</f>
        <v/>
      </c>
      <c r="P207" s="1"/>
      <c r="Q207" s="274"/>
      <c r="R207" s="77"/>
      <c r="S207" s="77"/>
      <c r="T207" s="77"/>
      <c r="AD207" s="196"/>
    </row>
    <row r="208" spans="1:30" s="195" customFormat="1" ht="70.400000000000006" customHeight="1">
      <c r="A208" s="189"/>
      <c r="B208" s="189"/>
      <c r="C208" s="189"/>
      <c r="D208" s="77"/>
      <c r="E208" s="122">
        <v>6</v>
      </c>
      <c r="F208" s="11" t="str">
        <f>対策リスト!AX7&amp;""</f>
        <v/>
      </c>
      <c r="G208" s="755" t="str">
        <f t="shared" si="0"/>
        <v/>
      </c>
      <c r="H208" s="756"/>
      <c r="I208" s="756"/>
      <c r="J208" s="756"/>
      <c r="K208" s="756"/>
      <c r="L208" s="756"/>
      <c r="M208" s="757"/>
      <c r="N208" s="8" t="str">
        <f>IF(F208="","",IFERROR(IF(VLOOKUP(F208,'入力シート（第１年度報告書）'!$F$203:$O$211,9,0)="","未入力",VLOOKUP(F208,'入力シート（第１年度報告書）'!$F$203:$O$211,9,0)),"-------"))</f>
        <v/>
      </c>
      <c r="O208" s="9" t="str">
        <f>IF(F208="","",IFERROR(IF(VLOOKUP(F208,'入力シート（第１年度報告書）'!$F$203:$O$211,10,0)="","未入力",VLOOKUP(F208,'入力シート（第１年度報告書）'!$F$203:$O$211,10,0)),"-------"))</f>
        <v/>
      </c>
      <c r="P208" s="1"/>
      <c r="Q208" s="274"/>
      <c r="R208" s="77"/>
      <c r="S208" s="77"/>
      <c r="T208" s="77"/>
      <c r="AD208" s="196"/>
    </row>
    <row r="209" spans="1:30" s="195" customFormat="1" ht="70.400000000000006" customHeight="1">
      <c r="A209" s="189"/>
      <c r="B209" s="189"/>
      <c r="C209" s="189"/>
      <c r="D209" s="77"/>
      <c r="E209" s="122">
        <v>7</v>
      </c>
      <c r="F209" s="11" t="str">
        <f>対策リスト!AX8&amp;""</f>
        <v/>
      </c>
      <c r="G209" s="755" t="str">
        <f t="shared" si="0"/>
        <v/>
      </c>
      <c r="H209" s="756"/>
      <c r="I209" s="756"/>
      <c r="J209" s="756"/>
      <c r="K209" s="756"/>
      <c r="L209" s="756"/>
      <c r="M209" s="757"/>
      <c r="N209" s="8" t="str">
        <f>IF(F209="","",IFERROR(IF(VLOOKUP(F209,'入力シート（第１年度報告書）'!$F$203:$O$211,9,0)="","未入力",VLOOKUP(F209,'入力シート（第１年度報告書）'!$F$203:$O$211,9,0)),"-------"))</f>
        <v/>
      </c>
      <c r="O209" s="9" t="str">
        <f>IF(F209="","",IFERROR(IF(VLOOKUP(F209,'入力シート（第１年度報告書）'!$F$203:$O$211,10,0)="","未入力",VLOOKUP(F209,'入力シート（第１年度報告書）'!$F$203:$O$211,10,0)),"-------"))</f>
        <v/>
      </c>
      <c r="P209" s="1"/>
      <c r="Q209" s="274"/>
      <c r="R209" s="77"/>
      <c r="S209" s="77"/>
      <c r="T209" s="77"/>
      <c r="AD209" s="196"/>
    </row>
    <row r="210" spans="1:30" s="195" customFormat="1" ht="70.400000000000006" customHeight="1">
      <c r="A210" s="189"/>
      <c r="B210" s="189"/>
      <c r="C210" s="189"/>
      <c r="D210" s="77"/>
      <c r="E210" s="122">
        <v>8</v>
      </c>
      <c r="F210" s="11" t="str">
        <f>対策リスト!AX9&amp;""</f>
        <v/>
      </c>
      <c r="G210" s="755" t="str">
        <f t="shared" si="0"/>
        <v/>
      </c>
      <c r="H210" s="756"/>
      <c r="I210" s="756"/>
      <c r="J210" s="756"/>
      <c r="K210" s="756"/>
      <c r="L210" s="756"/>
      <c r="M210" s="757"/>
      <c r="N210" s="8" t="str">
        <f>IF(F210="","",IFERROR(IF(VLOOKUP(F210,'入力シート（第１年度報告書）'!$F$203:$O$211,9,0)="","未入力",VLOOKUP(F210,'入力シート（第１年度報告書）'!$F$203:$O$211,9,0)),"-------"))</f>
        <v/>
      </c>
      <c r="O210" s="9" t="str">
        <f>IF(F210="","",IFERROR(IF(VLOOKUP(F210,'入力シート（第１年度報告書）'!$F$203:$O$211,10,0)="","未入力",VLOOKUP(F210,'入力シート（第１年度報告書）'!$F$203:$O$211,10,0)),"-------"))</f>
        <v/>
      </c>
      <c r="P210" s="1"/>
      <c r="Q210" s="274"/>
      <c r="R210" s="77"/>
      <c r="S210" s="77"/>
      <c r="T210" s="77"/>
      <c r="AD210" s="196"/>
    </row>
    <row r="211" spans="1:30" s="195" customFormat="1" ht="70.400000000000006" customHeight="1">
      <c r="A211" s="189"/>
      <c r="B211" s="189"/>
      <c r="C211" s="189"/>
      <c r="D211" s="77"/>
      <c r="E211" s="122">
        <v>9</v>
      </c>
      <c r="F211" s="11" t="str">
        <f>対策リスト!AX10&amp;""</f>
        <v/>
      </c>
      <c r="G211" s="755" t="str">
        <f t="shared" si="0"/>
        <v/>
      </c>
      <c r="H211" s="756"/>
      <c r="I211" s="756"/>
      <c r="J211" s="756"/>
      <c r="K211" s="756"/>
      <c r="L211" s="756"/>
      <c r="M211" s="757"/>
      <c r="N211" s="8" t="str">
        <f>IF(F211="","",IFERROR(IF(VLOOKUP(F211,'入力シート（第１年度報告書）'!$F$203:$O$211,9,0)="","未入力",VLOOKUP(F211,'入力シート（第１年度報告書）'!$F$203:$O$211,9,0)),"-------"))</f>
        <v/>
      </c>
      <c r="O211" s="9" t="str">
        <f>IF(F211="","",IFERROR(IF(VLOOKUP(F211,'入力シート（第１年度報告書）'!$F$203:$O$211,10,0)="","未入力",VLOOKUP(F211,'入力シート（第１年度報告書）'!$F$203:$O$211,10,0)),"-------"))</f>
        <v/>
      </c>
      <c r="P211" s="1"/>
      <c r="Q211" s="274"/>
      <c r="R211" s="77"/>
      <c r="S211" s="77"/>
      <c r="T211" s="77"/>
      <c r="AD211" s="196"/>
    </row>
    <row r="212" spans="1:30" s="195" customFormat="1" ht="18" customHeight="1">
      <c r="A212" s="189"/>
      <c r="B212" s="189"/>
      <c r="C212" s="189"/>
      <c r="D212" s="77"/>
      <c r="E212" s="77"/>
      <c r="F212" s="77"/>
      <c r="G212" s="77"/>
      <c r="H212" s="77"/>
      <c r="I212" s="77"/>
      <c r="J212" s="77"/>
      <c r="K212" s="77"/>
      <c r="L212" s="77"/>
      <c r="M212" s="77"/>
      <c r="N212" s="77"/>
      <c r="O212" s="77"/>
      <c r="P212" s="77"/>
      <c r="Q212" s="77"/>
      <c r="R212" s="28"/>
      <c r="S212" s="77"/>
      <c r="T212" s="77"/>
      <c r="AD212" s="196"/>
    </row>
    <row r="213" spans="1:30" s="195" customFormat="1" ht="18" customHeight="1">
      <c r="A213" s="189"/>
      <c r="B213" s="189"/>
      <c r="C213" s="189"/>
      <c r="D213" s="14"/>
      <c r="E213" s="16" t="str">
        <f>"８-３．【その他の対策】基本対策と選択対策どちらにも該当しない独自の取組み"</f>
        <v>８-３．【その他の対策】基本対策と選択対策どちらにも該当しない独自の取組み</v>
      </c>
      <c r="F213" s="14"/>
      <c r="G213" s="77"/>
      <c r="H213" s="77"/>
      <c r="I213" s="77"/>
      <c r="J213" s="77"/>
      <c r="K213" s="77"/>
      <c r="L213" s="77"/>
      <c r="M213" s="77"/>
      <c r="N213" s="77"/>
      <c r="O213" s="77"/>
      <c r="P213" s="77"/>
      <c r="Q213" s="77"/>
      <c r="R213" s="28"/>
      <c r="S213" s="10"/>
      <c r="T213" s="77"/>
      <c r="AD213" s="196"/>
    </row>
    <row r="214" spans="1:30" s="191" customFormat="1" ht="20.149999999999999" customHeight="1">
      <c r="A214" s="187"/>
      <c r="B214" s="187"/>
      <c r="C214" s="187"/>
      <c r="D214" s="123"/>
      <c r="E214" s="14"/>
      <c r="F214" s="24" t="str">
        <f>$AB$1+2&amp;"年度（第２年度）における実施状況をプルダウンから選択してください。"</f>
        <v>2年度（第２年度）における実施状況をプルダウンから選択してください。</v>
      </c>
      <c r="G214" s="14"/>
      <c r="H214" s="14"/>
      <c r="I214" s="14"/>
      <c r="J214" s="14"/>
      <c r="K214" s="14"/>
      <c r="L214" s="14"/>
      <c r="M214" s="14"/>
      <c r="N214" s="14"/>
      <c r="O214" s="14"/>
      <c r="P214" s="14"/>
      <c r="Q214" s="14"/>
      <c r="R214" s="28"/>
      <c r="S214" s="14"/>
      <c r="T214" s="14"/>
      <c r="AD214" s="199"/>
    </row>
    <row r="215" spans="1:30" s="191" customFormat="1" ht="20.149999999999999" customHeight="1">
      <c r="A215" s="187"/>
      <c r="B215" s="187"/>
      <c r="C215" s="187"/>
      <c r="D215" s="123"/>
      <c r="E215" s="14"/>
      <c r="F215" s="37" t="str">
        <f>"　項目の追加："&amp;$AB$1+2&amp;"年度（第２年度）に開始した取組み、期間中に実施予定の取組は、『その他の対策 項目追加する場合はこちら』ボタンを押下し移動後、"</f>
        <v>　項目の追加：2年度（第２年度）に開始した取組み、期間中に実施予定の取組は、『その他の対策 項目追加する場合はこちら』ボタンを押下し移動後、</v>
      </c>
      <c r="G215" s="14"/>
      <c r="H215" s="14"/>
      <c r="I215" s="14"/>
      <c r="J215" s="14"/>
      <c r="K215" s="14"/>
      <c r="L215" s="14"/>
      <c r="M215" s="14"/>
      <c r="N215" s="14"/>
      <c r="O215" s="14"/>
      <c r="P215" s="14"/>
      <c r="Q215" s="14"/>
      <c r="R215" s="28"/>
      <c r="S215" s="14"/>
      <c r="T215" s="14"/>
      <c r="AD215" s="199"/>
    </row>
    <row r="216" spans="1:30" s="191" customFormat="1" ht="20.149999999999999" customHeight="1">
      <c r="A216" s="187"/>
      <c r="B216" s="187"/>
      <c r="C216" s="187"/>
      <c r="D216" s="14"/>
      <c r="E216" s="123"/>
      <c r="F216" s="37" t="s">
        <v>4542</v>
      </c>
      <c r="G216" s="14"/>
      <c r="H216" s="14"/>
      <c r="I216" s="14"/>
      <c r="J216" s="14"/>
      <c r="K216" s="14"/>
      <c r="L216" s="14"/>
      <c r="M216" s="14"/>
      <c r="N216" s="14"/>
      <c r="O216" s="14"/>
      <c r="P216" s="14"/>
      <c r="Q216" s="14"/>
      <c r="R216" s="28"/>
      <c r="S216" s="14"/>
      <c r="T216" s="14"/>
      <c r="AD216" s="199"/>
    </row>
    <row r="217" spans="1:30" s="191" customFormat="1" ht="18" customHeight="1">
      <c r="A217" s="187"/>
      <c r="B217" s="187"/>
      <c r="C217" s="187"/>
      <c r="D217" s="14"/>
      <c r="E217" s="133" t="s">
        <v>4253</v>
      </c>
      <c r="F217" s="37" t="s">
        <v>4550</v>
      </c>
      <c r="G217" s="14"/>
      <c r="H217" s="14"/>
      <c r="I217" s="14"/>
      <c r="J217" s="14"/>
      <c r="K217" s="14"/>
      <c r="L217" s="14"/>
      <c r="M217" s="14"/>
      <c r="N217" s="97"/>
      <c r="O217" s="14"/>
      <c r="P217" s="14"/>
      <c r="Q217" s="14"/>
      <c r="R217" s="28"/>
      <c r="S217" s="14"/>
      <c r="T217" s="97"/>
      <c r="AD217" s="199"/>
    </row>
    <row r="218" spans="1:30" s="191" customFormat="1" ht="18" customHeight="1">
      <c r="A218" s="187"/>
      <c r="B218" s="187"/>
      <c r="C218" s="187"/>
      <c r="D218" s="14"/>
      <c r="E218" s="14"/>
      <c r="F218" s="37" t="s">
        <v>4543</v>
      </c>
      <c r="G218" s="14"/>
      <c r="H218" s="14"/>
      <c r="I218" s="14"/>
      <c r="J218" s="14"/>
      <c r="K218" s="14"/>
      <c r="L218" s="14"/>
      <c r="M218" s="14"/>
      <c r="N218" s="14"/>
      <c r="O218" s="97"/>
      <c r="P218" s="14"/>
      <c r="Q218" s="14"/>
      <c r="R218" s="28"/>
      <c r="S218" s="14"/>
      <c r="T218" s="14"/>
      <c r="U218" s="281"/>
      <c r="AD218" s="199"/>
    </row>
    <row r="219" spans="1:30" s="191" customFormat="1" ht="18" hidden="1" customHeight="1">
      <c r="A219" s="187"/>
      <c r="B219" s="187"/>
      <c r="C219" s="187"/>
      <c r="D219" s="14"/>
      <c r="E219" s="14"/>
      <c r="F219" s="124"/>
      <c r="G219" s="14"/>
      <c r="H219" s="14"/>
      <c r="I219" s="14"/>
      <c r="J219" s="14"/>
      <c r="K219" s="14"/>
      <c r="L219" s="14"/>
      <c r="M219" s="14"/>
      <c r="N219" s="14"/>
      <c r="O219" s="97"/>
      <c r="P219" s="14"/>
      <c r="Q219" s="14"/>
      <c r="R219" s="28"/>
      <c r="S219" s="14"/>
      <c r="T219" s="14"/>
      <c r="U219" s="281"/>
      <c r="AD219" s="199"/>
    </row>
    <row r="220" spans="1:30" s="191" customFormat="1" ht="20.149999999999999" customHeight="1">
      <c r="A220" s="187"/>
      <c r="B220" s="187"/>
      <c r="C220" s="187"/>
      <c r="D220" s="14"/>
      <c r="E220" s="249" t="s">
        <v>4243</v>
      </c>
      <c r="F220" s="14"/>
      <c r="G220" s="14"/>
      <c r="H220" s="14"/>
      <c r="I220" s="14"/>
      <c r="J220" s="14"/>
      <c r="K220" s="14"/>
      <c r="L220" s="14"/>
      <c r="M220" s="14"/>
      <c r="N220" s="14"/>
      <c r="O220" s="14"/>
      <c r="P220" s="14"/>
      <c r="Q220" s="14"/>
      <c r="R220" s="28"/>
      <c r="S220" s="14"/>
      <c r="T220" s="14"/>
      <c r="AD220" s="199"/>
    </row>
    <row r="221" spans="1:30" s="195" customFormat="1" ht="18" customHeight="1">
      <c r="A221" s="189"/>
      <c r="B221" s="189"/>
      <c r="C221" s="189"/>
      <c r="D221" s="77"/>
      <c r="E221" s="745" t="s">
        <v>77</v>
      </c>
      <c r="F221" s="762" t="s">
        <v>78</v>
      </c>
      <c r="G221" s="792" t="s">
        <v>79</v>
      </c>
      <c r="H221" s="793"/>
      <c r="I221" s="793"/>
      <c r="J221" s="793"/>
      <c r="K221" s="793"/>
      <c r="L221" s="793"/>
      <c r="M221" s="794"/>
      <c r="N221" s="117" t="s">
        <v>4020</v>
      </c>
      <c r="O221" s="132"/>
      <c r="P221" s="118"/>
      <c r="Q221" s="274"/>
      <c r="R221" s="77"/>
      <c r="S221" s="77"/>
      <c r="T221" s="77"/>
      <c r="AD221" s="196"/>
    </row>
    <row r="222" spans="1:30" s="195" customFormat="1" ht="18" customHeight="1">
      <c r="A222" s="189"/>
      <c r="B222" s="189"/>
      <c r="C222" s="189"/>
      <c r="D222" s="77"/>
      <c r="E222" s="745"/>
      <c r="F222" s="763"/>
      <c r="G222" s="795"/>
      <c r="H222" s="796"/>
      <c r="I222" s="796"/>
      <c r="J222" s="796"/>
      <c r="K222" s="796"/>
      <c r="L222" s="796"/>
      <c r="M222" s="797"/>
      <c r="N222" s="119" t="s">
        <v>4016</v>
      </c>
      <c r="O222" s="119" t="s">
        <v>4009</v>
      </c>
      <c r="P222" s="119" t="s">
        <v>4014</v>
      </c>
      <c r="Q222" s="274"/>
      <c r="R222" s="77"/>
      <c r="S222" s="77"/>
      <c r="T222" s="77"/>
      <c r="AD222" s="196"/>
    </row>
    <row r="223" spans="1:30" s="195" customFormat="1" ht="90" customHeight="1">
      <c r="A223" s="189"/>
      <c r="B223" s="189"/>
      <c r="C223" s="189"/>
      <c r="D223" s="77"/>
      <c r="E223" s="122">
        <v>1</v>
      </c>
      <c r="F223" s="11" t="str">
        <f>対策リスト!BX2&amp;""</f>
        <v/>
      </c>
      <c r="G223" s="922" t="str">
        <f>IF(対策リスト!CA2=0,"",対策リスト!CA2&amp;"")</f>
        <v/>
      </c>
      <c r="H223" s="923"/>
      <c r="I223" s="923"/>
      <c r="J223" s="923"/>
      <c r="K223" s="923"/>
      <c r="L223" s="923"/>
      <c r="M223" s="924"/>
      <c r="N223" s="8" t="str">
        <f>IF(F223="","",IF(対策リスト!CG2="","-------",対策リスト!CG2))</f>
        <v/>
      </c>
      <c r="O223" s="9" t="str">
        <f>IF(F223="","",IF(対策リスト!CF2="","-------",対策リスト!CF2))</f>
        <v/>
      </c>
      <c r="P223" s="1"/>
      <c r="Q223" s="274"/>
      <c r="R223" s="77"/>
      <c r="S223" s="77"/>
      <c r="T223" s="77"/>
      <c r="AD223" s="196"/>
    </row>
    <row r="224" spans="1:30" s="195" customFormat="1" ht="90" customHeight="1">
      <c r="A224" s="189"/>
      <c r="B224" s="189"/>
      <c r="C224" s="189"/>
      <c r="D224" s="77"/>
      <c r="E224" s="122">
        <v>2</v>
      </c>
      <c r="F224" s="11" t="str">
        <f>対策リスト!BX3&amp;""</f>
        <v/>
      </c>
      <c r="G224" s="922" t="str">
        <f>IF(対策リスト!CA3=0,"",対策リスト!CA3&amp;"")</f>
        <v/>
      </c>
      <c r="H224" s="923"/>
      <c r="I224" s="923"/>
      <c r="J224" s="923"/>
      <c r="K224" s="923"/>
      <c r="L224" s="923"/>
      <c r="M224" s="924"/>
      <c r="N224" s="8" t="str">
        <f>IF(F224="","",IF(対策リスト!CG3="","-------",対策リスト!CG3))</f>
        <v/>
      </c>
      <c r="O224" s="9" t="str">
        <f>IF(F224="","",IF(対策リスト!CF3="","-------",対策リスト!CF3))</f>
        <v/>
      </c>
      <c r="P224" s="1"/>
      <c r="Q224" s="274"/>
      <c r="R224" s="77"/>
      <c r="S224" s="77"/>
      <c r="T224" s="77"/>
      <c r="AD224" s="196"/>
    </row>
    <row r="225" spans="1:41" s="195" customFormat="1" ht="90" customHeight="1">
      <c r="A225" s="189"/>
      <c r="B225" s="189"/>
      <c r="C225" s="189"/>
      <c r="D225" s="77"/>
      <c r="E225" s="122">
        <v>3</v>
      </c>
      <c r="F225" s="11" t="str">
        <f>対策リスト!BX4&amp;""</f>
        <v/>
      </c>
      <c r="G225" s="922" t="str">
        <f>IF(対策リスト!CA4=0,"",対策リスト!CA4&amp;"")</f>
        <v/>
      </c>
      <c r="H225" s="923"/>
      <c r="I225" s="923"/>
      <c r="J225" s="923"/>
      <c r="K225" s="923"/>
      <c r="L225" s="923"/>
      <c r="M225" s="924"/>
      <c r="N225" s="8" t="str">
        <f>IF(F225="","",IF(対策リスト!CG4="","-------",対策リスト!CG4))</f>
        <v/>
      </c>
      <c r="O225" s="9" t="str">
        <f>IF(F225="","",IF(対策リスト!CF4="","-------",対策リスト!CF4))</f>
        <v/>
      </c>
      <c r="P225" s="1"/>
      <c r="Q225" s="274"/>
      <c r="R225" s="77"/>
      <c r="S225" s="77"/>
      <c r="T225" s="77"/>
      <c r="AD225" s="196"/>
    </row>
    <row r="226" spans="1:41" s="195" customFormat="1" ht="90" customHeight="1">
      <c r="A226" s="189"/>
      <c r="B226" s="189"/>
      <c r="C226" s="189"/>
      <c r="D226" s="77"/>
      <c r="E226" s="122">
        <v>4</v>
      </c>
      <c r="F226" s="11" t="str">
        <f>対策リスト!BX5&amp;""</f>
        <v/>
      </c>
      <c r="G226" s="922" t="str">
        <f>IF(対策リスト!CA5=0,"",対策リスト!CA5&amp;"")</f>
        <v/>
      </c>
      <c r="H226" s="923"/>
      <c r="I226" s="923"/>
      <c r="J226" s="923"/>
      <c r="K226" s="923"/>
      <c r="L226" s="923"/>
      <c r="M226" s="924"/>
      <c r="N226" s="8" t="str">
        <f>IF(F226="","",IF(対策リスト!CG5="","-------",対策リスト!CG5))</f>
        <v/>
      </c>
      <c r="O226" s="9" t="str">
        <f>IF(F226="","",IF(対策リスト!CF5="","-------",対策リスト!CF5))</f>
        <v/>
      </c>
      <c r="P226" s="1"/>
      <c r="Q226" s="274"/>
      <c r="R226" s="77"/>
      <c r="S226" s="77"/>
      <c r="T226" s="77"/>
      <c r="AD226" s="196"/>
    </row>
    <row r="227" spans="1:41" s="195" customFormat="1" ht="90" customHeight="1">
      <c r="A227" s="189"/>
      <c r="B227" s="189"/>
      <c r="C227" s="189"/>
      <c r="D227" s="77"/>
      <c r="E227" s="122">
        <v>5</v>
      </c>
      <c r="F227" s="11" t="str">
        <f>対策リスト!BX6&amp;""</f>
        <v/>
      </c>
      <c r="G227" s="922" t="str">
        <f>IF(対策リスト!CA6=0,"",対策リスト!CA6&amp;"")</f>
        <v/>
      </c>
      <c r="H227" s="923"/>
      <c r="I227" s="923"/>
      <c r="J227" s="923"/>
      <c r="K227" s="923"/>
      <c r="L227" s="923"/>
      <c r="M227" s="924"/>
      <c r="N227" s="8" t="str">
        <f>IF(F227="","",IF(対策リスト!CG6="","-------",対策リスト!CG6))</f>
        <v/>
      </c>
      <c r="O227" s="9" t="str">
        <f>IF(F227="","",IF(対策リスト!CF6="","-------",対策リスト!CF6))</f>
        <v/>
      </c>
      <c r="P227" s="1"/>
      <c r="Q227" s="274"/>
      <c r="R227" s="77"/>
      <c r="S227" s="77"/>
      <c r="T227" s="77"/>
      <c r="AD227" s="196"/>
    </row>
    <row r="228" spans="1:41" s="195" customFormat="1" ht="90" customHeight="1">
      <c r="A228" s="189"/>
      <c r="B228" s="189"/>
      <c r="C228" s="189"/>
      <c r="D228" s="77"/>
      <c r="E228" s="122">
        <v>6</v>
      </c>
      <c r="F228" s="11" t="str">
        <f>対策リスト!BX7&amp;""</f>
        <v/>
      </c>
      <c r="G228" s="922" t="str">
        <f>IF(対策リスト!CA7=0,"",対策リスト!CA7&amp;"")</f>
        <v/>
      </c>
      <c r="H228" s="923"/>
      <c r="I228" s="923"/>
      <c r="J228" s="923"/>
      <c r="K228" s="923"/>
      <c r="L228" s="923"/>
      <c r="M228" s="924"/>
      <c r="N228" s="8" t="str">
        <f>IF(F228="","",IF(対策リスト!CG7="","-------",対策リスト!CG7))</f>
        <v/>
      </c>
      <c r="O228" s="9" t="str">
        <f>IF(F228="","",IF(対策リスト!CF7="","-------",対策リスト!CF7))</f>
        <v/>
      </c>
      <c r="P228" s="1"/>
      <c r="Q228" s="274"/>
      <c r="R228" s="77"/>
      <c r="S228" s="77"/>
      <c r="T228" s="77"/>
      <c r="AD228" s="196"/>
    </row>
    <row r="229" spans="1:41" s="195" customFormat="1" ht="90" customHeight="1">
      <c r="A229" s="189"/>
      <c r="B229" s="189"/>
      <c r="C229" s="189"/>
      <c r="D229" s="77"/>
      <c r="E229" s="122">
        <v>7</v>
      </c>
      <c r="F229" s="11" t="str">
        <f>対策リスト!BX8&amp;""</f>
        <v/>
      </c>
      <c r="G229" s="922" t="str">
        <f>IF(対策リスト!CA8=0,"",対策リスト!CA8&amp;"")</f>
        <v/>
      </c>
      <c r="H229" s="923"/>
      <c r="I229" s="923"/>
      <c r="J229" s="923"/>
      <c r="K229" s="923"/>
      <c r="L229" s="923"/>
      <c r="M229" s="924"/>
      <c r="N229" s="8" t="str">
        <f>IF(F229="","",IF(対策リスト!CG8="","-------",対策リスト!CG8))</f>
        <v/>
      </c>
      <c r="O229" s="9" t="str">
        <f>IF(F229="","",IF(対策リスト!CF8="","-------",対策リスト!CF8))</f>
        <v/>
      </c>
      <c r="P229" s="1"/>
      <c r="Q229" s="274"/>
      <c r="R229" s="77"/>
      <c r="S229" s="77"/>
      <c r="T229" s="77"/>
      <c r="AD229" s="196"/>
    </row>
    <row r="230" spans="1:41" s="195" customFormat="1" ht="90" customHeight="1">
      <c r="A230" s="189"/>
      <c r="B230" s="189"/>
      <c r="C230" s="189"/>
      <c r="D230" s="77"/>
      <c r="E230" s="122">
        <v>8</v>
      </c>
      <c r="F230" s="11" t="str">
        <f>対策リスト!BX9&amp;""</f>
        <v/>
      </c>
      <c r="G230" s="922" t="str">
        <f>IF(対策リスト!CA9=0,"",対策リスト!CA9&amp;"")</f>
        <v/>
      </c>
      <c r="H230" s="923"/>
      <c r="I230" s="923"/>
      <c r="J230" s="923"/>
      <c r="K230" s="923"/>
      <c r="L230" s="923"/>
      <c r="M230" s="924"/>
      <c r="N230" s="8" t="str">
        <f>IF(F230="","",IF(対策リスト!CG9="","-------",対策リスト!CG9))</f>
        <v/>
      </c>
      <c r="O230" s="9" t="str">
        <f>IF(F230="","",IF(対策リスト!CF9="","-------",対策リスト!CF9))</f>
        <v/>
      </c>
      <c r="P230" s="1"/>
      <c r="Q230" s="274"/>
      <c r="R230" s="77"/>
      <c r="S230" s="77"/>
      <c r="T230" s="77"/>
      <c r="AD230" s="196"/>
    </row>
    <row r="231" spans="1:41" s="195" customFormat="1" ht="90" customHeight="1">
      <c r="A231" s="189"/>
      <c r="B231" s="189"/>
      <c r="C231" s="189"/>
      <c r="D231" s="77"/>
      <c r="E231" s="122">
        <v>9</v>
      </c>
      <c r="F231" s="11" t="str">
        <f>対策リスト!BX10&amp;""</f>
        <v/>
      </c>
      <c r="G231" s="922" t="str">
        <f>IF(対策リスト!CA10=0,"",対策リスト!CA10&amp;"")</f>
        <v/>
      </c>
      <c r="H231" s="923"/>
      <c r="I231" s="923"/>
      <c r="J231" s="923"/>
      <c r="K231" s="923"/>
      <c r="L231" s="923"/>
      <c r="M231" s="924"/>
      <c r="N231" s="8" t="str">
        <f>IF(F231="","",IF(対策リスト!CG10="","-------",対策リスト!CG10))</f>
        <v/>
      </c>
      <c r="O231" s="9" t="str">
        <f>IF(F231="","",IF(対策リスト!CF10="","-------",対策リスト!CF10))</f>
        <v/>
      </c>
      <c r="P231" s="1"/>
      <c r="Q231" s="274"/>
      <c r="R231" s="77"/>
      <c r="S231" s="77"/>
      <c r="T231" s="77"/>
      <c r="AD231" s="196"/>
    </row>
    <row r="232" spans="1:41" s="195" customFormat="1" ht="90" customHeight="1">
      <c r="A232" s="189"/>
      <c r="B232" s="189"/>
      <c r="C232" s="189"/>
      <c r="D232" s="77"/>
      <c r="E232" s="122">
        <v>10</v>
      </c>
      <c r="F232" s="11" t="str">
        <f>対策リスト!BX11&amp;""</f>
        <v/>
      </c>
      <c r="G232" s="922" t="str">
        <f>IF(対策リスト!CA11=0,"",対策リスト!CA11&amp;"")</f>
        <v/>
      </c>
      <c r="H232" s="923"/>
      <c r="I232" s="923"/>
      <c r="J232" s="923"/>
      <c r="K232" s="923"/>
      <c r="L232" s="923"/>
      <c r="M232" s="924"/>
      <c r="N232" s="8" t="str">
        <f>IF(F232="","",IF(対策リスト!CG11="","-------",対策リスト!CG11))</f>
        <v/>
      </c>
      <c r="O232" s="9" t="str">
        <f>IF(F232="","",IF(対策リスト!CF11="","-------",対策リスト!CF11))</f>
        <v/>
      </c>
      <c r="P232" s="1"/>
      <c r="Q232" s="274"/>
      <c r="R232" s="77"/>
      <c r="S232" s="77"/>
      <c r="T232" s="77"/>
      <c r="AD232" s="196"/>
    </row>
    <row r="233" spans="1:41" s="195" customFormat="1" ht="18" customHeight="1">
      <c r="A233" s="189"/>
      <c r="B233" s="189"/>
      <c r="C233" s="189"/>
      <c r="D233" s="77"/>
      <c r="E233" s="77"/>
      <c r="F233" s="77"/>
      <c r="G233" s="77"/>
      <c r="H233" s="77"/>
      <c r="I233" s="77"/>
      <c r="J233" s="77"/>
      <c r="K233" s="77"/>
      <c r="L233" s="77"/>
      <c r="M233" s="77"/>
      <c r="N233" s="77"/>
      <c r="O233" s="77"/>
      <c r="P233" s="77"/>
      <c r="Q233" s="77"/>
      <c r="R233" s="77"/>
      <c r="S233" s="77"/>
      <c r="T233" s="77"/>
      <c r="AA233" s="196"/>
    </row>
    <row r="234" spans="1:41" s="195" customFormat="1" ht="18" customHeight="1">
      <c r="A234" s="189"/>
      <c r="B234" s="189"/>
      <c r="C234" s="189"/>
      <c r="D234" s="77"/>
      <c r="E234" s="77"/>
      <c r="F234" s="77"/>
      <c r="G234" s="77"/>
      <c r="H234" s="77"/>
      <c r="I234" s="77"/>
      <c r="J234" s="77"/>
      <c r="K234" s="77"/>
      <c r="L234" s="77"/>
      <c r="M234" s="77"/>
      <c r="N234" s="77"/>
      <c r="O234" s="77"/>
      <c r="P234" s="77"/>
      <c r="Q234" s="77"/>
      <c r="R234" s="77"/>
      <c r="S234" s="77"/>
      <c r="T234" s="77"/>
      <c r="AA234" s="196"/>
    </row>
    <row r="235" spans="1:41" s="195" customFormat="1" ht="18" customHeight="1">
      <c r="A235" s="189"/>
      <c r="B235" s="189"/>
      <c r="C235" s="187"/>
      <c r="D235" s="34" t="s">
        <v>4438</v>
      </c>
      <c r="E235" s="14"/>
      <c r="F235" s="77"/>
      <c r="G235" s="77"/>
      <c r="H235" s="77"/>
      <c r="I235" s="77"/>
      <c r="J235" s="77"/>
      <c r="K235" s="77"/>
      <c r="L235" s="77"/>
      <c r="M235" s="77"/>
      <c r="N235" s="77"/>
      <c r="O235" s="77"/>
      <c r="P235" s="77"/>
      <c r="Q235" s="77"/>
      <c r="R235" s="28"/>
      <c r="S235" s="28"/>
      <c r="T235" s="14"/>
      <c r="U235" s="191"/>
      <c r="V235" s="191"/>
      <c r="W235" s="191"/>
      <c r="X235" s="191"/>
      <c r="Y235" s="191"/>
      <c r="Z235" s="191"/>
      <c r="AA235" s="199"/>
      <c r="AB235" s="191"/>
      <c r="AC235" s="191"/>
      <c r="AD235" s="191"/>
      <c r="AE235" s="191"/>
      <c r="AF235" s="191"/>
      <c r="AG235" s="191"/>
      <c r="AH235" s="191"/>
      <c r="AI235" s="197"/>
      <c r="AJ235" s="197"/>
      <c r="AK235" s="197"/>
      <c r="AL235" s="197"/>
      <c r="AM235" s="197"/>
      <c r="AN235" s="197"/>
    </row>
    <row r="236" spans="1:41" s="195" customFormat="1" ht="18" customHeight="1">
      <c r="A236" s="189"/>
      <c r="B236" s="189"/>
      <c r="C236" s="187"/>
      <c r="D236" s="14"/>
      <c r="E236" s="16" t="s">
        <v>4441</v>
      </c>
      <c r="F236" s="14"/>
      <c r="G236" s="14"/>
      <c r="H236" s="14"/>
      <c r="I236" s="14"/>
      <c r="J236" s="14"/>
      <c r="K236" s="14"/>
      <c r="L236" s="14"/>
      <c r="M236" s="14"/>
      <c r="N236" s="14"/>
      <c r="O236" s="14"/>
      <c r="P236" s="77"/>
      <c r="Q236" s="77"/>
      <c r="R236" s="28"/>
      <c r="S236" s="28"/>
      <c r="T236" s="14"/>
      <c r="U236" s="191"/>
      <c r="V236" s="191"/>
      <c r="W236" s="191"/>
      <c r="X236" s="191"/>
      <c r="Y236" s="191"/>
      <c r="Z236" s="191"/>
      <c r="AA236" s="199"/>
      <c r="AB236" s="191"/>
      <c r="AC236" s="191"/>
      <c r="AD236" s="191"/>
      <c r="AE236" s="191"/>
      <c r="AF236" s="191"/>
      <c r="AG236" s="191"/>
      <c r="AH236" s="191"/>
      <c r="AI236" s="197"/>
      <c r="AJ236" s="197"/>
      <c r="AK236" s="197"/>
      <c r="AL236" s="197"/>
      <c r="AM236" s="197"/>
      <c r="AN236" s="197"/>
    </row>
    <row r="237" spans="1:41" s="191" customFormat="1" ht="56.4" customHeight="1">
      <c r="A237" s="187"/>
      <c r="B237" s="187"/>
      <c r="C237" s="187"/>
      <c r="D237" s="14"/>
      <c r="E237" s="751" t="s">
        <v>4551</v>
      </c>
      <c r="F237" s="751"/>
      <c r="G237" s="751"/>
      <c r="H237" s="751"/>
      <c r="I237" s="751"/>
      <c r="J237" s="751"/>
      <c r="K237" s="751"/>
      <c r="L237" s="751"/>
      <c r="M237" s="751"/>
      <c r="N237" s="751"/>
      <c r="O237" s="751"/>
      <c r="P237" s="751"/>
      <c r="Q237" s="751"/>
      <c r="R237" s="28"/>
      <c r="S237" s="28"/>
      <c r="T237" s="14"/>
      <c r="AA237" s="199"/>
      <c r="AI237" s="197"/>
      <c r="AJ237" s="197"/>
      <c r="AK237" s="197"/>
      <c r="AL237" s="197"/>
      <c r="AM237" s="197"/>
      <c r="AN237" s="197"/>
    </row>
    <row r="238" spans="1:41" s="195" customFormat="1" ht="400" customHeight="1">
      <c r="A238" s="189"/>
      <c r="B238" s="189"/>
      <c r="C238" s="189"/>
      <c r="D238" s="32"/>
      <c r="E238" s="752" t="str">
        <f>IF('入力シート（第１年度報告書）'!E238="","",'入力シート（第１年度報告書）'!E238)</f>
        <v/>
      </c>
      <c r="F238" s="753"/>
      <c r="G238" s="753"/>
      <c r="H238" s="753"/>
      <c r="I238" s="753"/>
      <c r="J238" s="753"/>
      <c r="K238" s="753"/>
      <c r="L238" s="753"/>
      <c r="M238" s="753"/>
      <c r="N238" s="753"/>
      <c r="O238" s="753"/>
      <c r="P238" s="753"/>
      <c r="Q238" s="754"/>
      <c r="R238" s="77"/>
      <c r="S238" s="77"/>
      <c r="T238" s="28"/>
      <c r="U238" s="197"/>
      <c r="V238" s="191"/>
      <c r="W238" s="191"/>
      <c r="X238" s="191"/>
      <c r="Y238" s="191"/>
      <c r="Z238" s="191"/>
      <c r="AA238" s="191"/>
      <c r="AB238" s="191"/>
      <c r="AC238" s="199"/>
      <c r="AD238" s="191"/>
      <c r="AE238" s="191"/>
      <c r="AF238" s="191"/>
      <c r="AG238" s="191"/>
      <c r="AH238" s="191"/>
      <c r="AI238" s="191"/>
      <c r="AJ238" s="191"/>
      <c r="AK238" s="197"/>
      <c r="AL238" s="197"/>
      <c r="AM238" s="197"/>
      <c r="AN238" s="197"/>
      <c r="AO238" s="197"/>
    </row>
    <row r="239" spans="1:41" s="195" customFormat="1" ht="18" hidden="1" customHeight="1">
      <c r="A239" s="189"/>
      <c r="B239" s="189"/>
      <c r="C239" s="189"/>
      <c r="D239" s="77"/>
      <c r="E239" s="77"/>
      <c r="F239" s="77"/>
      <c r="G239" s="77"/>
      <c r="H239" s="77"/>
      <c r="I239" s="77"/>
      <c r="J239" s="77"/>
      <c r="K239" s="77"/>
      <c r="L239" s="77"/>
      <c r="M239" s="77"/>
      <c r="N239" s="77"/>
      <c r="O239" s="77"/>
      <c r="P239" s="77"/>
      <c r="Q239" s="77"/>
      <c r="R239" s="77"/>
      <c r="S239" s="77"/>
      <c r="T239" s="77"/>
      <c r="AA239" s="196"/>
    </row>
    <row r="240" spans="1:41" s="195" customFormat="1" ht="18" hidden="1" customHeight="1">
      <c r="A240" s="189"/>
      <c r="B240" s="189"/>
      <c r="C240" s="189"/>
      <c r="D240" s="77"/>
      <c r="E240" s="77"/>
      <c r="F240" s="77"/>
      <c r="G240" s="77"/>
      <c r="H240" s="77"/>
      <c r="I240" s="77"/>
      <c r="J240" s="77"/>
      <c r="K240" s="77"/>
      <c r="L240" s="77"/>
      <c r="M240" s="77"/>
      <c r="N240" s="77"/>
      <c r="O240" s="77"/>
      <c r="P240" s="77"/>
      <c r="Q240" s="77"/>
      <c r="R240" s="77"/>
      <c r="S240" s="77"/>
      <c r="T240" s="77"/>
      <c r="AA240" s="196"/>
    </row>
    <row r="241" spans="1:49" s="195" customFormat="1" ht="18" hidden="1" customHeight="1">
      <c r="A241" s="189"/>
      <c r="B241" s="189"/>
      <c r="C241" s="189"/>
      <c r="D241" s="77"/>
      <c r="E241" s="77"/>
      <c r="F241" s="77"/>
      <c r="G241" s="77"/>
      <c r="H241" s="77"/>
      <c r="I241" s="77"/>
      <c r="J241" s="77"/>
      <c r="K241" s="77"/>
      <c r="L241" s="77"/>
      <c r="M241" s="77"/>
      <c r="N241" s="77"/>
      <c r="O241" s="77"/>
      <c r="P241" s="77"/>
      <c r="Q241" s="77"/>
      <c r="R241" s="77"/>
      <c r="S241" s="77"/>
      <c r="T241" s="77"/>
      <c r="AA241" s="196"/>
    </row>
    <row r="242" spans="1:49" s="195" customFormat="1" ht="18" customHeight="1">
      <c r="A242" s="189"/>
      <c r="B242" s="189"/>
      <c r="C242" s="189"/>
      <c r="D242" s="77"/>
      <c r="E242" s="77"/>
      <c r="F242" s="77"/>
      <c r="G242" s="77"/>
      <c r="H242" s="77"/>
      <c r="I242" s="77"/>
      <c r="J242" s="77"/>
      <c r="K242" s="77"/>
      <c r="L242" s="77"/>
      <c r="M242" s="77"/>
      <c r="N242" s="77"/>
      <c r="O242" s="77"/>
      <c r="P242" s="77"/>
      <c r="Q242" s="77"/>
      <c r="R242" s="77"/>
      <c r="S242" s="77"/>
      <c r="T242" s="77"/>
      <c r="AA242" s="196"/>
    </row>
    <row r="243" spans="1:49" s="195" customFormat="1" ht="18" customHeight="1">
      <c r="A243" s="189"/>
      <c r="B243" s="189"/>
      <c r="C243" s="189"/>
      <c r="D243" s="77"/>
      <c r="E243" s="77"/>
      <c r="F243" s="77"/>
      <c r="G243" s="77"/>
      <c r="H243" s="77"/>
      <c r="I243" s="77"/>
      <c r="J243" s="77"/>
      <c r="K243" s="77"/>
      <c r="L243" s="77"/>
      <c r="M243" s="77"/>
      <c r="N243" s="77"/>
      <c r="O243" s="77"/>
      <c r="P243" s="77"/>
      <c r="Q243" s="77"/>
      <c r="R243" s="77"/>
      <c r="S243" s="77"/>
      <c r="T243" s="77"/>
      <c r="AA243" s="196"/>
    </row>
    <row r="244" spans="1:49" s="195" customFormat="1" ht="18" customHeight="1">
      <c r="A244" s="189"/>
      <c r="B244" s="189"/>
      <c r="C244" s="189"/>
      <c r="D244" s="77"/>
      <c r="E244" s="77"/>
      <c r="F244" s="77" t="s">
        <v>4405</v>
      </c>
      <c r="G244" s="77"/>
      <c r="H244" s="77"/>
      <c r="I244" s="77"/>
      <c r="J244" s="77"/>
      <c r="K244" s="77"/>
      <c r="L244" s="77"/>
      <c r="M244" s="77"/>
      <c r="N244" s="77"/>
      <c r="O244" s="77"/>
      <c r="P244" s="77"/>
      <c r="Q244" s="77"/>
      <c r="R244" s="77"/>
      <c r="S244" s="77"/>
      <c r="T244" s="77"/>
      <c r="AA244" s="196"/>
      <c r="AW244" s="189"/>
    </row>
    <row r="245" spans="1:49" s="195" customFormat="1" ht="16.5" customHeight="1">
      <c r="A245" s="189"/>
      <c r="B245" s="189"/>
      <c r="C245" s="189"/>
      <c r="D245" s="77"/>
      <c r="E245" s="10"/>
      <c r="F245" s="125" t="s">
        <v>4061</v>
      </c>
      <c r="G245" s="77"/>
      <c r="H245" s="77"/>
      <c r="I245" s="77"/>
      <c r="J245" s="77"/>
      <c r="K245" s="77"/>
      <c r="L245" s="77"/>
      <c r="M245" s="77"/>
      <c r="N245" s="77"/>
      <c r="O245" s="77"/>
      <c r="P245" s="803"/>
      <c r="Q245" s="803"/>
      <c r="R245" s="803"/>
      <c r="S245" s="803"/>
      <c r="T245" s="803"/>
      <c r="AA245" s="196"/>
    </row>
    <row r="246" spans="1:49" s="195" customFormat="1" ht="87" customHeight="1">
      <c r="A246" s="189"/>
      <c r="B246" s="189"/>
      <c r="C246" s="189"/>
      <c r="D246" s="77"/>
      <c r="E246" s="125">
        <v>1</v>
      </c>
      <c r="F246" s="12"/>
      <c r="G246" s="28"/>
      <c r="H246" s="77"/>
      <c r="I246" s="77"/>
      <c r="J246" s="77"/>
      <c r="K246" s="77"/>
      <c r="L246" s="77"/>
      <c r="M246" s="77"/>
      <c r="N246" s="77"/>
      <c r="O246" s="77"/>
      <c r="P246" s="77"/>
      <c r="Q246" s="77"/>
      <c r="R246" s="77"/>
      <c r="S246" s="77"/>
      <c r="T246" s="77"/>
      <c r="AA246" s="196"/>
      <c r="AF246" s="194"/>
    </row>
    <row r="247" spans="1:49" s="195" customFormat="1" ht="87" customHeight="1">
      <c r="A247" s="189"/>
      <c r="B247" s="189"/>
      <c r="C247" s="189"/>
      <c r="D247" s="77"/>
      <c r="E247" s="125">
        <v>2</v>
      </c>
      <c r="F247" s="12"/>
      <c r="G247" s="28"/>
      <c r="H247" s="77"/>
      <c r="I247" s="77"/>
      <c r="J247" s="77"/>
      <c r="K247" s="77"/>
      <c r="L247" s="77"/>
      <c r="M247" s="77"/>
      <c r="N247" s="77"/>
      <c r="O247" s="77"/>
      <c r="P247" s="77"/>
      <c r="Q247" s="77"/>
      <c r="R247" s="77"/>
      <c r="S247" s="77"/>
      <c r="T247" s="77"/>
      <c r="AA247" s="196"/>
    </row>
    <row r="248" spans="1:49" s="195" customFormat="1" ht="87" customHeight="1">
      <c r="A248" s="189"/>
      <c r="B248" s="189"/>
      <c r="C248" s="189"/>
      <c r="D248" s="77"/>
      <c r="E248" s="125">
        <v>3</v>
      </c>
      <c r="F248" s="12"/>
      <c r="G248" s="28"/>
      <c r="H248" s="77"/>
      <c r="I248" s="77"/>
      <c r="J248" s="77"/>
      <c r="K248" s="77"/>
      <c r="L248" s="77"/>
      <c r="M248" s="77"/>
      <c r="N248" s="77"/>
      <c r="O248" s="77"/>
      <c r="P248" s="77"/>
      <c r="Q248" s="77"/>
      <c r="R248" s="77"/>
      <c r="S248" s="77"/>
      <c r="T248" s="77"/>
      <c r="AA248" s="196"/>
    </row>
    <row r="249" spans="1:49" s="195" customFormat="1" ht="87" customHeight="1">
      <c r="A249" s="189"/>
      <c r="B249" s="189"/>
      <c r="C249" s="189"/>
      <c r="D249" s="77"/>
      <c r="E249" s="125">
        <v>4</v>
      </c>
      <c r="F249" s="12"/>
      <c r="G249" s="28"/>
      <c r="H249" s="77"/>
      <c r="I249" s="77"/>
      <c r="J249" s="77"/>
      <c r="K249" s="77"/>
      <c r="L249" s="77"/>
      <c r="M249" s="77"/>
      <c r="N249" s="77"/>
      <c r="O249" s="77"/>
      <c r="P249" s="77"/>
      <c r="Q249" s="77"/>
      <c r="R249" s="77"/>
      <c r="S249" s="77"/>
      <c r="T249" s="77"/>
      <c r="AA249" s="196"/>
    </row>
    <row r="250" spans="1:49" s="195" customFormat="1" ht="87" customHeight="1">
      <c r="A250" s="189"/>
      <c r="B250" s="189"/>
      <c r="C250" s="189"/>
      <c r="D250" s="77"/>
      <c r="E250" s="125">
        <v>5</v>
      </c>
      <c r="F250" s="12"/>
      <c r="G250" s="28"/>
      <c r="H250" s="77"/>
      <c r="I250" s="77"/>
      <c r="J250" s="77"/>
      <c r="K250" s="77"/>
      <c r="L250" s="77"/>
      <c r="M250" s="77"/>
      <c r="N250" s="77"/>
      <c r="O250" s="77"/>
      <c r="P250" s="77"/>
      <c r="Q250" s="77"/>
      <c r="R250" s="77"/>
      <c r="S250" s="77"/>
      <c r="T250" s="77"/>
      <c r="AA250" s="196"/>
    </row>
    <row r="251" spans="1:49" s="195" customFormat="1" ht="87" customHeight="1">
      <c r="A251" s="189"/>
      <c r="B251" s="189"/>
      <c r="C251" s="189"/>
      <c r="D251" s="77"/>
      <c r="E251" s="125">
        <v>6</v>
      </c>
      <c r="F251" s="12"/>
      <c r="G251" s="28"/>
      <c r="H251" s="77"/>
      <c r="I251" s="77"/>
      <c r="J251" s="77"/>
      <c r="K251" s="77"/>
      <c r="L251" s="77"/>
      <c r="M251" s="77"/>
      <c r="N251" s="77"/>
      <c r="O251" s="77"/>
      <c r="P251" s="77"/>
      <c r="Q251" s="77"/>
      <c r="R251" s="77"/>
      <c r="S251" s="77"/>
      <c r="T251" s="77"/>
      <c r="AA251" s="196"/>
    </row>
    <row r="252" spans="1:49" s="195" customFormat="1" ht="87" customHeight="1">
      <c r="A252" s="189"/>
      <c r="B252" s="189"/>
      <c r="C252" s="189"/>
      <c r="D252" s="77"/>
      <c r="E252" s="125">
        <v>7</v>
      </c>
      <c r="F252" s="12"/>
      <c r="G252" s="28"/>
      <c r="H252" s="77"/>
      <c r="I252" s="77"/>
      <c r="J252" s="77"/>
      <c r="K252" s="77"/>
      <c r="L252" s="77"/>
      <c r="M252" s="77"/>
      <c r="N252" s="77"/>
      <c r="O252" s="77"/>
      <c r="P252" s="77"/>
      <c r="Q252" s="77"/>
      <c r="R252" s="77"/>
      <c r="S252" s="77"/>
      <c r="T252" s="77"/>
      <c r="AA252" s="196"/>
    </row>
    <row r="253" spans="1:49" s="195" customFormat="1" ht="87" customHeight="1">
      <c r="A253" s="189"/>
      <c r="B253" s="189"/>
      <c r="C253" s="189"/>
      <c r="D253" s="77"/>
      <c r="E253" s="125">
        <v>8</v>
      </c>
      <c r="F253" s="12"/>
      <c r="G253" s="28"/>
      <c r="H253" s="77"/>
      <c r="I253" s="77"/>
      <c r="J253" s="77"/>
      <c r="K253" s="77"/>
      <c r="L253" s="77"/>
      <c r="M253" s="77"/>
      <c r="N253" s="77"/>
      <c r="O253" s="77"/>
      <c r="P253" s="77"/>
      <c r="Q253" s="77"/>
      <c r="R253" s="77"/>
      <c r="S253" s="77"/>
      <c r="T253" s="77"/>
      <c r="AA253" s="196"/>
    </row>
    <row r="254" spans="1:49" s="195" customFormat="1" ht="87" customHeight="1">
      <c r="A254" s="189"/>
      <c r="B254" s="189"/>
      <c r="C254" s="189"/>
      <c r="D254" s="77"/>
      <c r="E254" s="125">
        <v>9</v>
      </c>
      <c r="F254" s="12"/>
      <c r="G254" s="28"/>
      <c r="H254" s="77"/>
      <c r="I254" s="77"/>
      <c r="J254" s="77"/>
      <c r="K254" s="77"/>
      <c r="L254" s="77"/>
      <c r="M254" s="77"/>
      <c r="N254" s="77"/>
      <c r="O254" s="77"/>
      <c r="P254" s="77"/>
      <c r="Q254" s="77"/>
      <c r="R254" s="77"/>
      <c r="S254" s="77"/>
      <c r="T254" s="77"/>
      <c r="AA254" s="196"/>
    </row>
    <row r="255" spans="1:49" s="195" customFormat="1" ht="18" customHeight="1">
      <c r="A255" s="189"/>
      <c r="B255" s="189"/>
      <c r="C255" s="189"/>
      <c r="D255" s="77"/>
      <c r="E255" s="77"/>
      <c r="F255" s="77"/>
      <c r="G255" s="77"/>
      <c r="H255" s="77"/>
      <c r="I255" s="77"/>
      <c r="J255" s="77"/>
      <c r="K255" s="77"/>
      <c r="L255" s="77"/>
      <c r="M255" s="77"/>
      <c r="N255" s="77"/>
      <c r="O255" s="77"/>
      <c r="P255" s="77"/>
      <c r="Q255" s="77"/>
      <c r="R255" s="77"/>
      <c r="S255" s="77"/>
      <c r="T255" s="77"/>
      <c r="AA255" s="196"/>
    </row>
    <row r="256" spans="1:49" s="195" customFormat="1" ht="54.65" customHeight="1">
      <c r="A256" s="189"/>
      <c r="B256" s="189"/>
      <c r="C256" s="189"/>
      <c r="D256" s="77"/>
      <c r="E256" s="77"/>
      <c r="F256" s="925" t="s">
        <v>4407</v>
      </c>
      <c r="G256" s="925"/>
      <c r="H256" s="925"/>
      <c r="I256" s="925"/>
      <c r="J256" s="925"/>
      <c r="K256" s="925"/>
      <c r="L256" s="925"/>
      <c r="M256" s="925"/>
      <c r="N256" s="925"/>
      <c r="O256" s="925"/>
      <c r="P256" s="77"/>
      <c r="Q256" s="77"/>
      <c r="R256" s="77"/>
      <c r="S256" s="77"/>
      <c r="T256" s="77"/>
      <c r="AA256" s="196"/>
    </row>
    <row r="257" spans="1:49" s="195" customFormat="1" ht="18" customHeight="1">
      <c r="A257" s="189"/>
      <c r="B257" s="189"/>
      <c r="C257" s="189"/>
      <c r="D257" s="77"/>
      <c r="E257" s="10"/>
      <c r="F257" s="801" t="s">
        <v>4062</v>
      </c>
      <c r="G257" s="926"/>
      <c r="H257" s="802"/>
      <c r="I257" s="801" t="s">
        <v>4094</v>
      </c>
      <c r="J257" s="926"/>
      <c r="K257" s="926"/>
      <c r="L257" s="926"/>
      <c r="M257" s="926"/>
      <c r="N257" s="802"/>
      <c r="O257" s="28"/>
      <c r="P257" s="28"/>
      <c r="Q257" s="28"/>
      <c r="R257" s="28"/>
      <c r="S257" s="28"/>
      <c r="T257" s="77"/>
      <c r="AD257" s="196"/>
      <c r="AF257" s="194"/>
      <c r="AW257" s="189"/>
    </row>
    <row r="258" spans="1:49" s="195" customFormat="1" ht="80.150000000000006" customHeight="1">
      <c r="A258" s="189"/>
      <c r="B258" s="189"/>
      <c r="C258" s="189"/>
      <c r="D258" s="77"/>
      <c r="E258" s="126">
        <v>1</v>
      </c>
      <c r="F258" s="919"/>
      <c r="G258" s="920"/>
      <c r="H258" s="921"/>
      <c r="I258" s="752"/>
      <c r="J258" s="753"/>
      <c r="K258" s="753"/>
      <c r="L258" s="753"/>
      <c r="M258" s="753"/>
      <c r="N258" s="754"/>
      <c r="O258" s="153"/>
      <c r="P258" s="77"/>
      <c r="Q258" s="77"/>
      <c r="R258" s="77"/>
      <c r="S258" s="77"/>
      <c r="T258" s="77"/>
      <c r="AD258" s="196"/>
    </row>
    <row r="259" spans="1:49" s="195" customFormat="1" ht="80.150000000000006" customHeight="1">
      <c r="A259" s="189"/>
      <c r="B259" s="189"/>
      <c r="C259" s="189"/>
      <c r="D259" s="77"/>
      <c r="E259" s="126">
        <v>2</v>
      </c>
      <c r="F259" s="919"/>
      <c r="G259" s="920"/>
      <c r="H259" s="921"/>
      <c r="I259" s="752"/>
      <c r="J259" s="753"/>
      <c r="K259" s="753"/>
      <c r="L259" s="753"/>
      <c r="M259" s="753"/>
      <c r="N259" s="754"/>
      <c r="O259" s="153"/>
      <c r="P259" s="77"/>
      <c r="Q259" s="77"/>
      <c r="R259" s="77"/>
      <c r="S259" s="77"/>
      <c r="T259" s="77"/>
      <c r="AD259" s="196"/>
    </row>
    <row r="260" spans="1:49" s="195" customFormat="1" ht="80.150000000000006" customHeight="1">
      <c r="A260" s="189"/>
      <c r="B260" s="189"/>
      <c r="C260" s="189"/>
      <c r="D260" s="77"/>
      <c r="E260" s="126">
        <v>3</v>
      </c>
      <c r="F260" s="919"/>
      <c r="G260" s="920"/>
      <c r="H260" s="921"/>
      <c r="I260" s="752"/>
      <c r="J260" s="753"/>
      <c r="K260" s="753"/>
      <c r="L260" s="753"/>
      <c r="M260" s="753"/>
      <c r="N260" s="754"/>
      <c r="O260" s="153"/>
      <c r="P260" s="77"/>
      <c r="Q260" s="77"/>
      <c r="R260" s="77"/>
      <c r="S260" s="77"/>
      <c r="T260" s="77"/>
      <c r="AD260" s="196"/>
    </row>
    <row r="261" spans="1:49" s="195" customFormat="1" ht="80.150000000000006" customHeight="1">
      <c r="A261" s="189"/>
      <c r="B261" s="189"/>
      <c r="C261" s="189"/>
      <c r="D261" s="77"/>
      <c r="E261" s="126">
        <v>4</v>
      </c>
      <c r="F261" s="919"/>
      <c r="G261" s="920"/>
      <c r="H261" s="921"/>
      <c r="I261" s="752"/>
      <c r="J261" s="753"/>
      <c r="K261" s="753"/>
      <c r="L261" s="753"/>
      <c r="M261" s="753"/>
      <c r="N261" s="754"/>
      <c r="O261" s="153"/>
      <c r="P261" s="77"/>
      <c r="Q261" s="77"/>
      <c r="R261" s="77"/>
      <c r="S261" s="77"/>
      <c r="T261" s="77"/>
      <c r="AD261" s="196"/>
    </row>
    <row r="262" spans="1:49" s="195" customFormat="1" ht="80.150000000000006" customHeight="1">
      <c r="A262" s="189"/>
      <c r="B262" s="189"/>
      <c r="C262" s="189"/>
      <c r="D262" s="77"/>
      <c r="E262" s="126">
        <v>5</v>
      </c>
      <c r="F262" s="919"/>
      <c r="G262" s="920"/>
      <c r="H262" s="921"/>
      <c r="I262" s="752"/>
      <c r="J262" s="753"/>
      <c r="K262" s="753"/>
      <c r="L262" s="753"/>
      <c r="M262" s="753"/>
      <c r="N262" s="754"/>
      <c r="O262" s="153"/>
      <c r="P262" s="77"/>
      <c r="Q262" s="77"/>
      <c r="R262" s="77"/>
      <c r="S262" s="77"/>
      <c r="T262" s="77"/>
      <c r="AD262" s="196"/>
    </row>
    <row r="263" spans="1:49" s="195" customFormat="1" ht="80.150000000000006" customHeight="1">
      <c r="A263" s="189"/>
      <c r="B263" s="189"/>
      <c r="C263" s="189"/>
      <c r="D263" s="77"/>
      <c r="E263" s="126">
        <v>6</v>
      </c>
      <c r="F263" s="919"/>
      <c r="G263" s="920"/>
      <c r="H263" s="921"/>
      <c r="I263" s="752"/>
      <c r="J263" s="753"/>
      <c r="K263" s="753"/>
      <c r="L263" s="753"/>
      <c r="M263" s="753"/>
      <c r="N263" s="754"/>
      <c r="O263" s="153"/>
      <c r="P263" s="77"/>
      <c r="Q263" s="77"/>
      <c r="R263" s="77"/>
      <c r="S263" s="77"/>
      <c r="T263" s="77"/>
      <c r="AD263" s="196"/>
    </row>
    <row r="264" spans="1:49" s="195" customFormat="1" ht="80.150000000000006" customHeight="1">
      <c r="A264" s="189"/>
      <c r="B264" s="189"/>
      <c r="C264" s="189"/>
      <c r="D264" s="77"/>
      <c r="E264" s="126">
        <v>7</v>
      </c>
      <c r="F264" s="919"/>
      <c r="G264" s="920"/>
      <c r="H264" s="921"/>
      <c r="I264" s="752"/>
      <c r="J264" s="753"/>
      <c r="K264" s="753"/>
      <c r="L264" s="753"/>
      <c r="M264" s="753"/>
      <c r="N264" s="754"/>
      <c r="O264" s="153"/>
      <c r="P264" s="77"/>
      <c r="Q264" s="77"/>
      <c r="R264" s="77"/>
      <c r="S264" s="77"/>
      <c r="T264" s="77"/>
      <c r="AD264" s="196"/>
    </row>
    <row r="265" spans="1:49" s="195" customFormat="1" ht="80.150000000000006" customHeight="1">
      <c r="A265" s="189"/>
      <c r="B265" s="189"/>
      <c r="C265" s="189"/>
      <c r="D265" s="77"/>
      <c r="E265" s="126">
        <v>8</v>
      </c>
      <c r="F265" s="919"/>
      <c r="G265" s="920"/>
      <c r="H265" s="921"/>
      <c r="I265" s="752"/>
      <c r="J265" s="753"/>
      <c r="K265" s="753"/>
      <c r="L265" s="753"/>
      <c r="M265" s="753"/>
      <c r="N265" s="754"/>
      <c r="O265" s="153"/>
      <c r="P265" s="77"/>
      <c r="Q265" s="77"/>
      <c r="R265" s="77"/>
      <c r="S265" s="77"/>
      <c r="T265" s="77"/>
      <c r="AD265" s="196"/>
    </row>
    <row r="266" spans="1:49" s="195" customFormat="1" ht="80.150000000000006" customHeight="1">
      <c r="A266" s="189"/>
      <c r="B266" s="189"/>
      <c r="C266" s="189"/>
      <c r="D266" s="77"/>
      <c r="E266" s="126">
        <v>9</v>
      </c>
      <c r="F266" s="919"/>
      <c r="G266" s="920"/>
      <c r="H266" s="921"/>
      <c r="I266" s="752"/>
      <c r="J266" s="753"/>
      <c r="K266" s="753"/>
      <c r="L266" s="753"/>
      <c r="M266" s="753"/>
      <c r="N266" s="754"/>
      <c r="O266" s="153"/>
      <c r="P266" s="77"/>
      <c r="Q266" s="77"/>
      <c r="R266" s="77"/>
      <c r="S266" s="77"/>
      <c r="T266" s="77"/>
      <c r="AD266" s="196"/>
    </row>
    <row r="267" spans="1:49" s="195" customFormat="1" ht="80.150000000000006" customHeight="1">
      <c r="A267" s="189"/>
      <c r="B267" s="189"/>
      <c r="C267" s="189"/>
      <c r="D267" s="77"/>
      <c r="E267" s="126">
        <v>10</v>
      </c>
      <c r="F267" s="919"/>
      <c r="G267" s="920"/>
      <c r="H267" s="921"/>
      <c r="I267" s="752"/>
      <c r="J267" s="753"/>
      <c r="K267" s="753"/>
      <c r="L267" s="753"/>
      <c r="M267" s="753"/>
      <c r="N267" s="754"/>
      <c r="O267" s="153"/>
      <c r="P267" s="77"/>
      <c r="Q267" s="77"/>
      <c r="R267" s="77"/>
      <c r="S267" s="77"/>
      <c r="T267" s="77"/>
      <c r="AD267" s="196"/>
    </row>
    <row r="268" spans="1:49" s="195" customFormat="1" ht="18" customHeight="1">
      <c r="A268" s="189"/>
      <c r="B268" s="189"/>
      <c r="C268" s="189"/>
      <c r="D268" s="77"/>
      <c r="E268" s="77"/>
      <c r="F268" s="77"/>
      <c r="G268" s="77"/>
      <c r="H268" s="77"/>
      <c r="I268" s="77"/>
      <c r="J268" s="77"/>
      <c r="K268" s="77"/>
      <c r="L268" s="77"/>
      <c r="M268" s="77"/>
      <c r="N268" s="77"/>
      <c r="O268" s="77"/>
      <c r="P268" s="77"/>
      <c r="Q268" s="77"/>
      <c r="R268" s="77"/>
      <c r="S268" s="77"/>
      <c r="T268" s="77"/>
      <c r="AA268" s="196"/>
    </row>
    <row r="269" spans="1:49" s="195" customFormat="1" ht="18" customHeight="1">
      <c r="A269" s="189"/>
      <c r="B269" s="189"/>
      <c r="C269" s="189"/>
      <c r="D269" s="77"/>
      <c r="E269" s="77"/>
      <c r="F269" s="77"/>
      <c r="G269" s="77"/>
      <c r="H269" s="77"/>
      <c r="I269" s="77"/>
      <c r="J269" s="77"/>
      <c r="K269" s="77"/>
      <c r="L269" s="77"/>
      <c r="M269" s="77"/>
      <c r="N269" s="77"/>
      <c r="O269" s="77"/>
      <c r="P269" s="77"/>
      <c r="Q269" s="77"/>
      <c r="R269" s="77"/>
      <c r="S269" s="77"/>
      <c r="T269" s="77"/>
      <c r="AA269" s="196"/>
    </row>
  </sheetData>
  <sheetProtection algorithmName="SHA-512" hashValue="pN15OHSQuYJ5PwGOSc3m/OLE0sV3H6RlzpftPatfRLSKUGqIJC6WYG1QR75SKV8CMRFgmU0JHMFJsNsZKlSAsA==" saltValue="MGBoseA/S5Gp1Vr/KV3r8Q==" spinCount="100000" sheet="1" objects="1" scenarios="1" selectLockedCells="1"/>
  <mergeCells count="193">
    <mergeCell ref="G56:H56"/>
    <mergeCell ref="G57:H57"/>
    <mergeCell ref="G58:H58"/>
    <mergeCell ref="G59:H59"/>
    <mergeCell ref="G170:M170"/>
    <mergeCell ref="G169:M169"/>
    <mergeCell ref="G168:M168"/>
    <mergeCell ref="G89:I89"/>
    <mergeCell ref="I142:P142"/>
    <mergeCell ref="G140:H142"/>
    <mergeCell ref="I137:L138"/>
    <mergeCell ref="O94:Q94"/>
    <mergeCell ref="E137:F139"/>
    <mergeCell ref="E89:F89"/>
    <mergeCell ref="E90:F90"/>
    <mergeCell ref="I140:L141"/>
    <mergeCell ref="G91:I91"/>
    <mergeCell ref="G111:H112"/>
    <mergeCell ref="I111:M112"/>
    <mergeCell ref="I134:L135"/>
    <mergeCell ref="E116:F118"/>
    <mergeCell ref="E119:F120"/>
    <mergeCell ref="G119:H120"/>
    <mergeCell ref="G137:H139"/>
    <mergeCell ref="E140:F142"/>
    <mergeCell ref="E134:F136"/>
    <mergeCell ref="E130:F131"/>
    <mergeCell ref="G130:H131"/>
    <mergeCell ref="G134:H136"/>
    <mergeCell ref="E91:F91"/>
    <mergeCell ref="E111:F112"/>
    <mergeCell ref="E113:F115"/>
    <mergeCell ref="E121:F121"/>
    <mergeCell ref="G121:H121"/>
    <mergeCell ref="E86:F86"/>
    <mergeCell ref="K72:M72"/>
    <mergeCell ref="G90:I90"/>
    <mergeCell ref="G84:I84"/>
    <mergeCell ref="K74:M74"/>
    <mergeCell ref="N74:O74"/>
    <mergeCell ref="K73:M73"/>
    <mergeCell ref="K71:M71"/>
    <mergeCell ref="G85:I85"/>
    <mergeCell ref="I258:N258"/>
    <mergeCell ref="F258:H258"/>
    <mergeCell ref="F259:H259"/>
    <mergeCell ref="I259:N259"/>
    <mergeCell ref="P245:T245"/>
    <mergeCell ref="E151:F151"/>
    <mergeCell ref="G151:O151"/>
    <mergeCell ref="E152:F152"/>
    <mergeCell ref="E143:F145"/>
    <mergeCell ref="F162:F163"/>
    <mergeCell ref="E149:F149"/>
    <mergeCell ref="F201:F202"/>
    <mergeCell ref="E201:E202"/>
    <mergeCell ref="G166:M166"/>
    <mergeCell ref="G165:M165"/>
    <mergeCell ref="E162:E163"/>
    <mergeCell ref="E150:F150"/>
    <mergeCell ref="G143:H145"/>
    <mergeCell ref="G162:M163"/>
    <mergeCell ref="G150:R150"/>
    <mergeCell ref="G152:R152"/>
    <mergeCell ref="G226:M226"/>
    <mergeCell ref="G204:M204"/>
    <mergeCell ref="G164:M164"/>
    <mergeCell ref="F267:H267"/>
    <mergeCell ref="I267:N267"/>
    <mergeCell ref="F221:F222"/>
    <mergeCell ref="F263:H263"/>
    <mergeCell ref="I263:N263"/>
    <mergeCell ref="F264:H264"/>
    <mergeCell ref="I264:N264"/>
    <mergeCell ref="F265:H265"/>
    <mergeCell ref="I265:N265"/>
    <mergeCell ref="F266:H266"/>
    <mergeCell ref="I266:N266"/>
    <mergeCell ref="F260:H260"/>
    <mergeCell ref="I260:N260"/>
    <mergeCell ref="F261:H261"/>
    <mergeCell ref="I261:N261"/>
    <mergeCell ref="F262:H262"/>
    <mergeCell ref="I262:N262"/>
    <mergeCell ref="F256:O256"/>
    <mergeCell ref="F257:H257"/>
    <mergeCell ref="I257:N257"/>
    <mergeCell ref="G221:M222"/>
    <mergeCell ref="G229:M229"/>
    <mergeCell ref="G228:M228"/>
    <mergeCell ref="G227:M227"/>
    <mergeCell ref="H7:P7"/>
    <mergeCell ref="G47:H47"/>
    <mergeCell ref="G46:H46"/>
    <mergeCell ref="G45:H45"/>
    <mergeCell ref="G44:H44"/>
    <mergeCell ref="I44:J44"/>
    <mergeCell ref="I45:J45"/>
    <mergeCell ref="I46:J46"/>
    <mergeCell ref="I47:J47"/>
    <mergeCell ref="O16:O17"/>
    <mergeCell ref="E16:L17"/>
    <mergeCell ref="F41:M41"/>
    <mergeCell ref="E18:L18"/>
    <mergeCell ref="E19:L19"/>
    <mergeCell ref="E20:L20"/>
    <mergeCell ref="E21:L21"/>
    <mergeCell ref="E22:L22"/>
    <mergeCell ref="E23:L23"/>
    <mergeCell ref="E24:L24"/>
    <mergeCell ref="E25:L25"/>
    <mergeCell ref="E26:F26"/>
    <mergeCell ref="Q16:Q17"/>
    <mergeCell ref="R16:R17"/>
    <mergeCell ref="M16:M17"/>
    <mergeCell ref="N16:N17"/>
    <mergeCell ref="P16:P17"/>
    <mergeCell ref="I143:L144"/>
    <mergeCell ref="I130:L130"/>
    <mergeCell ref="G26:L26"/>
    <mergeCell ref="G68:J68"/>
    <mergeCell ref="I131:P131"/>
    <mergeCell ref="I139:P139"/>
    <mergeCell ref="G88:I88"/>
    <mergeCell ref="G87:I87"/>
    <mergeCell ref="G86:I86"/>
    <mergeCell ref="I48:J48"/>
    <mergeCell ref="G48:H48"/>
    <mergeCell ref="I56:J56"/>
    <mergeCell ref="I57:J57"/>
    <mergeCell ref="I59:J59"/>
    <mergeCell ref="N111:N112"/>
    <mergeCell ref="G113:H115"/>
    <mergeCell ref="G98:I98"/>
    <mergeCell ref="G97:I97"/>
    <mergeCell ref="G55:H55"/>
    <mergeCell ref="G225:M225"/>
    <mergeCell ref="G224:M224"/>
    <mergeCell ref="G223:M223"/>
    <mergeCell ref="E237:Q237"/>
    <mergeCell ref="E238:Q238"/>
    <mergeCell ref="E221:E222"/>
    <mergeCell ref="G232:M232"/>
    <mergeCell ref="G231:M231"/>
    <mergeCell ref="G230:M230"/>
    <mergeCell ref="N3:T3"/>
    <mergeCell ref="N69:O69"/>
    <mergeCell ref="N68:O68"/>
    <mergeCell ref="N70:O70"/>
    <mergeCell ref="N71:O71"/>
    <mergeCell ref="N72:O72"/>
    <mergeCell ref="N73:O73"/>
    <mergeCell ref="G203:M203"/>
    <mergeCell ref="G175:M175"/>
    <mergeCell ref="G174:M174"/>
    <mergeCell ref="G173:M173"/>
    <mergeCell ref="G172:M172"/>
    <mergeCell ref="G171:M171"/>
    <mergeCell ref="G176:M176"/>
    <mergeCell ref="G177:M177"/>
    <mergeCell ref="G178:M178"/>
    <mergeCell ref="G179:M179"/>
    <mergeCell ref="G180:M180"/>
    <mergeCell ref="G181:M181"/>
    <mergeCell ref="G201:M202"/>
    <mergeCell ref="I55:J55"/>
    <mergeCell ref="I58:J58"/>
    <mergeCell ref="I145:P145"/>
    <mergeCell ref="G167:M167"/>
    <mergeCell ref="G211:M211"/>
    <mergeCell ref="G71:J71"/>
    <mergeCell ref="G70:J70"/>
    <mergeCell ref="G208:M208"/>
    <mergeCell ref="G207:M207"/>
    <mergeCell ref="G206:M206"/>
    <mergeCell ref="G205:M205"/>
    <mergeCell ref="G72:J72"/>
    <mergeCell ref="K68:M68"/>
    <mergeCell ref="G74:J74"/>
    <mergeCell ref="G73:J73"/>
    <mergeCell ref="G116:H118"/>
    <mergeCell ref="I136:P136"/>
    <mergeCell ref="G210:M210"/>
    <mergeCell ref="G209:M209"/>
    <mergeCell ref="K70:M70"/>
    <mergeCell ref="K69:M69"/>
    <mergeCell ref="E82:K82"/>
    <mergeCell ref="E87:F87"/>
    <mergeCell ref="E88:F88"/>
    <mergeCell ref="G96:I96"/>
    <mergeCell ref="G69:J69"/>
    <mergeCell ref="E84:F84"/>
    <mergeCell ref="E85:F85"/>
  </mergeCells>
  <phoneticPr fontId="1"/>
  <conditionalFormatting sqref="D50:Q53">
    <cfRule type="expression" dxfId="143" priority="46">
      <formula>$C$32=2</formula>
    </cfRule>
  </conditionalFormatting>
  <conditionalFormatting sqref="E82">
    <cfRule type="expression" dxfId="142" priority="268">
      <formula>$C82=1</formula>
    </cfRule>
  </conditionalFormatting>
  <conditionalFormatting sqref="E91:F91">
    <cfRule type="expression" dxfId="141" priority="159">
      <formula>$C$79=2</formula>
    </cfRule>
  </conditionalFormatting>
  <conditionalFormatting sqref="E84:I84">
    <cfRule type="expression" dxfId="140" priority="160">
      <formula>$C$79=2</formula>
    </cfRule>
  </conditionalFormatting>
  <conditionalFormatting sqref="E67:J74">
    <cfRule type="expression" dxfId="139" priority="265">
      <formula>$C$64=2</formula>
    </cfRule>
  </conditionalFormatting>
  <conditionalFormatting sqref="E16:R26">
    <cfRule type="expression" dxfId="138" priority="1">
      <formula>$C$12=2</formula>
    </cfRule>
  </conditionalFormatting>
  <conditionalFormatting sqref="E14:T15 T16:T26">
    <cfRule type="expression" dxfId="137" priority="511">
      <formula>$C$12=2</formula>
    </cfRule>
  </conditionalFormatting>
  <conditionalFormatting sqref="E35:T42">
    <cfRule type="expression" dxfId="136" priority="36">
      <formula>$C$32=2</formula>
    </cfRule>
  </conditionalFormatting>
  <conditionalFormatting sqref="E66:T66">
    <cfRule type="expression" dxfId="135" priority="514">
      <formula>$C$64=2</formula>
    </cfRule>
  </conditionalFormatting>
  <conditionalFormatting sqref="E81:T81 N82:T82 E82:E83">
    <cfRule type="expression" dxfId="134" priority="515">
      <formula>$C$79=2</formula>
    </cfRule>
  </conditionalFormatting>
  <conditionalFormatting sqref="F36:F37 F51:F53 F64:F66 F79:F81">
    <cfRule type="expression" dxfId="133" priority="594">
      <formula>$C36=1</formula>
    </cfRule>
  </conditionalFormatting>
  <conditionalFormatting sqref="F41">
    <cfRule type="expression" dxfId="132" priority="37">
      <formula>$C$36=2</formula>
    </cfRule>
  </conditionalFormatting>
  <conditionalFormatting sqref="F49">
    <cfRule type="expression" dxfId="131" priority="557">
      <formula>$C$36=2</formula>
    </cfRule>
  </conditionalFormatting>
  <conditionalFormatting sqref="F43:H43">
    <cfRule type="expression" dxfId="130" priority="7">
      <formula>$C$36=2</formula>
    </cfRule>
  </conditionalFormatting>
  <conditionalFormatting sqref="F43:H48">
    <cfRule type="expression" dxfId="129" priority="8">
      <formula>$C$36=2</formula>
    </cfRule>
  </conditionalFormatting>
  <conditionalFormatting sqref="F44:H48">
    <cfRule type="expression" dxfId="128" priority="29">
      <formula>$C$36=2</formula>
    </cfRule>
  </conditionalFormatting>
  <conditionalFormatting sqref="F43:J48">
    <cfRule type="expression" dxfId="127" priority="6">
      <formula>$C$32=2</formula>
    </cfRule>
  </conditionalFormatting>
  <conditionalFormatting sqref="F54:J59">
    <cfRule type="expression" dxfId="126" priority="4">
      <formula>$C$32=2</formula>
    </cfRule>
    <cfRule type="expression" dxfId="125" priority="5">
      <formula>$C$51=2</formula>
    </cfRule>
  </conditionalFormatting>
  <conditionalFormatting sqref="F55:J59">
    <cfRule type="expression" dxfId="124" priority="3">
      <formula>F55&lt;&gt;""</formula>
    </cfRule>
  </conditionalFormatting>
  <conditionalFormatting sqref="F53:L53">
    <cfRule type="expression" dxfId="123" priority="556">
      <formula>$C$51=2</formula>
    </cfRule>
  </conditionalFormatting>
  <conditionalFormatting sqref="F38:T40 N41:T41 F42:T42">
    <cfRule type="expression" dxfId="122" priority="441">
      <formula>$C$36=2</formula>
    </cfRule>
  </conditionalFormatting>
  <conditionalFormatting sqref="G3 I3">
    <cfRule type="expression" dxfId="121" priority="543">
      <formula>G3&lt;&gt;""</formula>
    </cfRule>
  </conditionalFormatting>
  <conditionalFormatting sqref="G5">
    <cfRule type="expression" dxfId="120" priority="1040">
      <formula>DAY(EOMONTH(DATE(G3,I3,K3),0))&lt;&gt;R3</formula>
    </cfRule>
  </conditionalFormatting>
  <conditionalFormatting sqref="G36">
    <cfRule type="expression" dxfId="119" priority="38">
      <formula>$C$36=2</formula>
    </cfRule>
  </conditionalFormatting>
  <conditionalFormatting sqref="G51">
    <cfRule type="expression" dxfId="118" priority="39">
      <formula>$C$51=2</formula>
    </cfRule>
  </conditionalFormatting>
  <conditionalFormatting sqref="G64">
    <cfRule type="expression" dxfId="117" priority="40">
      <formula>$C$64=2</formula>
    </cfRule>
  </conditionalFormatting>
  <conditionalFormatting sqref="G68:G74">
    <cfRule type="expression" dxfId="116" priority="1218">
      <formula>$B$67=0</formula>
    </cfRule>
    <cfRule type="expression" dxfId="115" priority="1217">
      <formula>G68&lt;&gt;""</formula>
    </cfRule>
  </conditionalFormatting>
  <conditionalFormatting sqref="G79">
    <cfRule type="expression" dxfId="114" priority="41">
      <formula>$C$79=2</formula>
    </cfRule>
  </conditionalFormatting>
  <conditionalFormatting sqref="G84:G90 E84:E91 G91:I91">
    <cfRule type="expression" dxfId="113" priority="161">
      <formula>E84&lt;&gt;""</formula>
    </cfRule>
    <cfRule type="expression" dxfId="112" priority="162">
      <formula>$C$79=2</formula>
    </cfRule>
  </conditionalFormatting>
  <conditionalFormatting sqref="G98">
    <cfRule type="expression" dxfId="111" priority="341">
      <formula>G98&lt;&gt;""</formula>
    </cfRule>
  </conditionalFormatting>
  <conditionalFormatting sqref="G150">
    <cfRule type="expression" dxfId="110" priority="288">
      <formula>$G$150&lt;&gt;""</formula>
    </cfRule>
  </conditionalFormatting>
  <conditionalFormatting sqref="G113:H120">
    <cfRule type="expression" dxfId="109" priority="87">
      <formula>G113&lt;&gt;""</formula>
    </cfRule>
  </conditionalFormatting>
  <conditionalFormatting sqref="G84:I90 E84:F91">
    <cfRule type="expression" dxfId="108" priority="158">
      <formula>$C$79=2</formula>
    </cfRule>
  </conditionalFormatting>
  <conditionalFormatting sqref="G98:I98">
    <cfRule type="expression" dxfId="107" priority="113">
      <formula>MOD($G$98,1)&lt;&gt;0</formula>
    </cfRule>
  </conditionalFormatting>
  <conditionalFormatting sqref="G67:J67">
    <cfRule type="expression" dxfId="106" priority="1219">
      <formula>$B$67=0</formula>
    </cfRule>
  </conditionalFormatting>
  <conditionalFormatting sqref="G223:M232">
    <cfRule type="expression" dxfId="105" priority="192">
      <formula>G223="具体的な取組内容が入力されていません。"</formula>
    </cfRule>
  </conditionalFormatting>
  <conditionalFormatting sqref="G26:R26 F44:G48">
    <cfRule type="expression" dxfId="104" priority="28">
      <formula>F26&lt;&gt;""</formula>
    </cfRule>
  </conditionalFormatting>
  <conditionalFormatting sqref="I43:J48">
    <cfRule type="expression" dxfId="103" priority="10">
      <formula>$C$36=2</formula>
    </cfRule>
  </conditionalFormatting>
  <conditionalFormatting sqref="I44:J48">
    <cfRule type="expression" dxfId="102" priority="35">
      <formula>I44&lt;&gt;""</formula>
    </cfRule>
  </conditionalFormatting>
  <conditionalFormatting sqref="I113:N115">
    <cfRule type="expression" dxfId="101" priority="88">
      <formula>$G$113=""</formula>
    </cfRule>
  </conditionalFormatting>
  <conditionalFormatting sqref="I116:N118">
    <cfRule type="expression" dxfId="100" priority="90">
      <formula>$G$116=""</formula>
    </cfRule>
  </conditionalFormatting>
  <conditionalFormatting sqref="I119:N120">
    <cfRule type="expression" dxfId="99" priority="89">
      <formula>$G$119=""</formula>
    </cfRule>
  </conditionalFormatting>
  <conditionalFormatting sqref="I258:N267">
    <cfRule type="expression" dxfId="98" priority="266">
      <formula>I258&lt;&gt;""</formula>
    </cfRule>
  </conditionalFormatting>
  <conditionalFormatting sqref="J67">
    <cfRule type="expression" dxfId="97" priority="263">
      <formula>$C$64=2</formula>
    </cfRule>
  </conditionalFormatting>
  <conditionalFormatting sqref="K3">
    <cfRule type="expression" dxfId="96" priority="239">
      <formula>K3&lt;&gt;""</formula>
    </cfRule>
  </conditionalFormatting>
  <conditionalFormatting sqref="K67 K68:M74">
    <cfRule type="expression" dxfId="95" priority="1220">
      <formula>$C$64=2</formula>
    </cfRule>
    <cfRule type="expression" dxfId="94" priority="1221">
      <formula>$B$67=0</formula>
    </cfRule>
  </conditionalFormatting>
  <conditionalFormatting sqref="K67 K68:O74 N67 P67:P74">
    <cfRule type="expression" dxfId="93" priority="1224">
      <formula>AND($C$64=2,$B$67=0)=TRUE</formula>
    </cfRule>
  </conditionalFormatting>
  <conditionalFormatting sqref="K67:M74">
    <cfRule type="expression" dxfId="92" priority="1228">
      <formula>$B$67=1</formula>
    </cfRule>
  </conditionalFormatting>
  <conditionalFormatting sqref="K67:O67">
    <cfRule type="expression" dxfId="91" priority="1229">
      <formula>$B$67=1</formula>
    </cfRule>
  </conditionalFormatting>
  <conditionalFormatting sqref="K67:O74">
    <cfRule type="expression" dxfId="90" priority="1230">
      <formula>AND($C$64=2,$B$67=0)=TRUE</formula>
    </cfRule>
  </conditionalFormatting>
  <conditionalFormatting sqref="K68:O74">
    <cfRule type="expression" dxfId="89" priority="262">
      <formula>K68&lt;&gt;""</formula>
    </cfRule>
  </conditionalFormatting>
  <conditionalFormatting sqref="L82">
    <cfRule type="expression" dxfId="88" priority="267">
      <formula>$C$79=2</formula>
    </cfRule>
  </conditionalFormatting>
  <conditionalFormatting sqref="M18:M25">
    <cfRule type="expression" dxfId="87" priority="2">
      <formula>M18&lt;&gt;""</formula>
    </cfRule>
  </conditionalFormatting>
  <conditionalFormatting sqref="N3">
    <cfRule type="expression" dxfId="86" priority="549">
      <formula>DAY(EOMONTH(DATE(G5,H5,I5),0))&lt;&gt;J5</formula>
    </cfRule>
  </conditionalFormatting>
  <conditionalFormatting sqref="N113:N120">
    <cfRule type="expression" dxfId="85" priority="91">
      <formula>N113&lt;&gt;""</formula>
    </cfRule>
  </conditionalFormatting>
  <conditionalFormatting sqref="N130 Q130">
    <cfRule type="expression" dxfId="84" priority="171">
      <formula>N130&lt;&gt;""</formula>
    </cfRule>
  </conditionalFormatting>
  <conditionalFormatting sqref="N134:N135 Q134:Q135 N137:N138 Q137:Q138 N140:N141 Q140:Q141 N143:N144 Q143:Q144 E238">
    <cfRule type="expression" dxfId="83" priority="157">
      <formula>E134&lt;&gt;""</formula>
    </cfRule>
  </conditionalFormatting>
  <conditionalFormatting sqref="N67:O74">
    <cfRule type="expression" dxfId="82" priority="1231">
      <formula>$B$67=1</formula>
    </cfRule>
  </conditionalFormatting>
  <conditionalFormatting sqref="O75">
    <cfRule type="expression" dxfId="81" priority="1232">
      <formula>$B$67=1</formula>
    </cfRule>
    <cfRule type="expression" dxfId="80" priority="1233">
      <formula>AND($C$64=2,$B$67=0)=TRUE</formula>
    </cfRule>
  </conditionalFormatting>
  <conditionalFormatting sqref="P164:P181">
    <cfRule type="expression" dxfId="79" priority="270">
      <formula>P164&lt;&gt;""</formula>
    </cfRule>
  </conditionalFormatting>
  <conditionalFormatting sqref="P203:P211 P223:P232">
    <cfRule type="expression" dxfId="78" priority="269">
      <formula>P203&lt;&gt;""</formula>
    </cfRule>
  </conditionalFormatting>
  <conditionalFormatting sqref="T1">
    <cfRule type="expression" dxfId="77" priority="96">
      <formula>$T$1="コメント表示なし"</formula>
    </cfRule>
  </conditionalFormatting>
  <dataValidations xWindow="1332" yWindow="652" count="15">
    <dataValidation imeMode="hiragana" allowBlank="1" showInputMessage="1" showErrorMessage="1" sqref="G150 E85:E91 E238 F55:F59 I258:I267 F44:F48 G26" xr:uid="{00000000-0002-0000-0F00-000000000000}"/>
    <dataValidation type="list" allowBlank="1" showInputMessage="1" showErrorMessage="1" sqref="P223:P232" xr:uid="{00000000-0002-0000-0F00-000001000000}">
      <formula1>"実施済,未実施"</formula1>
    </dataValidation>
    <dataValidation type="list" allowBlank="1" showInputMessage="1" showErrorMessage="1" sqref="P203:P211" xr:uid="{00000000-0002-0000-0F00-000002000000}">
      <formula1>"実施済,一部実施済,未実施"</formula1>
    </dataValidation>
    <dataValidation type="list" allowBlank="1" showInputMessage="1" showErrorMessage="1" sqref="P164:P181" xr:uid="{00000000-0002-0000-0F00-000003000000}">
      <formula1>"実施済,未実施,非該当"</formula1>
    </dataValidation>
    <dataValidation type="list" allowBlank="1" showInputMessage="1" showErrorMessage="1" sqref="F258:F267" xr:uid="{00000000-0002-0000-0F00-000004000000}">
      <formula1>その他対策</formula1>
    </dataValidation>
    <dataValidation imeMode="halfAlpha" allowBlank="1" showInputMessage="1" showErrorMessage="1" sqref="G68:G74 I44:I48 G98 K68:K74 G85:G91 N68:N74 G44:G48 Q143:Q144 N143:N144 G113:H120 N113:N120 Q134:Q135 N134:N135 Q137:Q138 N137:N138 Q140:Q141 N140:N141 I55:I59 G55:G59 R26" xr:uid="{F0C0F248-389C-4534-967E-D77BCADBDF67}"/>
    <dataValidation type="list" errorStyle="information" allowBlank="1" showInputMessage="1" showErrorMessage="1" sqref="AF4" xr:uid="{AE56CA79-E2A5-4869-A9DE-5DE21DC5478A}">
      <formula1>"0,365,730,1096,1461"</formula1>
    </dataValidation>
    <dataValidation imeMode="halfAlpha" allowBlank="1" showInputMessage="1" showErrorMessage="1" prompt="使用量" sqref="M18:M26" xr:uid="{FF89E40B-8476-4E98-8C36-525CF1BB373C}"/>
    <dataValidation type="whole" errorStyle="warning" imeMode="halfAlpha" allowBlank="1" showInputMessage="1" showErrorMessage="1" error="2026から2030の数値（整数）を入力してください。" sqref="G3" xr:uid="{7C34E9D1-839F-4DF3-B59A-AA6BA404B772}">
      <formula1>2026</formula1>
      <formula2>2030</formula2>
    </dataValidation>
    <dataValidation type="whole" errorStyle="warning" imeMode="halfAlpha" allowBlank="1" showInputMessage="1" showErrorMessage="1" error="4～8の数値（整数）を入力してください。" sqref="I3" xr:uid="{CD1147C8-4C20-4383-85C0-F90EB87D2FEA}">
      <formula1>4</formula1>
      <formula2>8</formula2>
    </dataValidation>
    <dataValidation imeMode="halfAlpha" allowBlank="1" showInputMessage="1" showErrorMessage="1" prompt="熱量(GJ)" sqref="Q26" xr:uid="{0CF9981C-A01F-48A0-AF72-77F7A9CD0299}"/>
    <dataValidation imeMode="halfAlpha" allowBlank="1" showInputMessage="1" showErrorMessage="1" prompt="排出係数" sqref="P26" xr:uid="{5CCEEBB6-BF46-46FA-971A-F26E42866B7C}"/>
    <dataValidation imeMode="halfAlpha" allowBlank="1" showInputMessage="1" showErrorMessage="1" prompt="換算係数" sqref="O26" xr:uid="{BB17100B-F6ED-41D1-BBBF-CD5D078B6D12}"/>
    <dataValidation imeMode="halfAlpha" allowBlank="1" showInputMessage="1" showErrorMessage="1" prompt="単位" sqref="N26" xr:uid="{C3B4CB0B-461A-499B-8ADA-C5D68EFB5B9A}"/>
    <dataValidation type="whole" imeMode="halfAlpha" showInputMessage="1" showErrorMessage="1" error="入力値に誤りがあります。_x000a_" sqref="K3" xr:uid="{B2BB68B3-6584-4AB6-B67C-035F98D60910}">
      <formula1>1</formula1>
      <formula2>IF(OR(G3="",I3=""),31,DAY(DATE(G3, I3 + 1, 0)))</formula2>
    </dataValidation>
  </dataValidations>
  <hyperlinks>
    <hyperlink ref="E82" r:id="rId1" xr:uid="{5F500D79-88CA-49AC-AA17-09A40BE891A6}"/>
    <hyperlink ref="F41" r:id="rId2" xr:uid="{B1A1831F-D830-409B-925E-E5D9B770CA2F}"/>
  </hyperlinks>
  <printOptions horizontalCentered="1"/>
  <pageMargins left="0.70866141732283472" right="0.55118110236220474" top="0.74803149606299213" bottom="0.39370078740157483" header="0.31496062992125984" footer="0.31496062992125984"/>
  <pageSetup paperSize="9" scale="45" fitToHeight="9" orientation="portrait" r:id="rId3"/>
  <headerFooter>
    <oddHeader>&amp;L&amp;"メイリオ,レギュラー"様式第２号</oddHeader>
    <oddFooter>&amp;R&amp;"メイリオ,レギュラー"&amp;8（特定事業者（運送事業者）用</oddFooter>
  </headerFooter>
  <rowBreaks count="6" manualBreakCount="6">
    <brk id="76" min="3" max="19" man="1"/>
    <brk id="154" min="3" max="19" man="1"/>
    <brk id="194" min="3" max="19" man="1"/>
    <brk id="212" min="3" max="19" man="1"/>
    <brk id="243" min="3" max="19" man="1"/>
    <brk id="254" min="3"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53526" r:id="rId6" name="Group Box_5">
              <controlPr defaultSize="0" autoFill="0" autoPict="0">
                <anchor moveWithCells="1">
                  <from>
                    <xdr:col>5</xdr:col>
                    <xdr:colOff>222250</xdr:colOff>
                    <xdr:row>10</xdr:row>
                    <xdr:rowOff>127000</xdr:rowOff>
                  </from>
                  <to>
                    <xdr:col>7</xdr:col>
                    <xdr:colOff>298450</xdr:colOff>
                    <xdr:row>13</xdr:row>
                    <xdr:rowOff>184150</xdr:rowOff>
                  </to>
                </anchor>
              </controlPr>
            </control>
          </mc:Choice>
        </mc:AlternateContent>
        <mc:AlternateContent xmlns:mc="http://schemas.openxmlformats.org/markup-compatibility/2006">
          <mc:Choice Requires="x14">
            <control shapeId="53527" r:id="rId7" name="Option Button_09">
              <controlPr defaultSize="0" autoFill="0" autoLine="0" autoPict="0">
                <anchor moveWithCells="1">
                  <from>
                    <xdr:col>5</xdr:col>
                    <xdr:colOff>698500</xdr:colOff>
                    <xdr:row>11</xdr:row>
                    <xdr:rowOff>0</xdr:rowOff>
                  </from>
                  <to>
                    <xdr:col>5</xdr:col>
                    <xdr:colOff>1263650</xdr:colOff>
                    <xdr:row>11</xdr:row>
                    <xdr:rowOff>254000</xdr:rowOff>
                  </to>
                </anchor>
              </controlPr>
            </control>
          </mc:Choice>
        </mc:AlternateContent>
        <mc:AlternateContent xmlns:mc="http://schemas.openxmlformats.org/markup-compatibility/2006">
          <mc:Choice Requires="x14">
            <control shapeId="53528" r:id="rId8" name="Option Button_10">
              <controlPr defaultSize="0" autoFill="0" autoLine="0" autoPict="0">
                <anchor moveWithCells="1">
                  <from>
                    <xdr:col>5</xdr:col>
                    <xdr:colOff>2089150</xdr:colOff>
                    <xdr:row>11</xdr:row>
                    <xdr:rowOff>0</xdr:rowOff>
                  </from>
                  <to>
                    <xdr:col>6</xdr:col>
                    <xdr:colOff>330200</xdr:colOff>
                    <xdr:row>11</xdr:row>
                    <xdr:rowOff>254000</xdr:rowOff>
                  </to>
                </anchor>
              </controlPr>
            </control>
          </mc:Choice>
        </mc:AlternateContent>
        <mc:AlternateContent xmlns:mc="http://schemas.openxmlformats.org/markup-compatibility/2006">
          <mc:Choice Requires="x14">
            <control shapeId="53498" r:id="rId9" name="Group Box_1">
              <controlPr defaultSize="0" autoFill="0" autoPict="0">
                <anchor moveWithCells="1">
                  <from>
                    <xdr:col>5</xdr:col>
                    <xdr:colOff>450850</xdr:colOff>
                    <xdr:row>34</xdr:row>
                    <xdr:rowOff>139700</xdr:rowOff>
                  </from>
                  <to>
                    <xdr:col>8</xdr:col>
                    <xdr:colOff>228600</xdr:colOff>
                    <xdr:row>38</xdr:row>
                    <xdr:rowOff>6350</xdr:rowOff>
                  </to>
                </anchor>
              </controlPr>
            </control>
          </mc:Choice>
        </mc:AlternateContent>
        <mc:AlternateContent xmlns:mc="http://schemas.openxmlformats.org/markup-compatibility/2006">
          <mc:Choice Requires="x14">
            <control shapeId="53499" r:id="rId10" name="Option Button_01">
              <controlPr defaultSize="0" autoFill="0" autoLine="0" autoPict="0">
                <anchor moveWithCells="1">
                  <from>
                    <xdr:col>5</xdr:col>
                    <xdr:colOff>698500</xdr:colOff>
                    <xdr:row>34</xdr:row>
                    <xdr:rowOff>203200</xdr:rowOff>
                  </from>
                  <to>
                    <xdr:col>5</xdr:col>
                    <xdr:colOff>1263650</xdr:colOff>
                    <xdr:row>36</xdr:row>
                    <xdr:rowOff>0</xdr:rowOff>
                  </to>
                </anchor>
              </controlPr>
            </control>
          </mc:Choice>
        </mc:AlternateContent>
        <mc:AlternateContent xmlns:mc="http://schemas.openxmlformats.org/markup-compatibility/2006">
          <mc:Choice Requires="x14">
            <control shapeId="53500" r:id="rId11" name="Option Button_02">
              <controlPr defaultSize="0" autoFill="0" autoLine="0" autoPict="0">
                <anchor moveWithCells="1">
                  <from>
                    <xdr:col>5</xdr:col>
                    <xdr:colOff>2089150</xdr:colOff>
                    <xdr:row>34</xdr:row>
                    <xdr:rowOff>203200</xdr:rowOff>
                  </from>
                  <to>
                    <xdr:col>6</xdr:col>
                    <xdr:colOff>330200</xdr:colOff>
                    <xdr:row>36</xdr:row>
                    <xdr:rowOff>0</xdr:rowOff>
                  </to>
                </anchor>
              </controlPr>
            </control>
          </mc:Choice>
        </mc:AlternateContent>
        <mc:AlternateContent xmlns:mc="http://schemas.openxmlformats.org/markup-compatibility/2006">
          <mc:Choice Requires="x14">
            <control shapeId="53501" r:id="rId12" name="Group Box_2">
              <controlPr defaultSize="0" autoFill="0" autoPict="0">
                <anchor moveWithCells="1">
                  <from>
                    <xdr:col>5</xdr:col>
                    <xdr:colOff>450850</xdr:colOff>
                    <xdr:row>49</xdr:row>
                    <xdr:rowOff>76200</xdr:rowOff>
                  </from>
                  <to>
                    <xdr:col>8</xdr:col>
                    <xdr:colOff>228600</xdr:colOff>
                    <xdr:row>52</xdr:row>
                    <xdr:rowOff>120650</xdr:rowOff>
                  </to>
                </anchor>
              </controlPr>
            </control>
          </mc:Choice>
        </mc:AlternateContent>
        <mc:AlternateContent xmlns:mc="http://schemas.openxmlformats.org/markup-compatibility/2006">
          <mc:Choice Requires="x14">
            <control shapeId="53502" r:id="rId13" name="Option Button_03">
              <controlPr defaultSize="0" autoFill="0" autoLine="0" autoPict="0">
                <anchor moveWithCells="1">
                  <from>
                    <xdr:col>5</xdr:col>
                    <xdr:colOff>698500</xdr:colOff>
                    <xdr:row>50</xdr:row>
                    <xdr:rowOff>0</xdr:rowOff>
                  </from>
                  <to>
                    <xdr:col>5</xdr:col>
                    <xdr:colOff>1263650</xdr:colOff>
                    <xdr:row>50</xdr:row>
                    <xdr:rowOff>254000</xdr:rowOff>
                  </to>
                </anchor>
              </controlPr>
            </control>
          </mc:Choice>
        </mc:AlternateContent>
        <mc:AlternateContent xmlns:mc="http://schemas.openxmlformats.org/markup-compatibility/2006">
          <mc:Choice Requires="x14">
            <control shapeId="53503" r:id="rId14" name="Option Button_04">
              <controlPr defaultSize="0" autoFill="0" autoLine="0" autoPict="0">
                <anchor moveWithCells="1">
                  <from>
                    <xdr:col>5</xdr:col>
                    <xdr:colOff>2089150</xdr:colOff>
                    <xdr:row>50</xdr:row>
                    <xdr:rowOff>0</xdr:rowOff>
                  </from>
                  <to>
                    <xdr:col>6</xdr:col>
                    <xdr:colOff>330200</xdr:colOff>
                    <xdr:row>50</xdr:row>
                    <xdr:rowOff>254000</xdr:rowOff>
                  </to>
                </anchor>
              </controlPr>
            </control>
          </mc:Choice>
        </mc:AlternateContent>
        <mc:AlternateContent xmlns:mc="http://schemas.openxmlformats.org/markup-compatibility/2006">
          <mc:Choice Requires="x14">
            <control shapeId="53504" r:id="rId15" name="Group Box_3">
              <controlPr defaultSize="0" autoFill="0" autoPict="0">
                <anchor moveWithCells="1">
                  <from>
                    <xdr:col>5</xdr:col>
                    <xdr:colOff>444500</xdr:colOff>
                    <xdr:row>30</xdr:row>
                    <xdr:rowOff>139700</xdr:rowOff>
                  </from>
                  <to>
                    <xdr:col>8</xdr:col>
                    <xdr:colOff>222250</xdr:colOff>
                    <xdr:row>34</xdr:row>
                    <xdr:rowOff>12700</xdr:rowOff>
                  </to>
                </anchor>
              </controlPr>
            </control>
          </mc:Choice>
        </mc:AlternateContent>
        <mc:AlternateContent xmlns:mc="http://schemas.openxmlformats.org/markup-compatibility/2006">
          <mc:Choice Requires="x14">
            <control shapeId="53505" r:id="rId16" name="Option Button_05">
              <controlPr defaultSize="0" autoFill="0" autoLine="0" autoPict="0">
                <anchor moveWithCells="1">
                  <from>
                    <xdr:col>5</xdr:col>
                    <xdr:colOff>698500</xdr:colOff>
                    <xdr:row>30</xdr:row>
                    <xdr:rowOff>196850</xdr:rowOff>
                  </from>
                  <to>
                    <xdr:col>5</xdr:col>
                    <xdr:colOff>1263650</xdr:colOff>
                    <xdr:row>31</xdr:row>
                    <xdr:rowOff>222250</xdr:rowOff>
                  </to>
                </anchor>
              </controlPr>
            </control>
          </mc:Choice>
        </mc:AlternateContent>
        <mc:AlternateContent xmlns:mc="http://schemas.openxmlformats.org/markup-compatibility/2006">
          <mc:Choice Requires="x14">
            <control shapeId="53506" r:id="rId17" name="Option Button_06">
              <controlPr defaultSize="0" autoFill="0" autoLine="0" autoPict="0">
                <anchor moveWithCells="1">
                  <from>
                    <xdr:col>5</xdr:col>
                    <xdr:colOff>2089150</xdr:colOff>
                    <xdr:row>30</xdr:row>
                    <xdr:rowOff>196850</xdr:rowOff>
                  </from>
                  <to>
                    <xdr:col>6</xdr:col>
                    <xdr:colOff>330200</xdr:colOff>
                    <xdr:row>31</xdr:row>
                    <xdr:rowOff>222250</xdr:rowOff>
                  </to>
                </anchor>
              </controlPr>
            </control>
          </mc:Choice>
        </mc:AlternateContent>
        <mc:AlternateContent xmlns:mc="http://schemas.openxmlformats.org/markup-compatibility/2006">
          <mc:Choice Requires="x14">
            <control shapeId="53536" r:id="rId18" name="Option Button_15">
              <controlPr defaultSize="0" autoFill="0" autoLine="0" autoPict="0">
                <anchor moveWithCells="1">
                  <from>
                    <xdr:col>5</xdr:col>
                    <xdr:colOff>698500</xdr:colOff>
                    <xdr:row>63</xdr:row>
                    <xdr:rowOff>0</xdr:rowOff>
                  </from>
                  <to>
                    <xdr:col>5</xdr:col>
                    <xdr:colOff>1263650</xdr:colOff>
                    <xdr:row>63</xdr:row>
                    <xdr:rowOff>254000</xdr:rowOff>
                  </to>
                </anchor>
              </controlPr>
            </control>
          </mc:Choice>
        </mc:AlternateContent>
        <mc:AlternateContent xmlns:mc="http://schemas.openxmlformats.org/markup-compatibility/2006">
          <mc:Choice Requires="x14">
            <control shapeId="53538" r:id="rId19" name="Group Box_9">
              <controlPr defaultSize="0" autoFill="0" autoPict="0">
                <anchor moveWithCells="1">
                  <from>
                    <xdr:col>5</xdr:col>
                    <xdr:colOff>450850</xdr:colOff>
                    <xdr:row>77</xdr:row>
                    <xdr:rowOff>120650</xdr:rowOff>
                  </from>
                  <to>
                    <xdr:col>8</xdr:col>
                    <xdr:colOff>228600</xdr:colOff>
                    <xdr:row>80</xdr:row>
                    <xdr:rowOff>165100</xdr:rowOff>
                  </to>
                </anchor>
              </controlPr>
            </control>
          </mc:Choice>
        </mc:AlternateContent>
        <mc:AlternateContent xmlns:mc="http://schemas.openxmlformats.org/markup-compatibility/2006">
          <mc:Choice Requires="x14">
            <control shapeId="53539" r:id="rId20" name="Option Button_17">
              <controlPr defaultSize="0" autoFill="0" autoLine="0" autoPict="0">
                <anchor moveWithCells="1">
                  <from>
                    <xdr:col>5</xdr:col>
                    <xdr:colOff>698500</xdr:colOff>
                    <xdr:row>78</xdr:row>
                    <xdr:rowOff>0</xdr:rowOff>
                  </from>
                  <to>
                    <xdr:col>5</xdr:col>
                    <xdr:colOff>1263650</xdr:colOff>
                    <xdr:row>78</xdr:row>
                    <xdr:rowOff>254000</xdr:rowOff>
                  </to>
                </anchor>
              </controlPr>
            </control>
          </mc:Choice>
        </mc:AlternateContent>
        <mc:AlternateContent xmlns:mc="http://schemas.openxmlformats.org/markup-compatibility/2006">
          <mc:Choice Requires="x14">
            <control shapeId="53540" r:id="rId21" name="Option Button_18">
              <controlPr defaultSize="0" autoFill="0" autoLine="0" autoPict="0">
                <anchor moveWithCells="1">
                  <from>
                    <xdr:col>5</xdr:col>
                    <xdr:colOff>2089150</xdr:colOff>
                    <xdr:row>78</xdr:row>
                    <xdr:rowOff>0</xdr:rowOff>
                  </from>
                  <to>
                    <xdr:col>6</xdr:col>
                    <xdr:colOff>330200</xdr:colOff>
                    <xdr:row>78</xdr:row>
                    <xdr:rowOff>254000</xdr:rowOff>
                  </to>
                </anchor>
              </controlPr>
            </control>
          </mc:Choice>
        </mc:AlternateContent>
        <mc:AlternateContent xmlns:mc="http://schemas.openxmlformats.org/markup-compatibility/2006">
          <mc:Choice Requires="x14">
            <control shapeId="53535" r:id="rId22" name="Group Box_8">
              <controlPr defaultSize="0" autoFill="0" autoPict="0">
                <anchor moveWithCells="1">
                  <from>
                    <xdr:col>5</xdr:col>
                    <xdr:colOff>450850</xdr:colOff>
                    <xdr:row>62</xdr:row>
                    <xdr:rowOff>114300</xdr:rowOff>
                  </from>
                  <to>
                    <xdr:col>8</xdr:col>
                    <xdr:colOff>228600</xdr:colOff>
                    <xdr:row>65</xdr:row>
                    <xdr:rowOff>158750</xdr:rowOff>
                  </to>
                </anchor>
              </controlPr>
            </control>
          </mc:Choice>
        </mc:AlternateContent>
        <mc:AlternateContent xmlns:mc="http://schemas.openxmlformats.org/markup-compatibility/2006">
          <mc:Choice Requires="x14">
            <control shapeId="140734" r:id="rId23" name="Option Button_16">
              <controlPr defaultSize="0" autoFill="0" autoLine="0" autoPict="0">
                <anchor moveWithCells="1">
                  <from>
                    <xdr:col>5</xdr:col>
                    <xdr:colOff>2089150</xdr:colOff>
                    <xdr:row>63</xdr:row>
                    <xdr:rowOff>0</xdr:rowOff>
                  </from>
                  <to>
                    <xdr:col>6</xdr:col>
                    <xdr:colOff>330200</xdr:colOff>
                    <xdr:row>63</xdr:row>
                    <xdr:rowOff>254000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332" yWindow="652" count="1">
        <x14:dataValidation type="list" allowBlank="1" showInputMessage="1" showErrorMessage="1" xr:uid="{19F7F7D7-D2D5-4FEC-A0B8-4E9A45663790}">
          <x14:formula1>
            <xm:f>OFFSET(対策リスト!$AS$2,0,0,31-COUNTBLANK(対策リスト!$AS$2:$AS$32),1)</xm:f>
          </x14:formula1>
          <xm:sqref>F246:F254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CC99FF"/>
  </sheetPr>
  <dimension ref="A1:AW272"/>
  <sheetViews>
    <sheetView view="pageBreakPreview" topLeftCell="D1" zoomScaleNormal="100" zoomScaleSheetLayoutView="100" workbookViewId="0">
      <pane ySplit="4" topLeftCell="A8" activePane="bottomLeft" state="frozen"/>
      <selection activeCell="E5" sqref="E5:N5"/>
      <selection pane="bottomLeft" activeCell="G3" sqref="G3"/>
    </sheetView>
  </sheetViews>
  <sheetFormatPr defaultColWidth="8.90625" defaultRowHeight="16" outlineLevelCol="1"/>
  <cols>
    <col min="1" max="3" width="3" style="189" hidden="1" customWidth="1" outlineLevel="1"/>
    <col min="4" max="4" width="2.6328125" style="195" customWidth="1" collapsed="1"/>
    <col min="5" max="5" width="4" style="195" customWidth="1"/>
    <col min="6" max="6" width="33.90625" style="195" customWidth="1"/>
    <col min="7" max="7" width="8.1796875" style="195" customWidth="1"/>
    <col min="8" max="8" width="4.453125" style="195" customWidth="1"/>
    <col min="9" max="9" width="8.81640625" style="195" customWidth="1"/>
    <col min="10" max="10" width="4.453125" style="195" customWidth="1"/>
    <col min="11" max="11" width="8.81640625" style="195" customWidth="1"/>
    <col min="12" max="12" width="4.453125" style="195" customWidth="1"/>
    <col min="13" max="19" width="12.81640625" style="195" customWidth="1"/>
    <col min="20" max="20" width="10.81640625" style="195" customWidth="1"/>
    <col min="21" max="21" width="8.453125" style="195" hidden="1" customWidth="1" outlineLevel="1"/>
    <col min="22" max="22" width="4.90625" style="195" hidden="1" customWidth="1" outlineLevel="1"/>
    <col min="23" max="23" width="16.08984375" style="195" hidden="1" customWidth="1" outlineLevel="1"/>
    <col min="24" max="24" width="14" style="195" hidden="1" customWidth="1" outlineLevel="1"/>
    <col min="25" max="26" width="4.90625" style="195" hidden="1" customWidth="1" outlineLevel="1"/>
    <col min="27" max="27" width="9.6328125" style="196" hidden="1" customWidth="1" outlineLevel="1"/>
    <col min="28" max="28" width="8.90625" style="195" hidden="1" customWidth="1" outlineLevel="1"/>
    <col min="29" max="29" width="14.81640625" style="195" hidden="1" customWidth="1" outlineLevel="1"/>
    <col min="30" max="30" width="15.1796875" style="195" hidden="1" customWidth="1" outlineLevel="1"/>
    <col min="31" max="31" width="10.81640625" style="195" hidden="1" customWidth="1" outlineLevel="1"/>
    <col min="32" max="33" width="9.90625" style="195" hidden="1" customWidth="1" outlineLevel="1"/>
    <col min="34" max="35" width="8.90625" style="195" hidden="1" customWidth="1" outlineLevel="1"/>
    <col min="36" max="36" width="8.90625" style="195" customWidth="1" collapsed="1"/>
    <col min="37" max="39" width="8.90625" style="195" customWidth="1"/>
    <col min="40" max="43" width="5.6328125" style="195" customWidth="1"/>
    <col min="44" max="48" width="8.90625" style="195" customWidth="1"/>
    <col min="49" max="49" width="8.90625" style="195" hidden="1" customWidth="1"/>
    <col min="50" max="99" width="8.90625" style="195" customWidth="1"/>
    <col min="100" max="16384" width="8.90625" style="195"/>
  </cols>
  <sheetData>
    <row r="1" spans="1:38" s="191" customFormat="1" ht="42" customHeight="1">
      <c r="A1" s="184" t="s">
        <v>4377</v>
      </c>
      <c r="B1" s="185" t="s">
        <v>4377</v>
      </c>
      <c r="C1" s="186" t="s">
        <v>4377</v>
      </c>
      <c r="D1" s="697" t="str">
        <f ca="1">IFERROR(IF($AD$6&gt;$AD$5,"（第３年度報告書）","入力シート（第３年度報告書）〈"&amp;$AD$5-1&amp;"年度実績〉"),"")</f>
        <v>（第３年度報告書）</v>
      </c>
      <c r="E1" s="134"/>
      <c r="F1" s="135"/>
      <c r="G1" s="135"/>
      <c r="H1" s="135"/>
      <c r="I1" s="135"/>
      <c r="J1" s="135"/>
      <c r="K1" s="135"/>
      <c r="L1" s="135"/>
      <c r="M1" s="135"/>
      <c r="N1" s="135"/>
      <c r="O1" s="135"/>
      <c r="P1" s="135"/>
      <c r="Q1" s="135"/>
      <c r="R1" s="135"/>
      <c r="S1" s="135"/>
      <c r="T1" s="182" t="str">
        <f>IF('入力シート（計画書）'!K7="","",HLOOKUP(VALUE(AA5),入力シートのタイトルメッセージ!C2:N8,AA6,FALSE))</f>
        <v/>
      </c>
      <c r="U1" s="197"/>
      <c r="V1" s="197"/>
      <c r="W1" s="198"/>
      <c r="AA1" s="199" t="s">
        <v>4226</v>
      </c>
      <c r="AB1" s="198">
        <f>'入力シート（計画書）'!K7</f>
        <v>0</v>
      </c>
      <c r="AC1" s="200"/>
      <c r="AD1" s="200"/>
      <c r="AE1" s="200"/>
    </row>
    <row r="2" spans="1:38" s="191" customFormat="1" ht="35.9" customHeight="1">
      <c r="A2" s="187"/>
      <c r="B2" s="187"/>
      <c r="C2" s="188"/>
      <c r="D2" s="32"/>
      <c r="E2" s="14"/>
      <c r="F2" s="14"/>
      <c r="G2" s="14"/>
      <c r="H2" s="14"/>
      <c r="I2" s="14"/>
      <c r="J2" s="14"/>
      <c r="K2" s="14"/>
      <c r="L2" s="14"/>
      <c r="M2" s="14"/>
      <c r="N2" s="14"/>
      <c r="O2" s="14"/>
      <c r="P2" s="14"/>
      <c r="Q2" s="14"/>
      <c r="R2" s="28"/>
      <c r="S2" s="28"/>
      <c r="T2" s="14"/>
      <c r="Z2" s="200"/>
      <c r="AA2" s="201" t="s">
        <v>4235</v>
      </c>
      <c r="AB2" s="202">
        <f>基本設定シート!C8</f>
        <v>2028</v>
      </c>
      <c r="AC2" s="203" t="s">
        <v>4258</v>
      </c>
      <c r="AD2" s="204">
        <f ca="1">TODAY()</f>
        <v>46108</v>
      </c>
      <c r="AE2" s="205"/>
    </row>
    <row r="3" spans="1:38" s="191" customFormat="1" ht="17.899999999999999" customHeight="1">
      <c r="A3" s="187"/>
      <c r="B3" s="187"/>
      <c r="C3" s="188"/>
      <c r="D3" s="32"/>
      <c r="E3" s="14"/>
      <c r="F3" s="25" t="s">
        <v>4298</v>
      </c>
      <c r="G3" s="18"/>
      <c r="H3" s="7" t="s">
        <v>2</v>
      </c>
      <c r="I3" s="17"/>
      <c r="J3" s="7" t="s">
        <v>4337</v>
      </c>
      <c r="K3" s="17"/>
      <c r="L3" s="7" t="s">
        <v>4338</v>
      </c>
      <c r="M3" s="25" t="s">
        <v>4301</v>
      </c>
      <c r="N3" s="804" t="str">
        <f>'入力シート（事業者情報）'!U7</f>
        <v/>
      </c>
      <c r="O3" s="805"/>
      <c r="P3" s="805"/>
      <c r="Q3" s="805"/>
      <c r="R3" s="805"/>
      <c r="S3" s="805"/>
      <c r="T3" s="806"/>
      <c r="U3" s="191">
        <f>DAY(DATE(G3,I3+1,1)-1)</f>
        <v>0</v>
      </c>
      <c r="Z3" s="200"/>
      <c r="AA3" s="202" t="s">
        <v>4371</v>
      </c>
      <c r="AB3" s="202">
        <v>3</v>
      </c>
      <c r="AC3" s="206"/>
      <c r="AD3" s="204">
        <f ca="1">TODAY()</f>
        <v>46108</v>
      </c>
      <c r="AE3" s="205"/>
    </row>
    <row r="4" spans="1:38" s="191" customFormat="1" ht="5.15" customHeight="1">
      <c r="A4" s="187"/>
      <c r="B4" s="187"/>
      <c r="C4" s="188"/>
      <c r="D4" s="32"/>
      <c r="E4" s="14"/>
      <c r="F4" s="33"/>
      <c r="G4" s="33"/>
      <c r="H4" s="33"/>
      <c r="I4" s="33"/>
      <c r="J4" s="14"/>
      <c r="K4" s="97"/>
      <c r="L4" s="14"/>
      <c r="M4" s="14"/>
      <c r="N4" s="14"/>
      <c r="O4" s="14"/>
      <c r="P4" s="14"/>
      <c r="Q4" s="14"/>
      <c r="R4" s="28"/>
      <c r="S4" s="28"/>
      <c r="T4" s="14"/>
      <c r="Z4" s="200"/>
      <c r="AA4" s="201"/>
      <c r="AB4" s="200"/>
      <c r="AC4" s="206"/>
      <c r="AD4" s="204"/>
      <c r="AE4" s="205"/>
    </row>
    <row r="5" spans="1:38" s="191" customFormat="1" ht="16.25" hidden="1" customHeight="1">
      <c r="A5" s="187"/>
      <c r="B5" s="187"/>
      <c r="C5" s="188"/>
      <c r="D5" s="32"/>
      <c r="E5" s="14"/>
      <c r="F5" s="33"/>
      <c r="G5" s="14"/>
      <c r="H5" s="98"/>
      <c r="I5" s="98"/>
      <c r="J5" s="14"/>
      <c r="K5" s="14"/>
      <c r="L5" s="14"/>
      <c r="M5" s="14"/>
      <c r="N5" s="14"/>
      <c r="O5" s="14"/>
      <c r="P5" s="14"/>
      <c r="Q5" s="14"/>
      <c r="R5" s="28"/>
      <c r="S5" s="28"/>
      <c r="T5" s="14"/>
      <c r="Z5" s="200"/>
      <c r="AA5" s="201" t="str">
        <f>AB1&amp;AB3</f>
        <v>03</v>
      </c>
      <c r="AB5" s="200"/>
      <c r="AC5" s="206" t="s">
        <v>4259</v>
      </c>
      <c r="AD5" s="78">
        <f>基本設定シート!C15</f>
        <v>4</v>
      </c>
      <c r="AE5" s="207" t="s">
        <v>4260</v>
      </c>
    </row>
    <row r="6" spans="1:38" s="191" customFormat="1" ht="12.65" hidden="1" customHeight="1">
      <c r="A6" s="187"/>
      <c r="B6" s="187"/>
      <c r="C6" s="188"/>
      <c r="D6" s="32"/>
      <c r="E6" s="36"/>
      <c r="F6" s="28"/>
      <c r="G6" s="28"/>
      <c r="H6" s="28"/>
      <c r="I6" s="28"/>
      <c r="J6" s="28"/>
      <c r="K6" s="28"/>
      <c r="L6" s="28"/>
      <c r="M6" s="28"/>
      <c r="N6" s="28"/>
      <c r="O6" s="28"/>
      <c r="P6" s="28"/>
      <c r="Q6" s="28"/>
      <c r="R6" s="28"/>
      <c r="S6" s="28"/>
      <c r="T6" s="14"/>
      <c r="Z6" s="200"/>
      <c r="AA6" s="201">
        <f ca="1">LOOKUP(AD3,入力シートのタイトルメッセージ!B3:B8,入力シートのタイトルメッセージ!B11:B16)</f>
        <v>2</v>
      </c>
      <c r="AB6" s="200"/>
      <c r="AC6" s="206" t="s">
        <v>4261</v>
      </c>
      <c r="AD6" s="78">
        <f ca="1">YEAR(EOMONTH(AD3,-3))</f>
        <v>2025</v>
      </c>
      <c r="AE6" s="207" t="s">
        <v>4260</v>
      </c>
      <c r="AJ6" s="208"/>
    </row>
    <row r="7" spans="1:38" s="191" customFormat="1" ht="10.25" hidden="1" customHeight="1">
      <c r="A7" s="187"/>
      <c r="B7" s="187"/>
      <c r="C7" s="188"/>
      <c r="D7" s="32"/>
      <c r="E7" s="36"/>
      <c r="F7" s="14"/>
      <c r="G7" s="36"/>
      <c r="H7" s="962"/>
      <c r="I7" s="962"/>
      <c r="J7" s="962"/>
      <c r="K7" s="962"/>
      <c r="L7" s="962"/>
      <c r="M7" s="962"/>
      <c r="N7" s="962"/>
      <c r="O7" s="962"/>
      <c r="P7" s="962"/>
      <c r="Q7" s="14"/>
      <c r="R7" s="28"/>
      <c r="S7" s="28"/>
      <c r="T7" s="14"/>
      <c r="Z7" s="200"/>
      <c r="AA7" s="201"/>
      <c r="AB7" s="200"/>
      <c r="AC7" s="200"/>
      <c r="AD7" s="200"/>
      <c r="AE7" s="200"/>
      <c r="AJ7" s="208"/>
    </row>
    <row r="8" spans="1:38" s="191" customFormat="1" ht="8.4" customHeight="1">
      <c r="A8" s="187"/>
      <c r="B8" s="187"/>
      <c r="C8" s="188"/>
      <c r="D8" s="32"/>
      <c r="E8" s="14"/>
      <c r="F8" s="14"/>
      <c r="G8" s="14"/>
      <c r="H8" s="14"/>
      <c r="I8" s="14"/>
      <c r="J8" s="14"/>
      <c r="K8" s="14"/>
      <c r="L8" s="14"/>
      <c r="M8" s="14"/>
      <c r="N8" s="14"/>
      <c r="O8" s="14"/>
      <c r="P8" s="14"/>
      <c r="Q8" s="14"/>
      <c r="R8" s="28"/>
      <c r="S8" s="28"/>
      <c r="T8" s="14"/>
      <c r="Z8" s="200"/>
      <c r="AA8" s="201"/>
      <c r="AB8" s="200"/>
      <c r="AC8" s="200"/>
      <c r="AD8" s="200"/>
      <c r="AE8" s="200"/>
      <c r="AJ8" s="208"/>
    </row>
    <row r="9" spans="1:38" s="191" customFormat="1" ht="21" hidden="1" customHeight="1">
      <c r="A9" s="187"/>
      <c r="B9" s="187"/>
      <c r="C9" s="188"/>
      <c r="D9" s="32"/>
      <c r="E9" s="14"/>
      <c r="F9" s="14"/>
      <c r="G9" s="14"/>
      <c r="H9" s="14"/>
      <c r="I9" s="14"/>
      <c r="J9" s="14"/>
      <c r="K9" s="14"/>
      <c r="L9" s="14"/>
      <c r="M9" s="14"/>
      <c r="N9" s="14"/>
      <c r="O9" s="14"/>
      <c r="P9" s="14"/>
      <c r="Q9" s="14"/>
      <c r="R9" s="28"/>
      <c r="S9" s="28"/>
      <c r="T9" s="14"/>
      <c r="Z9" s="200"/>
      <c r="AA9" s="201"/>
      <c r="AB9" s="200"/>
      <c r="AC9" s="200"/>
      <c r="AD9" s="200"/>
      <c r="AE9" s="200"/>
      <c r="AJ9" s="208"/>
    </row>
    <row r="10" spans="1:38" s="191" customFormat="1" ht="18" customHeight="1">
      <c r="A10" s="187"/>
      <c r="B10" s="187"/>
      <c r="C10" s="188"/>
      <c r="D10" s="34" t="s">
        <v>4523</v>
      </c>
      <c r="E10" s="14"/>
      <c r="F10" s="14"/>
      <c r="G10" s="14"/>
      <c r="H10" s="14"/>
      <c r="I10" s="14"/>
      <c r="J10" s="14"/>
      <c r="K10" s="79"/>
      <c r="L10" s="14"/>
      <c r="M10" s="14"/>
      <c r="N10" s="102"/>
      <c r="O10" s="28"/>
      <c r="P10" s="28"/>
      <c r="Q10" s="28"/>
      <c r="R10" s="28"/>
      <c r="S10" s="31"/>
      <c r="T10" s="31"/>
      <c r="U10" s="200"/>
      <c r="V10" s="200"/>
      <c r="W10" s="200"/>
      <c r="X10" s="200"/>
      <c r="AA10" s="199"/>
    </row>
    <row r="11" spans="1:38" s="191" customFormat="1" ht="18" customHeight="1">
      <c r="A11" s="187"/>
      <c r="B11" s="187"/>
      <c r="C11" s="188"/>
      <c r="D11" s="32"/>
      <c r="E11" s="53" t="s">
        <v>4546</v>
      </c>
      <c r="F11" s="24"/>
      <c r="G11" s="14"/>
      <c r="H11" s="14"/>
      <c r="I11" s="14"/>
      <c r="J11" s="14"/>
      <c r="K11" s="14"/>
      <c r="L11" s="14"/>
      <c r="M11" s="14"/>
      <c r="N11" s="14"/>
      <c r="O11" s="105"/>
      <c r="P11" s="28"/>
      <c r="Q11" s="31"/>
      <c r="R11" s="31"/>
      <c r="S11" s="31"/>
      <c r="T11" s="31"/>
      <c r="U11" s="200"/>
      <c r="V11" s="200"/>
      <c r="W11" s="200"/>
      <c r="X11" s="200"/>
      <c r="Y11" s="200"/>
      <c r="Z11" s="200"/>
      <c r="AA11" s="201"/>
      <c r="AB11" s="200"/>
    </row>
    <row r="12" spans="1:38" ht="22.4" customHeight="1">
      <c r="D12" s="77"/>
      <c r="E12" s="77"/>
      <c r="F12" s="99" t="s">
        <v>4285</v>
      </c>
      <c r="G12" s="99" t="s">
        <v>4278</v>
      </c>
      <c r="H12" s="77"/>
      <c r="I12" s="77"/>
      <c r="J12" s="77"/>
      <c r="K12" s="77"/>
      <c r="L12" s="77"/>
      <c r="M12" s="77"/>
      <c r="N12" s="77"/>
      <c r="O12" s="77"/>
      <c r="P12" s="28"/>
      <c r="Q12" s="28"/>
      <c r="R12" s="28"/>
      <c r="S12" s="28"/>
      <c r="T12" s="14"/>
      <c r="U12" s="191"/>
      <c r="V12" s="191"/>
      <c r="W12" s="191"/>
      <c r="X12" s="191"/>
      <c r="Y12" s="191"/>
      <c r="Z12" s="191"/>
      <c r="AA12" s="199"/>
      <c r="AB12" s="191"/>
      <c r="AC12" s="191"/>
      <c r="AD12" s="191"/>
      <c r="AE12" s="191"/>
      <c r="AF12" s="191"/>
      <c r="AG12" s="191"/>
      <c r="AH12" s="191"/>
      <c r="AI12" s="197"/>
      <c r="AJ12" s="197"/>
      <c r="AK12" s="197"/>
      <c r="AL12" s="197"/>
    </row>
    <row r="13" spans="1:38" ht="3" customHeight="1">
      <c r="D13" s="77"/>
      <c r="E13" s="77"/>
      <c r="F13" s="99"/>
      <c r="G13" s="99"/>
      <c r="H13" s="77"/>
      <c r="I13" s="77"/>
      <c r="J13" s="77"/>
      <c r="K13" s="77"/>
      <c r="L13" s="77"/>
      <c r="M13" s="77"/>
      <c r="N13" s="77"/>
      <c r="O13" s="77"/>
      <c r="P13" s="28"/>
      <c r="Q13" s="28"/>
      <c r="R13" s="28"/>
      <c r="S13" s="28"/>
      <c r="T13" s="14"/>
      <c r="U13" s="191"/>
      <c r="V13" s="191"/>
      <c r="W13" s="191"/>
      <c r="X13" s="191"/>
      <c r="Y13" s="191"/>
      <c r="Z13" s="191"/>
      <c r="AA13" s="199"/>
      <c r="AB13" s="191"/>
      <c r="AC13" s="191"/>
      <c r="AD13" s="191"/>
      <c r="AE13" s="191"/>
      <c r="AF13" s="191"/>
      <c r="AG13" s="191"/>
      <c r="AH13" s="191"/>
      <c r="AI13" s="197"/>
      <c r="AJ13" s="197"/>
      <c r="AK13" s="197"/>
      <c r="AL13" s="197"/>
    </row>
    <row r="14" spans="1:38" ht="22.4" customHeight="1">
      <c r="D14" s="10"/>
      <c r="E14" s="77" t="str">
        <f>$AB$1+3&amp;"年度（第３年度）における下記燃料の年間使用量をご入力ください。"</f>
        <v>3年度（第３年度）における下記燃料の年間使用量をご入力ください。</v>
      </c>
      <c r="F14" s="290"/>
      <c r="G14" s="77"/>
      <c r="H14" s="77"/>
      <c r="I14" s="77"/>
      <c r="J14" s="77"/>
      <c r="K14" s="77"/>
      <c r="L14" s="77"/>
      <c r="M14" s="77"/>
      <c r="N14" s="77"/>
      <c r="O14" s="77"/>
      <c r="P14" s="274"/>
      <c r="Q14" s="274"/>
      <c r="R14" s="274"/>
      <c r="S14" s="274"/>
      <c r="T14" s="77"/>
      <c r="AI14" s="291"/>
      <c r="AJ14" s="291"/>
      <c r="AK14" s="291"/>
      <c r="AL14" s="291"/>
    </row>
    <row r="15" spans="1:38" ht="15" customHeight="1" thickBot="1">
      <c r="D15" s="77"/>
      <c r="E15" s="77"/>
      <c r="F15" s="77"/>
      <c r="G15" s="77"/>
      <c r="H15" s="77"/>
      <c r="I15" s="77"/>
      <c r="J15" s="77"/>
      <c r="K15" s="77"/>
      <c r="L15" s="77"/>
      <c r="M15" s="77"/>
      <c r="N15" s="77"/>
      <c r="O15" s="77"/>
      <c r="P15" s="274"/>
      <c r="Q15" s="274"/>
      <c r="R15" s="274"/>
      <c r="S15" s="274"/>
      <c r="T15" s="77"/>
      <c r="AI15" s="291"/>
      <c r="AJ15" s="291"/>
      <c r="AK15" s="291"/>
      <c r="AL15" s="291"/>
    </row>
    <row r="16" spans="1:38" ht="24.75" customHeight="1">
      <c r="D16" s="77"/>
      <c r="E16" s="872" t="s">
        <v>4214</v>
      </c>
      <c r="F16" s="873"/>
      <c r="G16" s="873"/>
      <c r="H16" s="873"/>
      <c r="I16" s="873"/>
      <c r="J16" s="873"/>
      <c r="K16" s="873"/>
      <c r="L16" s="874"/>
      <c r="M16" s="823" t="s">
        <v>89</v>
      </c>
      <c r="N16" s="825" t="s">
        <v>36</v>
      </c>
      <c r="O16" s="820" t="s">
        <v>74</v>
      </c>
      <c r="P16" s="820" t="s">
        <v>4344</v>
      </c>
      <c r="Q16" s="822" t="s">
        <v>4225</v>
      </c>
      <c r="R16" s="818" t="s">
        <v>4496</v>
      </c>
      <c r="S16" s="28"/>
      <c r="T16" s="28"/>
      <c r="U16" s="197"/>
      <c r="V16" s="191"/>
      <c r="W16" s="191"/>
      <c r="X16" s="191"/>
      <c r="Y16" s="191"/>
      <c r="Z16" s="191"/>
      <c r="AA16" s="191"/>
      <c r="AB16" s="191"/>
      <c r="AC16" s="199"/>
      <c r="AD16" s="191"/>
      <c r="AE16" s="191"/>
      <c r="AF16" s="191"/>
      <c r="AG16" s="191"/>
      <c r="AH16" s="191"/>
      <c r="AI16" s="191"/>
      <c r="AJ16" s="191"/>
    </row>
    <row r="17" spans="1:36" ht="18" customHeight="1">
      <c r="D17" s="77"/>
      <c r="E17" s="875"/>
      <c r="F17" s="876"/>
      <c r="G17" s="876"/>
      <c r="H17" s="876"/>
      <c r="I17" s="876"/>
      <c r="J17" s="876"/>
      <c r="K17" s="876"/>
      <c r="L17" s="877"/>
      <c r="M17" s="824"/>
      <c r="N17" s="937"/>
      <c r="O17" s="938"/>
      <c r="P17" s="938"/>
      <c r="Q17" s="939"/>
      <c r="R17" s="819"/>
      <c r="S17" s="28"/>
      <c r="T17" s="28"/>
      <c r="U17" s="197"/>
      <c r="V17" s="191"/>
      <c r="W17" s="191"/>
      <c r="X17" s="191"/>
      <c r="Y17" s="191"/>
      <c r="Z17" s="191"/>
      <c r="AA17" s="191"/>
      <c r="AB17" s="191"/>
      <c r="AC17" s="199"/>
      <c r="AD17" s="191"/>
      <c r="AE17" s="191"/>
      <c r="AF17" s="191"/>
      <c r="AG17" s="191"/>
      <c r="AH17" s="191"/>
      <c r="AI17" s="191"/>
      <c r="AJ17" s="191"/>
    </row>
    <row r="18" spans="1:36" ht="18" customHeight="1">
      <c r="D18" s="77"/>
      <c r="E18" s="887" t="s">
        <v>4430</v>
      </c>
      <c r="F18" s="888"/>
      <c r="G18" s="888"/>
      <c r="H18" s="888"/>
      <c r="I18" s="888"/>
      <c r="J18" s="888"/>
      <c r="K18" s="888"/>
      <c r="L18" s="889"/>
      <c r="M18" s="675"/>
      <c r="N18" s="56" t="s">
        <v>4113</v>
      </c>
      <c r="O18" s="722"/>
      <c r="P18" s="276"/>
      <c r="Q18" s="277"/>
      <c r="R18" s="278"/>
      <c r="S18" s="28"/>
      <c r="T18" s="28"/>
      <c r="U18" s="197"/>
      <c r="V18" s="191"/>
      <c r="W18" s="191"/>
      <c r="X18" s="191"/>
      <c r="Y18" s="191"/>
      <c r="Z18" s="191"/>
      <c r="AA18" s="191"/>
      <c r="AB18" s="191"/>
      <c r="AC18" s="199"/>
      <c r="AD18" s="191"/>
      <c r="AE18" s="191"/>
      <c r="AF18" s="191"/>
      <c r="AG18" s="191"/>
      <c r="AH18" s="191"/>
      <c r="AI18" s="191"/>
      <c r="AJ18" s="191"/>
    </row>
    <row r="19" spans="1:36" ht="18" customHeight="1">
      <c r="D19" s="77"/>
      <c r="E19" s="890" t="s">
        <v>40</v>
      </c>
      <c r="F19" s="891"/>
      <c r="G19" s="891"/>
      <c r="H19" s="891"/>
      <c r="I19" s="891"/>
      <c r="J19" s="891"/>
      <c r="K19" s="891"/>
      <c r="L19" s="892"/>
      <c r="M19" s="676"/>
      <c r="N19" s="57" t="s">
        <v>4113</v>
      </c>
      <c r="O19" s="279"/>
      <c r="P19" s="279"/>
      <c r="Q19" s="277"/>
      <c r="R19" s="278"/>
      <c r="S19" s="28"/>
      <c r="T19" s="28"/>
      <c r="U19" s="197"/>
      <c r="V19" s="191"/>
      <c r="W19" s="191"/>
      <c r="X19" s="191"/>
      <c r="Y19" s="191"/>
      <c r="Z19" s="191"/>
      <c r="AA19" s="191"/>
      <c r="AB19" s="191"/>
      <c r="AC19" s="199"/>
      <c r="AD19" s="191"/>
      <c r="AE19" s="191"/>
      <c r="AF19" s="191"/>
      <c r="AG19" s="191"/>
      <c r="AH19" s="191"/>
      <c r="AI19" s="191"/>
      <c r="AJ19" s="191"/>
    </row>
    <row r="20" spans="1:36" ht="18" customHeight="1">
      <c r="D20" s="77"/>
      <c r="E20" s="890" t="s">
        <v>4431</v>
      </c>
      <c r="F20" s="891"/>
      <c r="G20" s="891"/>
      <c r="H20" s="891"/>
      <c r="I20" s="891"/>
      <c r="J20" s="891"/>
      <c r="K20" s="891"/>
      <c r="L20" s="892"/>
      <c r="M20" s="676"/>
      <c r="N20" s="57" t="s">
        <v>4112</v>
      </c>
      <c r="O20" s="279"/>
      <c r="P20" s="279"/>
      <c r="Q20" s="277"/>
      <c r="R20" s="278"/>
      <c r="S20" s="28"/>
      <c r="T20" s="28"/>
      <c r="U20" s="197"/>
      <c r="V20" s="191"/>
      <c r="W20" s="191"/>
      <c r="X20" s="191"/>
      <c r="Y20" s="191"/>
      <c r="Z20" s="191"/>
      <c r="AA20" s="191"/>
      <c r="AB20" s="191"/>
      <c r="AC20" s="199"/>
      <c r="AD20" s="191"/>
      <c r="AE20" s="191"/>
      <c r="AF20" s="191"/>
      <c r="AG20" s="191"/>
      <c r="AH20" s="191"/>
      <c r="AI20" s="191"/>
      <c r="AJ20" s="191"/>
    </row>
    <row r="21" spans="1:36" ht="18" customHeight="1">
      <c r="D21" s="77"/>
      <c r="E21" s="890" t="s">
        <v>4432</v>
      </c>
      <c r="F21" s="891"/>
      <c r="G21" s="891"/>
      <c r="H21" s="891"/>
      <c r="I21" s="891"/>
      <c r="J21" s="891"/>
      <c r="K21" s="891"/>
      <c r="L21" s="892"/>
      <c r="M21" s="676"/>
      <c r="N21" s="57" t="s">
        <v>4112</v>
      </c>
      <c r="O21" s="279"/>
      <c r="P21" s="279"/>
      <c r="Q21" s="277"/>
      <c r="R21" s="278"/>
      <c r="S21" s="28"/>
      <c r="T21" s="28"/>
      <c r="U21" s="197"/>
      <c r="V21" s="191"/>
      <c r="W21" s="191"/>
      <c r="X21" s="191"/>
      <c r="Y21" s="191"/>
      <c r="Z21" s="191"/>
      <c r="AA21" s="191"/>
      <c r="AB21" s="191"/>
      <c r="AC21" s="199"/>
      <c r="AD21" s="191"/>
      <c r="AE21" s="191"/>
      <c r="AF21" s="191"/>
      <c r="AG21" s="191"/>
      <c r="AH21" s="191"/>
      <c r="AI21" s="191"/>
      <c r="AJ21" s="191"/>
    </row>
    <row r="22" spans="1:36" ht="18" customHeight="1">
      <c r="D22" s="77"/>
      <c r="E22" s="890" t="s">
        <v>4433</v>
      </c>
      <c r="F22" s="891"/>
      <c r="G22" s="891"/>
      <c r="H22" s="891"/>
      <c r="I22" s="891"/>
      <c r="J22" s="891"/>
      <c r="K22" s="891"/>
      <c r="L22" s="892"/>
      <c r="M22" s="676"/>
      <c r="N22" s="57" t="s">
        <v>4536</v>
      </c>
      <c r="O22" s="279"/>
      <c r="P22" s="279"/>
      <c r="Q22" s="277"/>
      <c r="R22" s="278"/>
      <c r="S22" s="28"/>
      <c r="T22" s="28"/>
      <c r="U22" s="197"/>
      <c r="V22" s="191"/>
      <c r="W22" s="191"/>
      <c r="X22" s="191"/>
      <c r="Y22" s="191"/>
      <c r="Z22" s="191"/>
      <c r="AA22" s="191"/>
      <c r="AB22" s="191"/>
      <c r="AC22" s="199"/>
      <c r="AD22" s="191"/>
      <c r="AE22" s="191"/>
      <c r="AF22" s="191"/>
      <c r="AG22" s="191"/>
      <c r="AH22" s="191"/>
      <c r="AI22" s="191"/>
      <c r="AJ22" s="191"/>
    </row>
    <row r="23" spans="1:36" ht="18" customHeight="1">
      <c r="D23" s="77"/>
      <c r="E23" s="890" t="s">
        <v>4413</v>
      </c>
      <c r="F23" s="891"/>
      <c r="G23" s="891"/>
      <c r="H23" s="891"/>
      <c r="I23" s="891"/>
      <c r="J23" s="891"/>
      <c r="K23" s="891"/>
      <c r="L23" s="892"/>
      <c r="M23" s="676"/>
      <c r="N23" s="57" t="s">
        <v>4112</v>
      </c>
      <c r="O23" s="279"/>
      <c r="P23" s="279"/>
      <c r="Q23" s="277"/>
      <c r="R23" s="278"/>
      <c r="S23" s="28"/>
      <c r="T23" s="28"/>
      <c r="U23" s="191"/>
      <c r="V23" s="191"/>
      <c r="W23" s="191"/>
      <c r="X23" s="191"/>
      <c r="Y23" s="191"/>
      <c r="Z23" s="191"/>
      <c r="AA23" s="191"/>
      <c r="AB23" s="199"/>
      <c r="AC23" s="191"/>
      <c r="AD23" s="191"/>
      <c r="AE23" s="191"/>
    </row>
    <row r="24" spans="1:36" ht="18" customHeight="1">
      <c r="D24" s="77"/>
      <c r="E24" s="890" t="s">
        <v>4512</v>
      </c>
      <c r="F24" s="891"/>
      <c r="G24" s="891"/>
      <c r="H24" s="891"/>
      <c r="I24" s="891"/>
      <c r="J24" s="891"/>
      <c r="K24" s="891"/>
      <c r="L24" s="892"/>
      <c r="M24" s="676"/>
      <c r="N24" s="57" t="s">
        <v>4113</v>
      </c>
      <c r="O24" s="279"/>
      <c r="P24" s="279"/>
      <c r="Q24" s="277"/>
      <c r="R24" s="278"/>
      <c r="S24" s="28"/>
      <c r="T24" s="28"/>
      <c r="U24" s="197"/>
      <c r="V24" s="191"/>
      <c r="W24" s="191"/>
      <c r="X24" s="191"/>
      <c r="Y24" s="191"/>
      <c r="Z24" s="191"/>
      <c r="AA24" s="191"/>
      <c r="AB24" s="191"/>
      <c r="AC24" s="199"/>
      <c r="AD24" s="191"/>
      <c r="AE24" s="191"/>
      <c r="AF24" s="191"/>
    </row>
    <row r="25" spans="1:36" ht="18" customHeight="1">
      <c r="D25" s="77"/>
      <c r="E25" s="890" t="s">
        <v>4513</v>
      </c>
      <c r="F25" s="891"/>
      <c r="G25" s="891"/>
      <c r="H25" s="891"/>
      <c r="I25" s="891"/>
      <c r="J25" s="891"/>
      <c r="K25" s="891"/>
      <c r="L25" s="892"/>
      <c r="M25" s="676"/>
      <c r="N25" s="57" t="s">
        <v>4113</v>
      </c>
      <c r="O25" s="279"/>
      <c r="P25" s="279"/>
      <c r="Q25" s="277"/>
      <c r="R25" s="278"/>
      <c r="S25" s="28"/>
      <c r="T25" s="28"/>
      <c r="U25" s="197"/>
      <c r="V25" s="191"/>
      <c r="W25" s="191"/>
      <c r="X25" s="191"/>
      <c r="Y25" s="191"/>
      <c r="Z25" s="191"/>
      <c r="AA25" s="191"/>
      <c r="AB25" s="191"/>
      <c r="AC25" s="199"/>
      <c r="AD25" s="191"/>
      <c r="AE25" s="191"/>
      <c r="AF25" s="191"/>
      <c r="AG25" s="191"/>
    </row>
    <row r="26" spans="1:36" ht="18" customHeight="1" thickBot="1">
      <c r="D26" s="77"/>
      <c r="E26" s="893" t="s">
        <v>4406</v>
      </c>
      <c r="F26" s="894"/>
      <c r="G26" s="885"/>
      <c r="H26" s="885"/>
      <c r="I26" s="885"/>
      <c r="J26" s="885"/>
      <c r="K26" s="885"/>
      <c r="L26" s="886"/>
      <c r="M26" s="677"/>
      <c r="N26" s="679"/>
      <c r="O26" s="680"/>
      <c r="P26" s="681"/>
      <c r="Q26" s="152"/>
      <c r="R26" s="139"/>
      <c r="S26" s="14"/>
      <c r="T26" s="14"/>
      <c r="U26" s="191"/>
      <c r="V26" s="191"/>
      <c r="W26" s="191"/>
      <c r="X26" s="191"/>
      <c r="Y26" s="191"/>
      <c r="Z26" s="199"/>
      <c r="AA26" s="191"/>
      <c r="AB26" s="191"/>
      <c r="AC26" s="191"/>
      <c r="AD26" s="191"/>
      <c r="AE26" s="191"/>
      <c r="AF26" s="191"/>
      <c r="AG26" s="191"/>
      <c r="AH26" s="197"/>
      <c r="AI26" s="197"/>
      <c r="AJ26" s="197"/>
    </row>
    <row r="27" spans="1:36" s="191" customFormat="1" ht="19.399999999999999" customHeight="1">
      <c r="A27" s="187"/>
      <c r="B27" s="187"/>
      <c r="C27" s="188"/>
      <c r="D27" s="14"/>
      <c r="E27" s="14"/>
      <c r="F27" s="14"/>
      <c r="G27" s="14"/>
      <c r="H27" s="105"/>
      <c r="I27" s="105"/>
      <c r="J27" s="106"/>
      <c r="K27" s="107"/>
      <c r="L27" s="31"/>
      <c r="M27" s="28"/>
      <c r="N27" s="14"/>
      <c r="O27" s="14"/>
      <c r="P27" s="14"/>
      <c r="Q27" s="108"/>
      <c r="R27" s="108"/>
      <c r="S27" s="77"/>
      <c r="T27" s="109"/>
      <c r="U27" s="209"/>
      <c r="V27" s="209"/>
      <c r="W27" s="209"/>
      <c r="X27" s="209"/>
      <c r="Y27" s="209"/>
      <c r="Z27" s="209"/>
      <c r="AA27" s="199"/>
    </row>
    <row r="28" spans="1:36" s="191" customFormat="1" ht="18" customHeight="1">
      <c r="A28" s="187"/>
      <c r="B28" s="187"/>
      <c r="C28" s="188"/>
      <c r="D28" s="32"/>
      <c r="E28" s="14"/>
      <c r="F28" s="14"/>
      <c r="G28" s="14"/>
      <c r="H28" s="14"/>
      <c r="I28" s="14"/>
      <c r="J28" s="14"/>
      <c r="K28" s="14"/>
      <c r="L28" s="14"/>
      <c r="M28" s="14"/>
      <c r="N28" s="14"/>
      <c r="O28" s="14"/>
      <c r="P28" s="14"/>
      <c r="Q28" s="14"/>
      <c r="R28" s="28"/>
      <c r="S28" s="28"/>
      <c r="T28" s="14"/>
      <c r="Z28" s="200"/>
      <c r="AA28" s="201"/>
      <c r="AB28" s="200"/>
      <c r="AC28" s="200"/>
      <c r="AD28" s="200"/>
      <c r="AE28" s="200"/>
      <c r="AJ28" s="208"/>
    </row>
    <row r="29" spans="1:36" s="191" customFormat="1" ht="18" customHeight="1">
      <c r="A29" s="187"/>
      <c r="B29" s="187"/>
      <c r="C29" s="188"/>
      <c r="D29" s="34" t="s">
        <v>4522</v>
      </c>
      <c r="E29" s="14"/>
      <c r="F29" s="14"/>
      <c r="G29" s="14"/>
      <c r="H29" s="14"/>
      <c r="I29" s="14"/>
      <c r="J29" s="14"/>
      <c r="K29" s="14"/>
      <c r="L29" s="14"/>
      <c r="M29" s="14"/>
      <c r="N29" s="14"/>
      <c r="O29" s="14"/>
      <c r="P29" s="14"/>
      <c r="Q29" s="28"/>
      <c r="R29" s="28"/>
      <c r="S29" s="28"/>
      <c r="T29" s="14"/>
      <c r="Y29" s="200"/>
      <c r="Z29" s="200"/>
      <c r="AA29" s="201"/>
      <c r="AB29" s="200"/>
      <c r="AC29" s="200"/>
      <c r="AD29" s="200"/>
      <c r="AJ29" s="208"/>
    </row>
    <row r="30" spans="1:36" s="191" customFormat="1" ht="18" customHeight="1">
      <c r="A30" s="187"/>
      <c r="B30" s="187"/>
      <c r="C30" s="188"/>
      <c r="D30" s="34"/>
      <c r="E30" s="14"/>
      <c r="F30" s="14"/>
      <c r="G30" s="14"/>
      <c r="H30" s="14"/>
      <c r="I30" s="14"/>
      <c r="J30" s="14"/>
      <c r="K30" s="14"/>
      <c r="L30" s="14"/>
      <c r="M30" s="14"/>
      <c r="N30" s="14"/>
      <c r="O30" s="14"/>
      <c r="P30" s="14"/>
      <c r="Q30" s="28"/>
      <c r="R30" s="28"/>
      <c r="S30" s="28"/>
      <c r="T30" s="14"/>
      <c r="Y30" s="200"/>
      <c r="Z30" s="200"/>
      <c r="AA30" s="201"/>
      <c r="AB30" s="200"/>
      <c r="AC30" s="200"/>
      <c r="AD30" s="200"/>
      <c r="AJ30" s="208"/>
    </row>
    <row r="31" spans="1:36" s="191" customFormat="1" ht="18" customHeight="1">
      <c r="A31" s="187"/>
      <c r="B31" s="187"/>
      <c r="C31" s="188"/>
      <c r="D31" s="31"/>
      <c r="E31" s="16" t="s">
        <v>4515</v>
      </c>
      <c r="F31" s="24"/>
      <c r="G31" s="24"/>
      <c r="H31" s="24"/>
      <c r="I31" s="24"/>
      <c r="J31" s="47"/>
      <c r="K31" s="49"/>
      <c r="L31" s="27"/>
      <c r="M31" s="32"/>
      <c r="N31" s="32"/>
      <c r="O31" s="32"/>
      <c r="P31" s="32"/>
      <c r="Q31" s="31"/>
      <c r="R31" s="31"/>
      <c r="S31" s="31"/>
      <c r="T31" s="31"/>
      <c r="U31" s="200"/>
      <c r="Y31" s="210"/>
      <c r="AA31" s="199"/>
    </row>
    <row r="32" spans="1:36" s="191" customFormat="1" ht="18" customHeight="1">
      <c r="A32" s="187"/>
      <c r="B32" s="187"/>
      <c r="C32" s="188"/>
      <c r="D32" s="34"/>
      <c r="E32" s="14"/>
      <c r="F32" s="99" t="s">
        <v>4285</v>
      </c>
      <c r="G32" s="99" t="s">
        <v>4278</v>
      </c>
      <c r="H32" s="14"/>
      <c r="I32" s="14"/>
      <c r="J32" s="14"/>
      <c r="K32" s="14"/>
      <c r="L32" s="14"/>
      <c r="M32" s="14"/>
      <c r="N32" s="14"/>
      <c r="O32" s="14"/>
      <c r="P32" s="14"/>
      <c r="Q32" s="28"/>
      <c r="R32" s="28"/>
      <c r="S32" s="28"/>
      <c r="T32" s="14"/>
      <c r="Y32" s="200"/>
      <c r="Z32" s="200"/>
      <c r="AA32" s="201"/>
      <c r="AB32" s="200"/>
      <c r="AC32" s="200"/>
      <c r="AD32" s="200"/>
      <c r="AJ32" s="208"/>
    </row>
    <row r="33" spans="1:43" s="191" customFormat="1" ht="3" customHeight="1">
      <c r="A33" s="187"/>
      <c r="B33" s="187"/>
      <c r="C33" s="188"/>
      <c r="D33" s="34"/>
      <c r="E33" s="14"/>
      <c r="F33" s="14"/>
      <c r="G33" s="14"/>
      <c r="H33" s="14"/>
      <c r="I33" s="14"/>
      <c r="J33" s="14"/>
      <c r="K33" s="14"/>
      <c r="L33" s="14"/>
      <c r="M33" s="14"/>
      <c r="N33" s="14"/>
      <c r="O33" s="14"/>
      <c r="P33" s="14"/>
      <c r="Q33" s="28"/>
      <c r="R33" s="28"/>
      <c r="S33" s="28"/>
      <c r="T33" s="14"/>
      <c r="Y33" s="200"/>
      <c r="Z33" s="200"/>
      <c r="AA33" s="201"/>
      <c r="AB33" s="200"/>
      <c r="AC33" s="200"/>
      <c r="AD33" s="200"/>
      <c r="AJ33" s="208"/>
    </row>
    <row r="34" spans="1:43" s="191" customFormat="1" ht="18" customHeight="1">
      <c r="A34" s="187"/>
      <c r="B34" s="187"/>
      <c r="C34" s="188"/>
      <c r="D34" s="32"/>
      <c r="E34" s="14"/>
      <c r="F34" s="14"/>
      <c r="G34" s="14"/>
      <c r="H34" s="14"/>
      <c r="I34" s="14"/>
      <c r="J34" s="14"/>
      <c r="K34" s="14"/>
      <c r="L34" s="14"/>
      <c r="M34" s="14"/>
      <c r="N34" s="14"/>
      <c r="O34" s="14"/>
      <c r="P34" s="14"/>
      <c r="Q34" s="14"/>
      <c r="R34" s="28"/>
      <c r="S34" s="28"/>
      <c r="T34" s="14"/>
      <c r="Z34" s="200"/>
      <c r="AA34" s="201"/>
      <c r="AB34" s="200"/>
      <c r="AC34" s="200"/>
      <c r="AD34" s="200"/>
      <c r="AE34" s="200"/>
      <c r="AJ34" s="208"/>
    </row>
    <row r="35" spans="1:43" s="191" customFormat="1" ht="18" customHeight="1">
      <c r="A35" s="187"/>
      <c r="B35" s="187"/>
      <c r="C35" s="188"/>
      <c r="D35" s="32"/>
      <c r="E35" s="16" t="s">
        <v>4514</v>
      </c>
      <c r="F35" s="24"/>
      <c r="G35" s="14"/>
      <c r="H35" s="14"/>
      <c r="I35" s="14"/>
      <c r="J35" s="14"/>
      <c r="K35" s="14"/>
      <c r="L35" s="14"/>
      <c r="M35" s="14"/>
      <c r="N35" s="14"/>
      <c r="O35" s="14"/>
      <c r="P35" s="14"/>
      <c r="Q35" s="14"/>
      <c r="R35" s="28"/>
      <c r="S35" s="28"/>
      <c r="T35" s="14"/>
      <c r="Z35" s="200"/>
      <c r="AA35" s="201"/>
      <c r="AB35" s="200"/>
      <c r="AC35" s="200"/>
      <c r="AD35" s="200"/>
      <c r="AE35" s="200"/>
      <c r="AJ35" s="208"/>
    </row>
    <row r="36" spans="1:43" s="191" customFormat="1" ht="18" customHeight="1">
      <c r="A36" s="187"/>
      <c r="B36" s="187"/>
      <c r="C36" s="188"/>
      <c r="D36" s="32"/>
      <c r="E36" s="77"/>
      <c r="F36" s="99" t="s">
        <v>4285</v>
      </c>
      <c r="G36" s="99" t="s">
        <v>4278</v>
      </c>
      <c r="H36" s="14"/>
      <c r="I36" s="14"/>
      <c r="J36" s="14"/>
      <c r="K36" s="14"/>
      <c r="L36" s="14"/>
      <c r="M36" s="14"/>
      <c r="N36" s="14"/>
      <c r="O36" s="14"/>
      <c r="P36" s="14"/>
      <c r="Q36" s="14"/>
      <c r="R36" s="28"/>
      <c r="S36" s="28"/>
      <c r="T36" s="24"/>
      <c r="Z36" s="200"/>
      <c r="AA36" s="191" t="str">
        <f>IF(OR(C32=2,C36=2)=TRUE,"検索ツール画像B","検索ツール画像A")</f>
        <v>検索ツール画像A</v>
      </c>
      <c r="AB36" s="200"/>
      <c r="AC36" s="200"/>
      <c r="AD36" s="200"/>
      <c r="AE36" s="200"/>
      <c r="AJ36" s="208"/>
    </row>
    <row r="37" spans="1:43" s="191" customFormat="1" ht="3" customHeight="1">
      <c r="A37" s="187"/>
      <c r="B37" s="187"/>
      <c r="C37" s="188"/>
      <c r="D37" s="32"/>
      <c r="E37" s="77"/>
      <c r="F37" s="99"/>
      <c r="G37" s="99"/>
      <c r="H37" s="14"/>
      <c r="I37" s="14"/>
      <c r="J37" s="14"/>
      <c r="K37" s="14"/>
      <c r="L37" s="14"/>
      <c r="M37" s="14"/>
      <c r="N37" s="14"/>
      <c r="O37" s="14"/>
      <c r="P37" s="14"/>
      <c r="Q37" s="14"/>
      <c r="R37" s="28"/>
      <c r="S37" s="28"/>
      <c r="T37" s="14"/>
      <c r="Z37" s="200"/>
      <c r="AA37" s="201"/>
      <c r="AB37" s="200"/>
      <c r="AC37" s="200"/>
      <c r="AD37" s="200"/>
      <c r="AE37" s="200"/>
    </row>
    <row r="38" spans="1:43" s="191" customFormat="1" ht="18" customHeight="1">
      <c r="A38" s="187"/>
      <c r="B38" s="187"/>
      <c r="C38" s="284"/>
      <c r="D38" s="14"/>
      <c r="E38" s="14"/>
      <c r="F38" s="14" t="str">
        <f xml:space="preserve"> $AB$1+3 &amp;"年度（第３年度）における電気事業者との契約メニュー、買電量（車両の充電に使用した電力量）、排出係数をご入力ください。"</f>
        <v>3年度（第３年度）における電気事業者との契約メニュー、買電量（車両の充電に使用した電力量）、排出係数をご入力ください。</v>
      </c>
      <c r="G38" s="14"/>
      <c r="H38" s="14"/>
      <c r="I38" s="14"/>
      <c r="J38" s="14"/>
      <c r="K38" s="14"/>
      <c r="L38" s="14"/>
      <c r="M38" s="14"/>
      <c r="N38" s="14"/>
      <c r="O38" s="14"/>
      <c r="P38" s="14"/>
      <c r="Q38" s="14"/>
      <c r="R38" s="28"/>
      <c r="S38" s="28"/>
      <c r="T38" s="14"/>
      <c r="Z38" s="286"/>
      <c r="AA38" s="287"/>
      <c r="AB38" s="286"/>
      <c r="AC38" s="286"/>
      <c r="AD38" s="286"/>
      <c r="AE38" s="286"/>
    </row>
    <row r="39" spans="1:43" s="191" customFormat="1" ht="18" customHeight="1">
      <c r="A39" s="187"/>
      <c r="B39" s="187"/>
      <c r="C39" s="284"/>
      <c r="D39" s="14"/>
      <c r="E39" s="14"/>
      <c r="F39" s="14" t="str">
        <f>$AB$1+3&amp;"年度（第３年度）において、複数の契約や、年度途中の契約の変更があった場合には、全ての情報を入力してください。"</f>
        <v>3年度（第３年度）において、複数の契約や、年度途中の契約の変更があった場合には、全ての情報を入力してください。</v>
      </c>
      <c r="G39" s="14"/>
      <c r="H39" s="14"/>
      <c r="I39" s="14"/>
      <c r="J39" s="14"/>
      <c r="K39" s="14"/>
      <c r="L39" s="14"/>
      <c r="M39" s="14"/>
      <c r="N39" s="14"/>
      <c r="O39" s="14"/>
      <c r="P39" s="14"/>
      <c r="Q39" s="14"/>
      <c r="R39" s="28"/>
      <c r="S39" s="28"/>
      <c r="T39" s="14"/>
      <c r="Z39" s="286"/>
      <c r="AA39" s="287"/>
      <c r="AB39" s="286"/>
      <c r="AC39" s="286"/>
      <c r="AD39" s="286"/>
      <c r="AE39" s="286"/>
    </row>
    <row r="40" spans="1:43" s="191" customFormat="1" ht="18" customHeight="1">
      <c r="A40" s="187"/>
      <c r="B40" s="187"/>
      <c r="C40" s="284"/>
      <c r="D40" s="288"/>
      <c r="E40" s="14"/>
      <c r="F40" s="38" t="s">
        <v>4376</v>
      </c>
      <c r="G40" s="14"/>
      <c r="H40" s="14"/>
      <c r="I40" s="14"/>
      <c r="J40" s="14"/>
      <c r="K40" s="14"/>
      <c r="L40" s="14"/>
      <c r="M40" s="14"/>
      <c r="N40" s="14"/>
      <c r="O40" s="14"/>
      <c r="P40" s="14"/>
      <c r="Q40" s="14"/>
      <c r="R40" s="28"/>
      <c r="S40" s="28"/>
      <c r="T40" s="14"/>
      <c r="Z40" s="286"/>
      <c r="AA40" s="287"/>
      <c r="AB40" s="286"/>
      <c r="AC40" s="286"/>
      <c r="AD40" s="286"/>
      <c r="AE40" s="286"/>
    </row>
    <row r="41" spans="1:43" s="191" customFormat="1" ht="18" customHeight="1">
      <c r="A41" s="187"/>
      <c r="B41" s="187"/>
      <c r="C41" s="284"/>
      <c r="D41" s="288"/>
      <c r="E41" s="14"/>
      <c r="F41" s="904" t="s">
        <v>4528</v>
      </c>
      <c r="G41" s="904"/>
      <c r="H41" s="904"/>
      <c r="I41" s="904"/>
      <c r="J41" s="904"/>
      <c r="K41" s="904"/>
      <c r="L41" s="904"/>
      <c r="M41" s="904"/>
      <c r="N41" s="14"/>
      <c r="O41" s="14"/>
      <c r="P41" s="14"/>
      <c r="Q41" s="14"/>
      <c r="R41" s="28"/>
      <c r="S41" s="28"/>
      <c r="T41" s="14"/>
      <c r="Z41" s="286"/>
      <c r="AA41" s="287"/>
      <c r="AB41" s="286"/>
      <c r="AC41" s="286"/>
      <c r="AD41" s="286"/>
      <c r="AE41" s="286"/>
    </row>
    <row r="42" spans="1:43" s="191" customFormat="1" ht="18" customHeight="1" thickBot="1">
      <c r="A42" s="187"/>
      <c r="B42" s="187"/>
      <c r="C42" s="284"/>
      <c r="D42" s="288"/>
      <c r="E42" s="14"/>
      <c r="F42" s="155" t="s">
        <v>4373</v>
      </c>
      <c r="G42" s="14"/>
      <c r="H42" s="14"/>
      <c r="I42" s="14"/>
      <c r="J42" s="14"/>
      <c r="K42" s="14"/>
      <c r="L42" s="14"/>
      <c r="M42" s="14"/>
      <c r="N42" s="14"/>
      <c r="O42" s="14"/>
      <c r="P42" s="14"/>
      <c r="Q42" s="14"/>
      <c r="R42" s="28"/>
      <c r="S42" s="28"/>
      <c r="T42" s="14"/>
      <c r="Z42" s="286"/>
      <c r="AA42" s="287"/>
      <c r="AB42" s="286"/>
      <c r="AC42" s="286"/>
      <c r="AD42" s="286"/>
      <c r="AE42" s="286"/>
    </row>
    <row r="43" spans="1:43" ht="33" customHeight="1">
      <c r="D43" s="77"/>
      <c r="E43" s="77"/>
      <c r="F43" s="45" t="s">
        <v>4372</v>
      </c>
      <c r="G43" s="46" t="s">
        <v>4529</v>
      </c>
      <c r="H43" s="46"/>
      <c r="I43" s="294" t="s">
        <v>4541</v>
      </c>
      <c r="J43" s="280"/>
      <c r="K43" s="13"/>
      <c r="L43" s="13"/>
      <c r="M43" s="77"/>
      <c r="N43" s="77"/>
      <c r="O43" s="77"/>
      <c r="P43" s="77"/>
      <c r="Q43" s="77"/>
      <c r="R43" s="77"/>
      <c r="S43" s="77"/>
      <c r="T43" s="77"/>
      <c r="U43" s="197"/>
      <c r="V43" s="197"/>
      <c r="W43" s="191"/>
      <c r="X43" s="191"/>
      <c r="Y43" s="191"/>
      <c r="Z43" s="191"/>
      <c r="AA43" s="191"/>
      <c r="AB43" s="191"/>
      <c r="AC43" s="191"/>
      <c r="AD43" s="199"/>
      <c r="AE43" s="191"/>
      <c r="AF43" s="191"/>
      <c r="AG43" s="191"/>
      <c r="AH43" s="191"/>
      <c r="AI43" s="191"/>
      <c r="AJ43" s="191"/>
      <c r="AK43" s="191"/>
      <c r="AL43" s="197"/>
      <c r="AM43" s="197"/>
      <c r="AN43" s="197"/>
      <c r="AO43" s="197"/>
      <c r="AP43" s="197"/>
      <c r="AQ43" s="197"/>
    </row>
    <row r="44" spans="1:43" ht="18" customHeight="1">
      <c r="D44" s="77"/>
      <c r="E44" s="77"/>
      <c r="F44" s="137"/>
      <c r="G44" s="897"/>
      <c r="H44" s="898"/>
      <c r="I44" s="883"/>
      <c r="J44" s="884"/>
      <c r="K44" s="13"/>
      <c r="L44" s="13"/>
      <c r="M44" s="28"/>
      <c r="N44" s="100"/>
      <c r="O44" s="101"/>
      <c r="P44" s="100"/>
      <c r="Q44" s="101"/>
      <c r="R44" s="100"/>
      <c r="S44" s="100"/>
      <c r="T44" s="102"/>
      <c r="U44" s="200"/>
      <c r="V44" s="200"/>
      <c r="W44" s="191"/>
      <c r="X44" s="191"/>
      <c r="Y44" s="191"/>
      <c r="Z44" s="191"/>
      <c r="AA44" s="191"/>
      <c r="AB44" s="191"/>
      <c r="AC44" s="191"/>
      <c r="AD44" s="199"/>
      <c r="AE44" s="191"/>
      <c r="AF44" s="191"/>
      <c r="AG44" s="191"/>
      <c r="AH44" s="191"/>
      <c r="AI44" s="191"/>
      <c r="AJ44" s="191"/>
      <c r="AK44" s="191"/>
      <c r="AL44" s="197"/>
      <c r="AM44" s="197"/>
    </row>
    <row r="45" spans="1:43" ht="18" customHeight="1">
      <c r="D45" s="77"/>
      <c r="E45" s="77"/>
      <c r="F45" s="137"/>
      <c r="G45" s="897"/>
      <c r="H45" s="898"/>
      <c r="I45" s="883"/>
      <c r="J45" s="884"/>
      <c r="K45" s="13"/>
      <c r="L45" s="13"/>
      <c r="M45" s="100"/>
      <c r="N45" s="100"/>
      <c r="O45" s="103"/>
      <c r="P45" s="100"/>
      <c r="Q45" s="103"/>
      <c r="R45" s="100"/>
      <c r="S45" s="100"/>
      <c r="T45" s="102"/>
      <c r="U45" s="200"/>
      <c r="V45" s="200"/>
      <c r="W45" s="191"/>
      <c r="X45" s="191"/>
      <c r="Y45" s="191"/>
      <c r="Z45" s="191"/>
      <c r="AA45" s="191"/>
      <c r="AB45" s="191"/>
      <c r="AC45" s="191"/>
      <c r="AD45" s="199"/>
      <c r="AE45" s="191"/>
      <c r="AF45" s="191"/>
      <c r="AG45" s="191"/>
      <c r="AH45" s="191"/>
      <c r="AI45" s="191"/>
      <c r="AJ45" s="191"/>
      <c r="AK45" s="191"/>
      <c r="AL45" s="197"/>
      <c r="AM45" s="197"/>
    </row>
    <row r="46" spans="1:43" ht="18" customHeight="1">
      <c r="D46" s="77"/>
      <c r="E46" s="77"/>
      <c r="F46" s="137"/>
      <c r="G46" s="897"/>
      <c r="H46" s="898"/>
      <c r="I46" s="883"/>
      <c r="J46" s="884"/>
      <c r="K46" s="13"/>
      <c r="L46" s="13"/>
      <c r="M46" s="100"/>
      <c r="N46" s="100"/>
      <c r="O46" s="103"/>
      <c r="P46" s="100"/>
      <c r="Q46" s="103"/>
      <c r="R46" s="100"/>
      <c r="S46" s="100"/>
      <c r="T46" s="102"/>
      <c r="U46" s="200"/>
      <c r="V46" s="200"/>
      <c r="W46" s="191"/>
      <c r="X46" s="191"/>
      <c r="Y46" s="191"/>
      <c r="Z46" s="191"/>
      <c r="AA46" s="191"/>
      <c r="AB46" s="191"/>
      <c r="AC46" s="191"/>
      <c r="AD46" s="199"/>
      <c r="AE46" s="191"/>
      <c r="AF46" s="191"/>
      <c r="AG46" s="191"/>
      <c r="AH46" s="191"/>
      <c r="AI46" s="191"/>
      <c r="AJ46" s="191"/>
      <c r="AK46" s="191"/>
      <c r="AL46" s="197"/>
      <c r="AM46" s="197"/>
    </row>
    <row r="47" spans="1:43" ht="18" customHeight="1">
      <c r="D47" s="77"/>
      <c r="E47" s="77"/>
      <c r="F47" s="137"/>
      <c r="G47" s="897"/>
      <c r="H47" s="898"/>
      <c r="I47" s="883"/>
      <c r="J47" s="884"/>
      <c r="K47" s="13"/>
      <c r="L47" s="13"/>
      <c r="M47" s="100"/>
      <c r="N47" s="100"/>
      <c r="O47" s="103"/>
      <c r="P47" s="100"/>
      <c r="Q47" s="103"/>
      <c r="R47" s="100"/>
      <c r="S47" s="100"/>
      <c r="T47" s="102"/>
      <c r="U47" s="200"/>
      <c r="V47" s="200"/>
      <c r="W47" s="191"/>
      <c r="X47" s="191"/>
      <c r="Y47" s="191"/>
      <c r="Z47" s="191"/>
      <c r="AA47" s="191"/>
      <c r="AB47" s="191"/>
      <c r="AC47" s="191"/>
      <c r="AD47" s="199"/>
      <c r="AE47" s="191"/>
      <c r="AF47" s="191"/>
      <c r="AG47" s="191"/>
      <c r="AH47" s="191"/>
      <c r="AI47" s="191"/>
      <c r="AJ47" s="191"/>
      <c r="AK47" s="191"/>
      <c r="AL47" s="197"/>
      <c r="AM47" s="197"/>
    </row>
    <row r="48" spans="1:43" ht="18" customHeight="1" thickBot="1">
      <c r="D48" s="77"/>
      <c r="E48" s="77"/>
      <c r="F48" s="138"/>
      <c r="G48" s="895"/>
      <c r="H48" s="896"/>
      <c r="I48" s="900"/>
      <c r="J48" s="901"/>
      <c r="K48" s="13"/>
      <c r="L48" s="13"/>
      <c r="M48" s="100"/>
      <c r="N48" s="100"/>
      <c r="O48" s="103"/>
      <c r="P48" s="100"/>
      <c r="Q48" s="103"/>
      <c r="R48" s="100"/>
      <c r="S48" s="100"/>
      <c r="T48" s="102"/>
      <c r="U48" s="200"/>
      <c r="V48" s="200"/>
      <c r="W48" s="191"/>
      <c r="X48" s="191"/>
      <c r="Y48" s="191"/>
      <c r="Z48" s="191"/>
      <c r="AA48" s="191"/>
      <c r="AB48" s="191"/>
      <c r="AC48" s="191"/>
      <c r="AD48" s="199"/>
      <c r="AE48" s="191"/>
      <c r="AF48" s="191"/>
      <c r="AG48" s="191"/>
      <c r="AH48" s="191"/>
      <c r="AI48" s="191"/>
      <c r="AJ48" s="191"/>
      <c r="AK48" s="191"/>
      <c r="AL48" s="197"/>
      <c r="AM48" s="197"/>
    </row>
    <row r="49" spans="1:39" ht="150" customHeight="1">
      <c r="D49" s="77"/>
      <c r="E49" s="77"/>
      <c r="F49" s="77"/>
      <c r="G49" s="77"/>
      <c r="H49" s="77"/>
      <c r="I49" s="77"/>
      <c r="J49" s="77"/>
      <c r="K49" s="77"/>
      <c r="L49" s="103"/>
      <c r="M49" s="100"/>
      <c r="N49" s="103"/>
      <c r="O49" s="100"/>
      <c r="P49" s="100"/>
      <c r="Q49" s="102"/>
      <c r="R49" s="31"/>
      <c r="S49" s="31"/>
      <c r="T49" s="14"/>
      <c r="U49" s="191"/>
      <c r="V49" s="191"/>
      <c r="W49" s="191"/>
      <c r="X49" s="191"/>
      <c r="Y49" s="191"/>
      <c r="Z49" s="191"/>
      <c r="AA49" s="199"/>
      <c r="AB49" s="191"/>
      <c r="AC49" s="191"/>
      <c r="AD49" s="191"/>
      <c r="AE49" s="191"/>
      <c r="AF49" s="191"/>
      <c r="AG49" s="191"/>
      <c r="AH49" s="191"/>
      <c r="AI49" s="197"/>
      <c r="AJ49" s="197"/>
    </row>
    <row r="50" spans="1:39" ht="18" customHeight="1">
      <c r="D50" s="32"/>
      <c r="E50" s="42" t="s">
        <v>4547</v>
      </c>
      <c r="F50" s="104"/>
      <c r="G50" s="77"/>
      <c r="H50" s="77"/>
      <c r="I50" s="77"/>
      <c r="J50" s="77"/>
      <c r="K50" s="77"/>
      <c r="L50" s="28"/>
      <c r="M50" s="77"/>
      <c r="N50" s="28"/>
      <c r="O50" s="28"/>
      <c r="P50" s="28"/>
      <c r="Q50" s="28"/>
      <c r="R50" s="28"/>
      <c r="S50" s="28"/>
      <c r="T50" s="14"/>
      <c r="U50" s="191"/>
      <c r="V50" s="191"/>
      <c r="W50" s="191"/>
      <c r="X50" s="191"/>
      <c r="Y50" s="191"/>
      <c r="Z50" s="191"/>
      <c r="AA50" s="199"/>
      <c r="AB50" s="191"/>
      <c r="AC50" s="191"/>
      <c r="AD50" s="191"/>
      <c r="AE50" s="191"/>
      <c r="AF50" s="191"/>
      <c r="AG50" s="191"/>
      <c r="AH50" s="191"/>
      <c r="AI50" s="197"/>
      <c r="AJ50" s="197"/>
    </row>
    <row r="51" spans="1:39" ht="22.4" customHeight="1">
      <c r="D51" s="77"/>
      <c r="E51" s="77"/>
      <c r="F51" s="99" t="s">
        <v>4285</v>
      </c>
      <c r="G51" s="99" t="s">
        <v>4278</v>
      </c>
      <c r="H51" s="77"/>
      <c r="I51" s="77"/>
      <c r="J51" s="77"/>
      <c r="K51" s="77"/>
      <c r="L51" s="77"/>
      <c r="M51" s="28"/>
      <c r="N51" s="28"/>
      <c r="O51" s="28"/>
      <c r="P51" s="28"/>
      <c r="Q51" s="28"/>
      <c r="R51" s="28"/>
      <c r="S51" s="28"/>
      <c r="T51" s="14"/>
      <c r="U51" s="191"/>
      <c r="V51" s="191"/>
      <c r="W51" s="191"/>
      <c r="X51" s="191"/>
      <c r="Y51" s="191"/>
      <c r="Z51" s="191"/>
      <c r="AA51" s="199"/>
      <c r="AB51" s="191"/>
      <c r="AC51" s="191"/>
      <c r="AD51" s="191"/>
      <c r="AE51" s="191"/>
      <c r="AF51" s="191"/>
      <c r="AG51" s="191"/>
      <c r="AH51" s="191"/>
      <c r="AI51" s="197"/>
    </row>
    <row r="52" spans="1:39" ht="3" customHeight="1">
      <c r="D52" s="77"/>
      <c r="E52" s="77"/>
      <c r="F52" s="99"/>
      <c r="G52" s="99"/>
      <c r="H52" s="77"/>
      <c r="I52" s="77"/>
      <c r="J52" s="77"/>
      <c r="K52" s="77"/>
      <c r="L52" s="77"/>
      <c r="M52" s="28"/>
      <c r="N52" s="28"/>
      <c r="O52" s="28"/>
      <c r="P52" s="28"/>
      <c r="Q52" s="28"/>
      <c r="R52" s="28"/>
      <c r="S52" s="28"/>
      <c r="T52" s="14"/>
      <c r="U52" s="191"/>
      <c r="V52" s="191"/>
      <c r="W52" s="191"/>
      <c r="X52" s="191"/>
      <c r="Y52" s="191"/>
      <c r="Z52" s="191"/>
      <c r="AA52" s="199"/>
      <c r="AB52" s="191"/>
      <c r="AC52" s="191"/>
      <c r="AD52" s="191"/>
      <c r="AE52" s="191"/>
      <c r="AF52" s="191"/>
      <c r="AG52" s="191"/>
      <c r="AH52" s="191"/>
      <c r="AI52" s="197"/>
    </row>
    <row r="53" spans="1:39" s="191" customFormat="1" ht="22.4" customHeight="1" thickBot="1">
      <c r="A53" s="187"/>
      <c r="B53" s="187"/>
      <c r="C53" s="187"/>
      <c r="D53" s="14"/>
      <c r="E53" s="14"/>
      <c r="F53" s="14" t="str">
        <f>$AB$1+3&amp;"年度（第３年度）において、上記（２-１）以外に下記の買電がある場合は、そのうち車両の充電に使用した電力量をご入力ください。"</f>
        <v>3年度（第３年度）において、上記（２-１）以外に下記の買電がある場合は、そのうち車両の充電に使用した電力量をご入力ください。</v>
      </c>
      <c r="G53" s="14"/>
      <c r="H53" s="14"/>
      <c r="I53" s="14"/>
      <c r="J53" s="14"/>
      <c r="K53" s="14"/>
      <c r="L53" s="14"/>
      <c r="M53" s="28"/>
      <c r="N53" s="28"/>
      <c r="O53" s="28"/>
      <c r="P53" s="28"/>
      <c r="Q53" s="28"/>
      <c r="R53" s="28"/>
      <c r="S53" s="28"/>
      <c r="T53" s="14"/>
      <c r="AA53" s="199"/>
      <c r="AI53" s="197"/>
    </row>
    <row r="54" spans="1:39" ht="30.75" customHeight="1">
      <c r="D54" s="77"/>
      <c r="E54" s="77"/>
      <c r="F54" s="295" t="s">
        <v>4219</v>
      </c>
      <c r="G54" s="46" t="s">
        <v>4529</v>
      </c>
      <c r="H54" s="46"/>
      <c r="I54" s="294" t="s">
        <v>4541</v>
      </c>
      <c r="J54" s="280"/>
      <c r="K54" s="13"/>
      <c r="L54" s="13"/>
      <c r="M54" s="77"/>
      <c r="N54" s="28"/>
      <c r="O54" s="28"/>
      <c r="P54" s="28"/>
      <c r="Q54" s="28"/>
      <c r="R54" s="28"/>
      <c r="S54" s="28"/>
      <c r="T54" s="28"/>
      <c r="U54" s="197"/>
      <c r="V54" s="197"/>
      <c r="W54" s="191"/>
      <c r="X54" s="191"/>
      <c r="Y54" s="191"/>
      <c r="Z54" s="191"/>
      <c r="AA54" s="191"/>
      <c r="AB54" s="191"/>
      <c r="AC54" s="191"/>
      <c r="AD54" s="199"/>
      <c r="AE54" s="191"/>
      <c r="AF54" s="191"/>
      <c r="AG54" s="191"/>
      <c r="AH54" s="191"/>
      <c r="AI54" s="191"/>
      <c r="AJ54" s="191"/>
      <c r="AK54" s="191"/>
      <c r="AL54" s="197"/>
      <c r="AM54" s="197"/>
    </row>
    <row r="55" spans="1:39" ht="18" customHeight="1">
      <c r="D55" s="77"/>
      <c r="E55" s="77"/>
      <c r="F55" s="296"/>
      <c r="G55" s="897"/>
      <c r="H55" s="898"/>
      <c r="I55" s="883"/>
      <c r="J55" s="884"/>
      <c r="K55" s="13"/>
      <c r="L55" s="13"/>
      <c r="M55" s="77"/>
      <c r="N55" s="28"/>
      <c r="O55" s="28"/>
      <c r="P55" s="28"/>
      <c r="Q55" s="28"/>
      <c r="R55" s="28"/>
      <c r="S55" s="28"/>
      <c r="T55" s="28"/>
      <c r="U55" s="197"/>
      <c r="V55" s="197"/>
      <c r="W55" s="191"/>
      <c r="X55" s="191"/>
      <c r="Y55" s="191"/>
      <c r="Z55" s="191"/>
      <c r="AA55" s="191"/>
      <c r="AB55" s="191"/>
      <c r="AC55" s="191"/>
      <c r="AD55" s="199"/>
      <c r="AE55" s="191"/>
      <c r="AF55" s="191"/>
      <c r="AG55" s="191"/>
      <c r="AH55" s="191"/>
      <c r="AI55" s="191"/>
      <c r="AJ55" s="191"/>
      <c r="AK55" s="191"/>
      <c r="AL55" s="197"/>
      <c r="AM55" s="197"/>
    </row>
    <row r="56" spans="1:39" ht="18" customHeight="1">
      <c r="D56" s="77"/>
      <c r="E56" s="77"/>
      <c r="F56" s="296"/>
      <c r="G56" s="897"/>
      <c r="H56" s="898"/>
      <c r="I56" s="883"/>
      <c r="J56" s="884"/>
      <c r="K56" s="13"/>
      <c r="L56" s="13"/>
      <c r="M56" s="77"/>
      <c r="N56" s="28"/>
      <c r="O56" s="28"/>
      <c r="P56" s="28"/>
      <c r="Q56" s="28"/>
      <c r="R56" s="28"/>
      <c r="S56" s="28"/>
      <c r="T56" s="28"/>
      <c r="U56" s="197"/>
      <c r="V56" s="197"/>
      <c r="W56" s="191"/>
      <c r="X56" s="191"/>
      <c r="Y56" s="191"/>
      <c r="Z56" s="191"/>
      <c r="AA56" s="191"/>
      <c r="AB56" s="191"/>
      <c r="AC56" s="191"/>
      <c r="AD56" s="199"/>
      <c r="AE56" s="191"/>
      <c r="AF56" s="191"/>
      <c r="AG56" s="191"/>
      <c r="AH56" s="191"/>
      <c r="AI56" s="191"/>
      <c r="AJ56" s="191"/>
      <c r="AK56" s="191"/>
      <c r="AL56" s="197"/>
      <c r="AM56" s="197"/>
    </row>
    <row r="57" spans="1:39" ht="18" customHeight="1">
      <c r="D57" s="77"/>
      <c r="E57" s="77"/>
      <c r="F57" s="296"/>
      <c r="G57" s="897"/>
      <c r="H57" s="898"/>
      <c r="I57" s="883"/>
      <c r="J57" s="884"/>
      <c r="K57" s="13"/>
      <c r="L57" s="13"/>
      <c r="M57" s="77"/>
      <c r="N57" s="28"/>
      <c r="O57" s="28"/>
      <c r="P57" s="28"/>
      <c r="Q57" s="28"/>
      <c r="R57" s="28"/>
      <c r="S57" s="28"/>
      <c r="T57" s="28"/>
      <c r="U57" s="197"/>
      <c r="V57" s="197"/>
      <c r="W57" s="191"/>
      <c r="X57" s="191"/>
      <c r="Y57" s="191"/>
      <c r="Z57" s="191"/>
      <c r="AA57" s="191"/>
      <c r="AB57" s="191"/>
      <c r="AC57" s="191"/>
      <c r="AD57" s="199"/>
      <c r="AE57" s="191"/>
      <c r="AF57" s="191"/>
      <c r="AG57" s="191"/>
      <c r="AH57" s="191"/>
      <c r="AI57" s="191"/>
      <c r="AJ57" s="191"/>
      <c r="AK57" s="191"/>
      <c r="AL57" s="197"/>
      <c r="AM57" s="197"/>
    </row>
    <row r="58" spans="1:39" ht="18" customHeight="1">
      <c r="D58" s="77"/>
      <c r="E58" s="77"/>
      <c r="F58" s="296"/>
      <c r="G58" s="897"/>
      <c r="H58" s="898"/>
      <c r="I58" s="883"/>
      <c r="J58" s="884"/>
      <c r="K58" s="13"/>
      <c r="L58" s="13"/>
      <c r="M58" s="77"/>
      <c r="N58" s="28"/>
      <c r="O58" s="28"/>
      <c r="P58" s="28"/>
      <c r="Q58" s="28"/>
      <c r="R58" s="28"/>
      <c r="S58" s="28"/>
      <c r="T58" s="28"/>
      <c r="U58" s="197"/>
      <c r="V58" s="197"/>
      <c r="W58" s="191"/>
      <c r="X58" s="191"/>
      <c r="Y58" s="191"/>
      <c r="Z58" s="191"/>
      <c r="AA58" s="191"/>
      <c r="AB58" s="191"/>
      <c r="AC58" s="191"/>
      <c r="AD58" s="199"/>
      <c r="AE58" s="191"/>
      <c r="AF58" s="191"/>
      <c r="AG58" s="191"/>
      <c r="AH58" s="191"/>
      <c r="AI58" s="191"/>
      <c r="AJ58" s="191"/>
      <c r="AK58" s="191"/>
      <c r="AL58" s="197"/>
      <c r="AM58" s="197"/>
    </row>
    <row r="59" spans="1:39" ht="18" customHeight="1" thickBot="1">
      <c r="D59" s="77"/>
      <c r="E59" s="77"/>
      <c r="F59" s="297"/>
      <c r="G59" s="895"/>
      <c r="H59" s="896"/>
      <c r="I59" s="900"/>
      <c r="J59" s="901"/>
      <c r="K59" s="13"/>
      <c r="L59" s="13"/>
      <c r="M59" s="77"/>
      <c r="N59" s="77"/>
      <c r="O59" s="28"/>
      <c r="P59" s="77"/>
      <c r="Q59" s="28"/>
      <c r="R59" s="28"/>
      <c r="S59" s="28"/>
      <c r="T59" s="28"/>
      <c r="U59" s="197"/>
      <c r="V59" s="197"/>
      <c r="W59" s="191"/>
      <c r="X59" s="191"/>
      <c r="Y59" s="191"/>
      <c r="Z59" s="191"/>
      <c r="AA59" s="191"/>
      <c r="AB59" s="191"/>
      <c r="AC59" s="191"/>
      <c r="AD59" s="199"/>
      <c r="AE59" s="191"/>
      <c r="AF59" s="191"/>
      <c r="AG59" s="191"/>
      <c r="AH59" s="191"/>
      <c r="AI59" s="191"/>
      <c r="AJ59" s="191"/>
      <c r="AK59" s="191"/>
      <c r="AL59" s="197"/>
      <c r="AM59" s="197"/>
    </row>
    <row r="60" spans="1:39" ht="18" customHeight="1">
      <c r="D60" s="77"/>
      <c r="E60" s="13"/>
      <c r="F60" s="13"/>
      <c r="G60" s="13"/>
      <c r="H60" s="13"/>
      <c r="I60" s="13"/>
      <c r="J60" s="13"/>
      <c r="K60" s="13"/>
      <c r="L60" s="13"/>
      <c r="M60" s="13"/>
      <c r="N60" s="77"/>
      <c r="O60" s="28"/>
      <c r="P60" s="77"/>
      <c r="Q60" s="28"/>
      <c r="R60" s="28"/>
      <c r="S60" s="28"/>
      <c r="T60" s="28"/>
      <c r="U60" s="28"/>
      <c r="V60" s="28"/>
      <c r="W60" s="14"/>
      <c r="X60" s="14"/>
      <c r="Y60" s="14"/>
      <c r="Z60" s="14"/>
      <c r="AA60" s="14"/>
      <c r="AB60" s="14"/>
      <c r="AC60" s="14"/>
      <c r="AD60" s="39"/>
      <c r="AE60" s="14"/>
      <c r="AF60" s="14"/>
      <c r="AG60" s="14"/>
      <c r="AH60" s="14"/>
      <c r="AI60" s="14"/>
      <c r="AJ60" s="191"/>
      <c r="AK60" s="191"/>
      <c r="AL60" s="197"/>
      <c r="AM60" s="197"/>
    </row>
    <row r="61" spans="1:39" ht="18" customHeight="1">
      <c r="D61" s="77"/>
      <c r="E61" s="13"/>
      <c r="F61" s="13"/>
      <c r="G61" s="13"/>
      <c r="H61" s="13"/>
      <c r="I61" s="13"/>
      <c r="J61" s="13"/>
      <c r="K61" s="13"/>
      <c r="L61" s="13"/>
      <c r="M61" s="13"/>
      <c r="N61" s="28"/>
      <c r="O61" s="28"/>
      <c r="P61" s="28"/>
      <c r="Q61" s="28"/>
      <c r="R61" s="28"/>
      <c r="S61" s="28"/>
      <c r="T61" s="14"/>
      <c r="U61" s="14"/>
      <c r="V61" s="14"/>
      <c r="W61" s="14"/>
      <c r="X61" s="14"/>
      <c r="Y61" s="14"/>
      <c r="Z61" s="14"/>
      <c r="AA61" s="39"/>
      <c r="AB61" s="14"/>
      <c r="AC61" s="14"/>
      <c r="AD61" s="14"/>
      <c r="AE61" s="14"/>
      <c r="AF61" s="14"/>
      <c r="AG61" s="14"/>
      <c r="AH61" s="14"/>
      <c r="AI61" s="28"/>
      <c r="AJ61" s="197"/>
    </row>
    <row r="62" spans="1:39" s="191" customFormat="1" ht="18" customHeight="1">
      <c r="A62" s="189"/>
      <c r="B62" s="189"/>
      <c r="C62" s="189"/>
      <c r="D62" s="34" t="s">
        <v>4493</v>
      </c>
      <c r="E62" s="14"/>
      <c r="F62" s="14"/>
      <c r="G62" s="14"/>
      <c r="H62" s="28"/>
      <c r="I62" s="28"/>
      <c r="J62" s="28"/>
      <c r="K62" s="28"/>
      <c r="L62" s="28"/>
      <c r="M62" s="28"/>
      <c r="N62" s="28"/>
      <c r="O62" s="28"/>
      <c r="P62" s="31"/>
      <c r="Q62" s="28"/>
      <c r="R62" s="28"/>
      <c r="S62" s="28"/>
      <c r="T62" s="32"/>
      <c r="U62" s="210"/>
      <c r="V62" s="210"/>
      <c r="W62" s="210"/>
      <c r="X62" s="210"/>
      <c r="Y62" s="210"/>
      <c r="Z62" s="212"/>
      <c r="AA62" s="211"/>
      <c r="AB62" s="209"/>
      <c r="AC62" s="209"/>
      <c r="AD62" s="209"/>
    </row>
    <row r="63" spans="1:39" s="191" customFormat="1" ht="18" customHeight="1">
      <c r="A63" s="187"/>
      <c r="B63" s="187"/>
      <c r="C63" s="188"/>
      <c r="D63" s="32"/>
      <c r="E63" s="53" t="s">
        <v>4531</v>
      </c>
      <c r="F63" s="14"/>
      <c r="G63" s="14"/>
      <c r="H63" s="14"/>
      <c r="I63" s="110"/>
      <c r="J63" s="110"/>
      <c r="K63" s="110"/>
      <c r="L63" s="110"/>
      <c r="M63" s="110"/>
      <c r="N63" s="14"/>
      <c r="O63" s="14"/>
      <c r="P63" s="31"/>
      <c r="Q63" s="31"/>
      <c r="R63" s="31"/>
      <c r="S63" s="31"/>
      <c r="T63" s="31"/>
      <c r="U63" s="200"/>
      <c r="V63" s="200"/>
      <c r="W63" s="200"/>
      <c r="X63" s="200"/>
      <c r="Y63" s="200"/>
      <c r="Z63" s="200"/>
      <c r="AA63" s="201"/>
      <c r="AB63" s="200"/>
      <c r="AC63" s="200"/>
      <c r="AD63" s="200"/>
      <c r="AE63" s="200"/>
    </row>
    <row r="64" spans="1:39" s="191" customFormat="1" ht="22.4" customHeight="1">
      <c r="A64" s="187"/>
      <c r="B64" s="187"/>
      <c r="C64" s="188">
        <v>1</v>
      </c>
      <c r="D64" s="32"/>
      <c r="E64" s="111"/>
      <c r="F64" s="99" t="s">
        <v>4285</v>
      </c>
      <c r="G64" s="99" t="s">
        <v>4278</v>
      </c>
      <c r="H64" s="31"/>
      <c r="I64" s="31"/>
      <c r="J64" s="31"/>
      <c r="K64" s="31"/>
      <c r="L64" s="14"/>
      <c r="M64" s="110"/>
      <c r="N64" s="14"/>
      <c r="O64" s="14"/>
      <c r="P64" s="31"/>
      <c r="Q64" s="31"/>
      <c r="R64" s="31"/>
      <c r="S64" s="31"/>
      <c r="T64" s="31"/>
      <c r="U64" s="200"/>
      <c r="V64" s="200"/>
      <c r="W64" s="200"/>
      <c r="X64" s="200"/>
      <c r="Y64" s="200"/>
      <c r="Z64" s="200"/>
      <c r="AA64" s="201"/>
      <c r="AB64" s="200"/>
      <c r="AC64" s="200"/>
      <c r="AD64" s="200"/>
      <c r="AE64" s="200"/>
    </row>
    <row r="65" spans="1:32" s="191" customFormat="1" ht="3" customHeight="1">
      <c r="A65" s="187"/>
      <c r="B65" s="187"/>
      <c r="C65" s="188"/>
      <c r="D65" s="32"/>
      <c r="E65" s="111"/>
      <c r="F65" s="99"/>
      <c r="G65" s="99"/>
      <c r="H65" s="31"/>
      <c r="I65" s="31"/>
      <c r="J65" s="31"/>
      <c r="K65" s="110"/>
      <c r="L65" s="59"/>
      <c r="M65" s="110"/>
      <c r="N65" s="14"/>
      <c r="O65" s="14"/>
      <c r="P65" s="31"/>
      <c r="Q65" s="31"/>
      <c r="R65" s="31"/>
      <c r="S65" s="31"/>
      <c r="T65" s="31"/>
      <c r="U65" s="200"/>
      <c r="V65" s="200"/>
      <c r="W65" s="200"/>
      <c r="X65" s="200"/>
      <c r="Y65" s="200"/>
      <c r="Z65" s="200"/>
      <c r="AA65" s="201"/>
      <c r="AB65" s="200"/>
      <c r="AC65" s="200"/>
      <c r="AD65" s="200"/>
      <c r="AE65" s="200"/>
    </row>
    <row r="66" spans="1:32" s="191" customFormat="1" ht="22.4" customHeight="1" thickBot="1">
      <c r="A66" s="187"/>
      <c r="B66" s="187"/>
      <c r="C66" s="284"/>
      <c r="D66" s="288"/>
      <c r="E66" s="14" t="str">
        <f>$AB$1+3&amp;"年度（第３年度）において、エネルギー起源二酸化炭素（CO₂）以外の温室効果ガスの排出がある場合はご入力ください。"</f>
        <v>3年度（第３年度）において、エネルギー起源二酸化炭素（CO₂）以外の温室効果ガスの排出がある場合はご入力ください。</v>
      </c>
      <c r="F66" s="14"/>
      <c r="G66" s="14"/>
      <c r="H66" s="285"/>
      <c r="I66" s="285"/>
      <c r="J66" s="285"/>
      <c r="K66" s="110"/>
      <c r="L66" s="59"/>
      <c r="M66" s="110"/>
      <c r="N66" s="14"/>
      <c r="O66" s="14"/>
      <c r="P66" s="285"/>
      <c r="Q66" s="285"/>
      <c r="R66" s="285"/>
      <c r="S66" s="285"/>
      <c r="T66" s="285"/>
      <c r="U66" s="286"/>
      <c r="V66" s="286"/>
      <c r="W66" s="286"/>
      <c r="X66" s="286"/>
      <c r="Y66" s="286"/>
      <c r="Z66" s="286"/>
      <c r="AA66" s="287"/>
      <c r="AB66" s="286"/>
      <c r="AC66" s="286"/>
      <c r="AD66" s="286"/>
      <c r="AE66" s="286"/>
    </row>
    <row r="67" spans="1:32" s="191" customFormat="1" ht="38.15" customHeight="1">
      <c r="A67" s="187"/>
      <c r="B67" s="190">
        <v>1</v>
      </c>
      <c r="D67" s="32"/>
      <c r="E67" s="164" t="s">
        <v>4220</v>
      </c>
      <c r="F67" s="162"/>
      <c r="G67" s="157" t="s">
        <v>4497</v>
      </c>
      <c r="H67" s="158"/>
      <c r="I67" s="159"/>
      <c r="J67" s="160"/>
      <c r="K67" s="165" t="s">
        <v>4287</v>
      </c>
      <c r="L67" s="157"/>
      <c r="M67" s="157"/>
      <c r="N67" s="157" t="s">
        <v>4288</v>
      </c>
      <c r="O67" s="159"/>
      <c r="P67" s="110"/>
      <c r="Q67" s="14"/>
      <c r="R67" s="14"/>
      <c r="S67" s="31"/>
      <c r="T67" s="31"/>
      <c r="U67" s="200"/>
      <c r="V67" s="200"/>
      <c r="W67" s="200"/>
      <c r="X67" s="200"/>
      <c r="Y67" s="200"/>
      <c r="Z67" s="200"/>
      <c r="AA67" s="200"/>
      <c r="AB67" s="200"/>
      <c r="AC67" s="200"/>
      <c r="AD67" s="201"/>
      <c r="AE67" s="200"/>
      <c r="AF67" s="200"/>
    </row>
    <row r="68" spans="1:32" s="191" customFormat="1" ht="18" customHeight="1">
      <c r="A68" s="187"/>
      <c r="B68" s="187"/>
      <c r="C68" s="188"/>
      <c r="D68" s="32"/>
      <c r="E68" s="61" t="s">
        <v>4498</v>
      </c>
      <c r="F68" s="62"/>
      <c r="G68" s="815"/>
      <c r="H68" s="816"/>
      <c r="I68" s="816"/>
      <c r="J68" s="816"/>
      <c r="K68" s="880"/>
      <c r="L68" s="881"/>
      <c r="M68" s="882"/>
      <c r="N68" s="902"/>
      <c r="O68" s="903"/>
      <c r="P68" s="31"/>
      <c r="Q68" s="14"/>
      <c r="R68" s="14"/>
      <c r="S68" s="31"/>
      <c r="T68" s="31"/>
      <c r="U68" s="200"/>
      <c r="V68" s="200"/>
      <c r="W68" s="200"/>
      <c r="X68" s="200"/>
      <c r="Y68" s="200"/>
      <c r="Z68" s="200"/>
      <c r="AA68" s="200"/>
      <c r="AB68" s="200"/>
      <c r="AC68" s="200"/>
      <c r="AD68" s="201"/>
      <c r="AE68" s="200"/>
      <c r="AF68" s="200"/>
    </row>
    <row r="69" spans="1:32" s="191" customFormat="1" ht="18" customHeight="1">
      <c r="A69" s="187"/>
      <c r="B69" s="187"/>
      <c r="C69" s="188"/>
      <c r="D69" s="32"/>
      <c r="E69" s="63" t="s">
        <v>4171</v>
      </c>
      <c r="F69" s="64"/>
      <c r="G69" s="869"/>
      <c r="H69" s="870"/>
      <c r="I69" s="870"/>
      <c r="J69" s="870"/>
      <c r="K69" s="855"/>
      <c r="L69" s="856"/>
      <c r="M69" s="857"/>
      <c r="N69" s="878"/>
      <c r="O69" s="879"/>
      <c r="P69" s="31"/>
      <c r="Q69" s="14"/>
      <c r="R69" s="14"/>
      <c r="S69" s="31"/>
      <c r="T69" s="31"/>
      <c r="U69" s="200"/>
      <c r="V69" s="200"/>
      <c r="W69" s="200"/>
      <c r="X69" s="200"/>
      <c r="Y69" s="200"/>
      <c r="Z69" s="200"/>
      <c r="AA69" s="200"/>
      <c r="AB69" s="200"/>
      <c r="AC69" s="200"/>
      <c r="AD69" s="201"/>
      <c r="AE69" s="200"/>
      <c r="AF69" s="200"/>
    </row>
    <row r="70" spans="1:32" s="191" customFormat="1" ht="18" customHeight="1">
      <c r="A70" s="187"/>
      <c r="B70" s="187"/>
      <c r="C70" s="188"/>
      <c r="D70" s="32"/>
      <c r="E70" s="63" t="s">
        <v>4172</v>
      </c>
      <c r="F70" s="64"/>
      <c r="G70" s="869"/>
      <c r="H70" s="870"/>
      <c r="I70" s="870"/>
      <c r="J70" s="870"/>
      <c r="K70" s="855"/>
      <c r="L70" s="856"/>
      <c r="M70" s="857"/>
      <c r="N70" s="878"/>
      <c r="O70" s="879"/>
      <c r="P70" s="31"/>
      <c r="Q70" s="31"/>
      <c r="R70" s="31"/>
      <c r="S70" s="31"/>
      <c r="T70" s="31"/>
      <c r="U70" s="200"/>
      <c r="V70" s="200"/>
      <c r="W70" s="200"/>
      <c r="X70" s="200"/>
      <c r="Y70" s="200"/>
      <c r="Z70" s="200"/>
      <c r="AA70" s="200"/>
      <c r="AB70" s="200"/>
      <c r="AC70" s="200"/>
      <c r="AD70" s="201"/>
      <c r="AE70" s="200"/>
      <c r="AF70" s="200"/>
    </row>
    <row r="71" spans="1:32" s="191" customFormat="1" ht="18" customHeight="1">
      <c r="A71" s="187"/>
      <c r="B71" s="187"/>
      <c r="C71" s="188"/>
      <c r="D71" s="32"/>
      <c r="E71" s="63" t="s">
        <v>95</v>
      </c>
      <c r="F71" s="64"/>
      <c r="G71" s="869"/>
      <c r="H71" s="870"/>
      <c r="I71" s="870"/>
      <c r="J71" s="870"/>
      <c r="K71" s="855"/>
      <c r="L71" s="856"/>
      <c r="M71" s="857"/>
      <c r="N71" s="878"/>
      <c r="O71" s="879"/>
      <c r="P71" s="31"/>
      <c r="Q71" s="31"/>
      <c r="R71" s="31"/>
      <c r="S71" s="31"/>
      <c r="T71" s="31"/>
      <c r="U71" s="200"/>
      <c r="V71" s="200"/>
      <c r="W71" s="200"/>
      <c r="X71" s="200"/>
      <c r="Y71" s="200"/>
      <c r="Z71" s="200"/>
      <c r="AA71" s="200"/>
      <c r="AB71" s="200"/>
      <c r="AC71" s="200"/>
      <c r="AD71" s="201"/>
      <c r="AE71" s="200"/>
      <c r="AF71" s="200"/>
    </row>
    <row r="72" spans="1:32" s="191" customFormat="1" ht="18" customHeight="1">
      <c r="A72" s="187"/>
      <c r="B72" s="187"/>
      <c r="C72" s="188"/>
      <c r="D72" s="32"/>
      <c r="E72" s="63" t="s">
        <v>96</v>
      </c>
      <c r="F72" s="64"/>
      <c r="G72" s="869"/>
      <c r="H72" s="870"/>
      <c r="I72" s="870"/>
      <c r="J72" s="870"/>
      <c r="K72" s="855"/>
      <c r="L72" s="856"/>
      <c r="M72" s="857"/>
      <c r="N72" s="878"/>
      <c r="O72" s="879"/>
      <c r="P72" s="31"/>
      <c r="Q72" s="31"/>
      <c r="R72" s="31"/>
      <c r="S72" s="31"/>
      <c r="T72" s="31"/>
      <c r="U72" s="200"/>
      <c r="V72" s="200"/>
      <c r="W72" s="200"/>
      <c r="X72" s="200"/>
      <c r="Y72" s="200"/>
      <c r="Z72" s="200"/>
      <c r="AA72" s="200"/>
      <c r="AB72" s="200"/>
      <c r="AC72" s="200"/>
      <c r="AD72" s="201"/>
      <c r="AE72" s="200"/>
      <c r="AF72" s="200"/>
    </row>
    <row r="73" spans="1:32" s="191" customFormat="1" ht="18" customHeight="1">
      <c r="A73" s="187"/>
      <c r="B73" s="187"/>
      <c r="C73" s="188"/>
      <c r="D73" s="32"/>
      <c r="E73" s="63" t="s">
        <v>4173</v>
      </c>
      <c r="F73" s="64"/>
      <c r="G73" s="869"/>
      <c r="H73" s="870"/>
      <c r="I73" s="870"/>
      <c r="J73" s="870"/>
      <c r="K73" s="855"/>
      <c r="L73" s="856"/>
      <c r="M73" s="857"/>
      <c r="N73" s="878"/>
      <c r="O73" s="879"/>
      <c r="P73" s="31"/>
      <c r="Q73" s="31"/>
      <c r="R73" s="31"/>
      <c r="S73" s="31"/>
      <c r="T73" s="31"/>
      <c r="U73" s="200"/>
      <c r="V73" s="200"/>
      <c r="W73" s="200"/>
      <c r="X73" s="200"/>
      <c r="Y73" s="200"/>
      <c r="Z73" s="200"/>
      <c r="AA73" s="200"/>
      <c r="AB73" s="200"/>
      <c r="AC73" s="200"/>
      <c r="AD73" s="201"/>
      <c r="AE73" s="200"/>
      <c r="AF73" s="200"/>
    </row>
    <row r="74" spans="1:32" s="191" customFormat="1" ht="18" customHeight="1" thickBot="1">
      <c r="A74" s="187"/>
      <c r="B74" s="187"/>
      <c r="C74" s="188"/>
      <c r="D74" s="32"/>
      <c r="E74" s="65" t="s">
        <v>4174</v>
      </c>
      <c r="F74" s="66"/>
      <c r="G74" s="838"/>
      <c r="H74" s="839"/>
      <c r="I74" s="839"/>
      <c r="J74" s="839"/>
      <c r="K74" s="810"/>
      <c r="L74" s="811"/>
      <c r="M74" s="812"/>
      <c r="N74" s="813"/>
      <c r="O74" s="814"/>
      <c r="P74" s="31"/>
      <c r="Q74" s="31"/>
      <c r="R74" s="31"/>
      <c r="S74" s="31"/>
      <c r="T74" s="31"/>
      <c r="U74" s="200"/>
      <c r="V74" s="200"/>
      <c r="W74" s="200"/>
      <c r="X74" s="200"/>
      <c r="Y74" s="200"/>
      <c r="Z74" s="200"/>
      <c r="AA74" s="200"/>
      <c r="AB74" s="200"/>
      <c r="AC74" s="200"/>
      <c r="AD74" s="201"/>
      <c r="AE74" s="200"/>
      <c r="AF74" s="200"/>
    </row>
    <row r="75" spans="1:32" s="191" customFormat="1" ht="18" customHeight="1">
      <c r="A75" s="187"/>
      <c r="B75" s="187"/>
      <c r="C75" s="188"/>
      <c r="D75" s="32"/>
      <c r="E75" s="28"/>
      <c r="F75" s="28"/>
      <c r="G75" s="28"/>
      <c r="H75" s="28"/>
      <c r="I75" s="31"/>
      <c r="J75" s="31"/>
      <c r="K75" s="31"/>
      <c r="L75" s="31"/>
      <c r="M75" s="31"/>
      <c r="N75" s="31"/>
      <c r="O75" s="29" t="s">
        <v>4375</v>
      </c>
      <c r="P75" s="31"/>
      <c r="Q75" s="31"/>
      <c r="R75" s="31"/>
      <c r="S75" s="31"/>
      <c r="T75" s="31"/>
      <c r="U75" s="200"/>
      <c r="V75" s="200"/>
      <c r="W75" s="200"/>
      <c r="X75" s="200"/>
      <c r="Y75" s="200"/>
      <c r="Z75" s="200"/>
      <c r="AA75" s="201"/>
      <c r="AB75" s="200"/>
      <c r="AC75" s="200"/>
    </row>
    <row r="76" spans="1:32" s="191" customFormat="1" ht="18" customHeight="1">
      <c r="A76" s="187"/>
      <c r="B76" s="187"/>
      <c r="C76" s="188"/>
      <c r="D76" s="32"/>
      <c r="E76" s="28"/>
      <c r="F76" s="28"/>
      <c r="G76" s="28"/>
      <c r="H76" s="28"/>
      <c r="I76" s="31"/>
      <c r="J76" s="31"/>
      <c r="K76" s="31"/>
      <c r="L76" s="31"/>
      <c r="M76" s="31"/>
      <c r="N76" s="31"/>
      <c r="O76" s="31"/>
      <c r="P76" s="31"/>
      <c r="Q76" s="31"/>
      <c r="R76" s="31"/>
      <c r="S76" s="31"/>
      <c r="T76" s="31"/>
      <c r="U76" s="200"/>
      <c r="V76" s="200"/>
      <c r="W76" s="200"/>
      <c r="X76" s="200"/>
      <c r="Y76" s="200"/>
      <c r="Z76" s="200"/>
      <c r="AA76" s="201"/>
      <c r="AB76" s="200"/>
      <c r="AC76" s="200"/>
    </row>
    <row r="77" spans="1:32" s="191" customFormat="1" ht="18" customHeight="1">
      <c r="A77" s="187"/>
      <c r="B77" s="187"/>
      <c r="C77" s="188"/>
      <c r="D77" s="34" t="s">
        <v>4230</v>
      </c>
      <c r="E77" s="14"/>
      <c r="F77" s="14"/>
      <c r="G77" s="105"/>
      <c r="H77" s="105"/>
      <c r="I77" s="112"/>
      <c r="J77" s="112"/>
      <c r="K77" s="31"/>
      <c r="L77" s="31"/>
      <c r="M77" s="31"/>
      <c r="N77" s="31"/>
      <c r="O77" s="31"/>
      <c r="P77" s="31"/>
      <c r="Q77" s="31"/>
      <c r="R77" s="31"/>
      <c r="S77" s="31"/>
      <c r="T77" s="31"/>
      <c r="U77" s="200"/>
      <c r="V77" s="200"/>
      <c r="W77" s="200"/>
      <c r="X77" s="200"/>
      <c r="Y77" s="200"/>
      <c r="Z77" s="200"/>
      <c r="AA77" s="201"/>
      <c r="AB77" s="200"/>
      <c r="AC77" s="200"/>
      <c r="AD77" s="200"/>
      <c r="AE77" s="200"/>
    </row>
    <row r="78" spans="1:32" s="191" customFormat="1" ht="18" customHeight="1">
      <c r="A78" s="187"/>
      <c r="B78" s="187"/>
      <c r="C78" s="188"/>
      <c r="D78" s="32"/>
      <c r="E78" s="16" t="s">
        <v>4302</v>
      </c>
      <c r="F78" s="14"/>
      <c r="G78" s="14"/>
      <c r="H78" s="14"/>
      <c r="I78" s="14"/>
      <c r="J78" s="14"/>
      <c r="K78" s="14"/>
      <c r="L78" s="14"/>
      <c r="M78" s="14"/>
      <c r="N78" s="14"/>
      <c r="O78" s="14"/>
      <c r="P78" s="31"/>
      <c r="Q78" s="31"/>
      <c r="R78" s="31"/>
      <c r="S78" s="31"/>
      <c r="T78" s="31"/>
      <c r="U78" s="200"/>
      <c r="V78" s="200"/>
      <c r="W78" s="200"/>
      <c r="X78" s="200"/>
      <c r="Y78" s="200"/>
      <c r="Z78" s="200"/>
      <c r="AA78" s="201"/>
      <c r="AB78" s="200"/>
      <c r="AC78" s="200"/>
      <c r="AD78" s="200"/>
      <c r="AE78" s="200"/>
    </row>
    <row r="79" spans="1:32" s="191" customFormat="1" ht="22.4" customHeight="1">
      <c r="A79" s="187"/>
      <c r="B79" s="187"/>
      <c r="C79" s="188"/>
      <c r="D79" s="14"/>
      <c r="E79" s="14"/>
      <c r="F79" s="99" t="s">
        <v>4285</v>
      </c>
      <c r="G79" s="99" t="s">
        <v>4278</v>
      </c>
      <c r="H79" s="14"/>
      <c r="I79" s="14"/>
      <c r="J79" s="14"/>
      <c r="K79" s="79"/>
      <c r="L79" s="14"/>
      <c r="M79" s="14"/>
      <c r="N79" s="14"/>
      <c r="O79" s="14"/>
      <c r="P79" s="31"/>
      <c r="Q79" s="31"/>
      <c r="R79" s="31"/>
      <c r="S79" s="31"/>
      <c r="T79" s="31"/>
      <c r="U79" s="200"/>
      <c r="V79" s="200"/>
      <c r="W79" s="200"/>
      <c r="X79" s="200"/>
      <c r="Y79" s="200"/>
      <c r="Z79" s="200"/>
      <c r="AA79" s="201"/>
      <c r="AB79" s="200"/>
      <c r="AC79" s="200"/>
      <c r="AD79" s="200"/>
      <c r="AE79" s="200"/>
    </row>
    <row r="80" spans="1:32" s="191" customFormat="1" ht="3" customHeight="1">
      <c r="A80" s="187"/>
      <c r="B80" s="187"/>
      <c r="C80" s="188"/>
      <c r="D80" s="14"/>
      <c r="E80" s="14"/>
      <c r="F80" s="99"/>
      <c r="G80" s="99"/>
      <c r="H80" s="14"/>
      <c r="I80" s="14"/>
      <c r="J80" s="14"/>
      <c r="K80" s="79"/>
      <c r="L80" s="14"/>
      <c r="M80" s="14"/>
      <c r="N80" s="14"/>
      <c r="O80" s="14"/>
      <c r="P80" s="31"/>
      <c r="Q80" s="31"/>
      <c r="R80" s="31"/>
      <c r="S80" s="31"/>
      <c r="T80" s="31"/>
      <c r="U80" s="200"/>
      <c r="V80" s="200"/>
      <c r="W80" s="200"/>
      <c r="X80" s="200"/>
      <c r="Y80" s="200"/>
      <c r="Z80" s="200"/>
      <c r="AA80" s="201"/>
      <c r="AB80" s="200"/>
      <c r="AC80" s="200"/>
      <c r="AD80" s="200"/>
      <c r="AE80" s="200"/>
    </row>
    <row r="81" spans="1:49" s="191" customFormat="1" ht="22.4" customHeight="1">
      <c r="A81" s="187"/>
      <c r="B81" s="187"/>
      <c r="C81" s="284"/>
      <c r="D81" s="14"/>
      <c r="E81" s="14" t="str">
        <f>$AB$1+3&amp;"年度（第３年度）において、クレジット等による排出量の削減を行った場合はご入力ください。"</f>
        <v>3年度（第３年度）において、クレジット等による排出量の削減を行った場合はご入力ください。</v>
      </c>
      <c r="F81" s="14"/>
      <c r="G81" s="14"/>
      <c r="H81" s="14"/>
      <c r="I81" s="14"/>
      <c r="J81" s="14"/>
      <c r="K81" s="97"/>
      <c r="L81" s="14"/>
      <c r="M81" s="14"/>
      <c r="N81" s="14"/>
      <c r="O81" s="14"/>
      <c r="P81" s="285"/>
      <c r="Q81" s="285"/>
      <c r="R81" s="285"/>
      <c r="S81" s="285"/>
      <c r="T81" s="285"/>
      <c r="U81" s="286"/>
      <c r="V81" s="286"/>
      <c r="W81" s="286"/>
      <c r="X81" s="286"/>
      <c r="Y81" s="286"/>
      <c r="Z81" s="286"/>
      <c r="AA81" s="287"/>
      <c r="AB81" s="286"/>
      <c r="AC81" s="286"/>
      <c r="AD81" s="286"/>
      <c r="AE81" s="286"/>
    </row>
    <row r="82" spans="1:49" s="191" customFormat="1" ht="22.25" customHeight="1">
      <c r="A82" s="187"/>
      <c r="B82" s="187"/>
      <c r="C82" s="284"/>
      <c r="D82" s="14"/>
      <c r="E82" s="863" t="s">
        <v>4303</v>
      </c>
      <c r="F82" s="863"/>
      <c r="G82" s="863"/>
      <c r="H82" s="863"/>
      <c r="I82" s="863"/>
      <c r="J82" s="863"/>
      <c r="K82" s="863"/>
      <c r="L82" s="14"/>
      <c r="M82" s="14"/>
      <c r="N82" s="14"/>
      <c r="O82" s="14"/>
      <c r="P82" s="285"/>
      <c r="Q82" s="285"/>
      <c r="R82" s="285"/>
      <c r="S82" s="285"/>
      <c r="T82" s="113"/>
      <c r="U82" s="286"/>
      <c r="V82" s="286"/>
      <c r="W82" s="286"/>
      <c r="X82" s="286"/>
      <c r="Y82" s="286"/>
      <c r="Z82" s="286"/>
      <c r="AA82" s="287"/>
      <c r="AB82" s="286"/>
      <c r="AC82" s="286"/>
      <c r="AD82" s="286"/>
      <c r="AE82" s="286"/>
    </row>
    <row r="83" spans="1:49" s="191" customFormat="1" ht="22.25" customHeight="1" thickBot="1">
      <c r="A83" s="187"/>
      <c r="B83" s="187"/>
      <c r="C83" s="284"/>
      <c r="D83" s="23"/>
      <c r="E83" s="14" t="s">
        <v>4367</v>
      </c>
      <c r="F83"/>
      <c r="G83"/>
      <c r="H83"/>
      <c r="I83"/>
      <c r="J83"/>
      <c r="K83"/>
      <c r="L83"/>
      <c r="M83"/>
      <c r="N83" s="285"/>
      <c r="O83" s="285"/>
      <c r="P83" s="285"/>
      <c r="Q83" s="285"/>
      <c r="R83" s="285"/>
      <c r="S83" s="285"/>
      <c r="T83" s="285"/>
      <c r="U83" s="286"/>
      <c r="V83" s="286"/>
      <c r="W83" s="286"/>
      <c r="X83" s="286"/>
      <c r="Y83" s="286"/>
      <c r="Z83" s="286"/>
      <c r="AA83" s="286"/>
      <c r="AB83" s="287"/>
      <c r="AC83" s="286"/>
      <c r="AD83" s="286"/>
    </row>
    <row r="84" spans="1:49" s="191" customFormat="1" ht="38" customHeight="1">
      <c r="A84" s="187"/>
      <c r="B84" s="187"/>
      <c r="C84" s="188"/>
      <c r="D84" s="32"/>
      <c r="E84" s="840" t="s">
        <v>4221</v>
      </c>
      <c r="F84" s="841"/>
      <c r="G84" s="864" t="s">
        <v>4527</v>
      </c>
      <c r="H84" s="865"/>
      <c r="I84" s="866"/>
      <c r="J84" s="31"/>
      <c r="K84" s="31"/>
      <c r="L84" s="31"/>
      <c r="M84" s="31"/>
      <c r="N84" s="14"/>
      <c r="O84" s="31"/>
      <c r="P84" s="31"/>
      <c r="Q84" s="31"/>
      <c r="R84" s="31"/>
      <c r="S84" s="31"/>
      <c r="T84" s="31"/>
      <c r="U84" s="200"/>
      <c r="V84" s="200"/>
      <c r="W84" s="200"/>
      <c r="X84" s="200"/>
      <c r="Y84" s="200"/>
      <c r="Z84" s="200"/>
      <c r="AA84" s="200"/>
      <c r="AB84" s="201"/>
      <c r="AC84" s="200"/>
      <c r="AD84" s="200"/>
    </row>
    <row r="85" spans="1:49" s="191" customFormat="1" ht="18" customHeight="1">
      <c r="A85" s="187"/>
      <c r="B85" s="187"/>
      <c r="C85" s="188"/>
      <c r="D85" s="32"/>
      <c r="E85" s="867"/>
      <c r="F85" s="868"/>
      <c r="G85" s="815"/>
      <c r="H85" s="816"/>
      <c r="I85" s="817"/>
      <c r="J85" s="31"/>
      <c r="K85" s="31"/>
      <c r="L85" s="31"/>
      <c r="M85" s="31"/>
      <c r="N85" s="31"/>
      <c r="O85" s="31"/>
      <c r="P85" s="31"/>
      <c r="Q85" s="31"/>
      <c r="R85" s="31"/>
      <c r="S85" s="31"/>
      <c r="T85" s="31"/>
      <c r="U85" s="200"/>
      <c r="V85" s="200"/>
      <c r="W85" s="200"/>
      <c r="X85" s="200"/>
      <c r="Y85" s="200"/>
      <c r="Z85" s="200"/>
      <c r="AA85" s="200"/>
      <c r="AB85" s="201"/>
      <c r="AC85" s="200"/>
      <c r="AD85" s="200"/>
    </row>
    <row r="86" spans="1:49" s="191" customFormat="1" ht="18" customHeight="1">
      <c r="A86" s="187"/>
      <c r="B86" s="187"/>
      <c r="C86" s="188"/>
      <c r="D86" s="32"/>
      <c r="E86" s="861"/>
      <c r="F86" s="862"/>
      <c r="G86" s="869"/>
      <c r="H86" s="870"/>
      <c r="I86" s="871"/>
      <c r="J86" s="31"/>
      <c r="K86" s="31"/>
      <c r="L86" s="31"/>
      <c r="M86" s="31"/>
      <c r="N86" s="31"/>
      <c r="O86" s="31"/>
      <c r="P86" s="31"/>
      <c r="Q86" s="31"/>
      <c r="R86" s="31"/>
      <c r="S86" s="31"/>
      <c r="T86" s="31"/>
      <c r="U86" s="200"/>
      <c r="V86" s="200"/>
      <c r="W86" s="200"/>
      <c r="X86" s="200"/>
      <c r="Y86" s="200"/>
      <c r="Z86" s="200"/>
      <c r="AA86" s="200"/>
      <c r="AB86" s="201"/>
      <c r="AC86" s="200"/>
      <c r="AD86" s="200"/>
    </row>
    <row r="87" spans="1:49" s="191" customFormat="1" ht="18" customHeight="1">
      <c r="A87" s="187"/>
      <c r="B87" s="187"/>
      <c r="C87" s="188"/>
      <c r="D87" s="32"/>
      <c r="E87" s="861"/>
      <c r="F87" s="862"/>
      <c r="G87" s="869"/>
      <c r="H87" s="870"/>
      <c r="I87" s="871"/>
      <c r="J87" s="31"/>
      <c r="K87" s="31"/>
      <c r="L87" s="31"/>
      <c r="M87" s="31"/>
      <c r="N87" s="31"/>
      <c r="O87" s="31"/>
      <c r="P87" s="31"/>
      <c r="Q87" s="31"/>
      <c r="R87" s="31"/>
      <c r="S87" s="31"/>
      <c r="T87" s="31"/>
      <c r="U87" s="200"/>
      <c r="V87" s="200"/>
      <c r="W87" s="200"/>
      <c r="X87" s="200"/>
      <c r="Y87" s="200"/>
      <c r="Z87" s="200"/>
      <c r="AA87" s="200"/>
      <c r="AB87" s="201"/>
      <c r="AC87" s="200"/>
      <c r="AD87" s="200"/>
    </row>
    <row r="88" spans="1:49" s="191" customFormat="1" ht="18" customHeight="1">
      <c r="A88" s="187"/>
      <c r="B88" s="187"/>
      <c r="C88" s="188"/>
      <c r="D88" s="32"/>
      <c r="E88" s="861"/>
      <c r="F88" s="862"/>
      <c r="G88" s="869"/>
      <c r="H88" s="870"/>
      <c r="I88" s="871"/>
      <c r="J88" s="31"/>
      <c r="K88" s="31"/>
      <c r="L88" s="31"/>
      <c r="M88" s="31"/>
      <c r="N88" s="31"/>
      <c r="O88" s="31"/>
      <c r="P88" s="31"/>
      <c r="Q88" s="31"/>
      <c r="R88" s="31"/>
      <c r="S88" s="31"/>
      <c r="T88" s="31"/>
      <c r="U88" s="200"/>
      <c r="V88" s="200"/>
      <c r="W88" s="200"/>
      <c r="X88" s="200"/>
      <c r="Y88" s="200"/>
      <c r="Z88" s="200"/>
      <c r="AA88" s="200"/>
      <c r="AB88" s="201"/>
      <c r="AC88" s="200"/>
      <c r="AD88" s="200"/>
    </row>
    <row r="89" spans="1:49" s="191" customFormat="1" ht="18" customHeight="1">
      <c r="A89" s="187"/>
      <c r="B89" s="187"/>
      <c r="C89" s="188"/>
      <c r="D89" s="32"/>
      <c r="E89" s="861"/>
      <c r="F89" s="862"/>
      <c r="G89" s="869"/>
      <c r="H89" s="870"/>
      <c r="I89" s="871"/>
      <c r="J89" s="31"/>
      <c r="K89" s="31"/>
      <c r="L89" s="31"/>
      <c r="M89" s="31"/>
      <c r="N89" s="31"/>
      <c r="O89" s="31"/>
      <c r="P89" s="31"/>
      <c r="Q89" s="31"/>
      <c r="R89" s="31"/>
      <c r="S89" s="31"/>
      <c r="T89" s="31"/>
      <c r="U89" s="200"/>
      <c r="V89" s="200"/>
      <c r="W89" s="200"/>
      <c r="X89" s="200"/>
      <c r="Y89" s="200"/>
      <c r="Z89" s="200"/>
      <c r="AA89" s="200"/>
      <c r="AB89" s="201"/>
      <c r="AC89" s="200"/>
      <c r="AD89" s="200"/>
    </row>
    <row r="90" spans="1:49" s="191" customFormat="1" ht="18" customHeight="1">
      <c r="A90" s="187"/>
      <c r="B90" s="187"/>
      <c r="C90" s="188"/>
      <c r="D90" s="32"/>
      <c r="E90" s="861"/>
      <c r="F90" s="862"/>
      <c r="G90" s="869"/>
      <c r="H90" s="870"/>
      <c r="I90" s="871"/>
      <c r="J90" s="31"/>
      <c r="K90" s="31"/>
      <c r="L90" s="31"/>
      <c r="M90" s="31"/>
      <c r="N90" s="31"/>
      <c r="O90" s="31"/>
      <c r="P90" s="31"/>
      <c r="Q90" s="31"/>
      <c r="R90" s="31"/>
      <c r="S90" s="31"/>
      <c r="T90" s="31"/>
      <c r="U90" s="200"/>
      <c r="V90" s="200"/>
      <c r="W90" s="200"/>
      <c r="X90" s="200"/>
      <c r="Y90" s="200"/>
      <c r="Z90" s="200"/>
      <c r="AA90" s="200"/>
      <c r="AB90" s="201"/>
      <c r="AC90" s="200"/>
      <c r="AD90" s="200"/>
    </row>
    <row r="91" spans="1:49" s="191" customFormat="1" ht="18" customHeight="1" thickBot="1">
      <c r="A91" s="187"/>
      <c r="B91" s="187"/>
      <c r="C91" s="188"/>
      <c r="D91" s="32"/>
      <c r="E91" s="859"/>
      <c r="F91" s="860"/>
      <c r="G91" s="838"/>
      <c r="H91" s="839"/>
      <c r="I91" s="858"/>
      <c r="J91" s="31"/>
      <c r="K91" s="31"/>
      <c r="L91" s="31"/>
      <c r="M91" s="31"/>
      <c r="N91" s="31"/>
      <c r="O91" s="31"/>
      <c r="P91" s="31"/>
      <c r="Q91" s="31"/>
      <c r="R91" s="31"/>
      <c r="S91" s="31"/>
      <c r="T91" s="31"/>
      <c r="U91" s="200"/>
      <c r="V91" s="200"/>
      <c r="W91" s="200"/>
      <c r="X91" s="200"/>
      <c r="Y91" s="200"/>
      <c r="Z91" s="200"/>
      <c r="AA91" s="201"/>
      <c r="AB91" s="200"/>
      <c r="AC91" s="200"/>
    </row>
    <row r="92" spans="1:49" s="191" customFormat="1" ht="36" customHeight="1">
      <c r="A92" s="187"/>
      <c r="B92" s="187"/>
      <c r="C92" s="188"/>
      <c r="D92" s="32"/>
      <c r="E92" s="31"/>
      <c r="F92" s="31"/>
      <c r="G92" s="31"/>
      <c r="H92" s="31"/>
      <c r="I92" s="31"/>
      <c r="J92" s="31"/>
      <c r="K92" s="31"/>
      <c r="L92" s="31"/>
      <c r="M92" s="31"/>
      <c r="N92" s="31"/>
      <c r="O92" s="31"/>
      <c r="P92" s="31"/>
      <c r="Q92" s="31"/>
      <c r="R92" s="31"/>
      <c r="S92" s="31"/>
      <c r="T92" s="31"/>
      <c r="U92" s="200"/>
      <c r="V92" s="200"/>
      <c r="W92" s="200"/>
      <c r="X92" s="200"/>
      <c r="Y92" s="200"/>
      <c r="Z92" s="200"/>
      <c r="AA92" s="201"/>
      <c r="AB92" s="200"/>
      <c r="AC92" s="200"/>
      <c r="AD92" s="200"/>
      <c r="AE92" s="200"/>
    </row>
    <row r="93" spans="1:49" s="191" customFormat="1" ht="18" customHeight="1">
      <c r="A93" s="187"/>
      <c r="B93" s="187"/>
      <c r="C93" s="188"/>
      <c r="D93" s="52" t="s">
        <v>4345</v>
      </c>
      <c r="E93" s="14"/>
      <c r="F93" s="14"/>
      <c r="G93" s="14"/>
      <c r="H93" s="14"/>
      <c r="I93" s="14"/>
      <c r="J93" s="14"/>
      <c r="K93" s="14"/>
      <c r="L93" s="14"/>
      <c r="M93" s="14"/>
      <c r="N93" s="14"/>
      <c r="O93" s="14"/>
      <c r="P93" s="14"/>
      <c r="Q93" s="14"/>
      <c r="R93" s="14"/>
      <c r="S93" s="31"/>
      <c r="T93" s="31"/>
      <c r="U93" s="200"/>
      <c r="V93" s="200"/>
      <c r="W93" s="200"/>
      <c r="X93" s="200"/>
      <c r="Y93" s="200"/>
      <c r="Z93" s="200"/>
      <c r="AA93" s="201"/>
      <c r="AB93" s="200"/>
      <c r="AC93" s="200"/>
      <c r="AD93" s="200"/>
    </row>
    <row r="94" spans="1:49" s="191" customFormat="1" ht="18" customHeight="1" thickBot="1">
      <c r="A94" s="187"/>
      <c r="B94" s="187"/>
      <c r="C94" s="188"/>
      <c r="D94" s="32"/>
      <c r="E94" s="16" t="s">
        <v>4252</v>
      </c>
      <c r="F94" s="14"/>
      <c r="G94" s="14"/>
      <c r="H94" s="14"/>
      <c r="I94" s="79"/>
      <c r="J94" s="14"/>
      <c r="K94" s="14"/>
      <c r="L94" s="14"/>
      <c r="M94" s="14"/>
      <c r="N94" s="14"/>
      <c r="O94" s="803"/>
      <c r="P94" s="803"/>
      <c r="Q94" s="803"/>
      <c r="R94" s="31"/>
      <c r="S94" s="31"/>
      <c r="T94" s="31"/>
      <c r="U94" s="200"/>
      <c r="V94" s="200"/>
      <c r="AA94" s="199"/>
    </row>
    <row r="95" spans="1:49" s="191" customFormat="1" ht="38.15" customHeight="1">
      <c r="A95" s="187"/>
      <c r="B95" s="187"/>
      <c r="C95" s="188"/>
      <c r="D95" s="32"/>
      <c r="E95" s="164" t="s">
        <v>100</v>
      </c>
      <c r="F95" s="246"/>
      <c r="G95" s="247"/>
      <c r="H95" s="247"/>
      <c r="I95" s="247"/>
      <c r="J95" s="31"/>
      <c r="K95" s="31"/>
      <c r="L95" s="31"/>
      <c r="M95" s="31"/>
      <c r="N95" s="31"/>
      <c r="O95" s="31"/>
      <c r="P95" s="14"/>
      <c r="Q95" s="31"/>
      <c r="R95" s="31"/>
      <c r="S95" s="31"/>
      <c r="T95" s="31"/>
      <c r="U95" s="200"/>
      <c r="V95" s="200"/>
      <c r="W95" s="200"/>
      <c r="X95" s="200"/>
      <c r="Y95" s="200"/>
      <c r="Z95" s="200"/>
      <c r="AA95" s="200"/>
      <c r="AB95" s="201"/>
      <c r="AC95" s="200"/>
      <c r="AD95" s="200"/>
      <c r="AW95" s="187"/>
    </row>
    <row r="96" spans="1:49" s="191" customFormat="1" ht="18" customHeight="1">
      <c r="A96" s="187"/>
      <c r="B96" s="187"/>
      <c r="C96" s="188"/>
      <c r="D96" s="32"/>
      <c r="E96" s="71" t="s">
        <v>67</v>
      </c>
      <c r="F96" s="72"/>
      <c r="G96" s="948" t="str">
        <f>'入力シート（計画書）'!G96&amp;""</f>
        <v/>
      </c>
      <c r="H96" s="949"/>
      <c r="I96" s="950"/>
      <c r="J96" s="31"/>
      <c r="K96" s="31"/>
      <c r="L96" s="31"/>
      <c r="M96" s="31"/>
      <c r="N96" s="31"/>
      <c r="O96" s="31"/>
      <c r="P96" s="31"/>
      <c r="Q96" s="31"/>
      <c r="R96" s="31"/>
      <c r="S96" s="31"/>
      <c r="T96" s="31"/>
      <c r="U96" s="200"/>
      <c r="V96" s="200"/>
      <c r="W96" s="200"/>
      <c r="X96" s="200"/>
      <c r="Y96" s="200"/>
      <c r="Z96" s="200"/>
      <c r="AA96" s="200"/>
      <c r="AB96" s="201"/>
      <c r="AC96" s="200"/>
      <c r="AD96" s="200"/>
    </row>
    <row r="97" spans="1:34" s="191" customFormat="1" ht="18" customHeight="1">
      <c r="A97" s="187"/>
      <c r="B97" s="187"/>
      <c r="C97" s="188"/>
      <c r="D97" s="32"/>
      <c r="E97" s="73" t="s">
        <v>103</v>
      </c>
      <c r="F97" s="74"/>
      <c r="G97" s="945" t="str">
        <f>'入力シート（計画書）'!G97&amp;""</f>
        <v/>
      </c>
      <c r="H97" s="946"/>
      <c r="I97" s="947"/>
      <c r="J97" s="31"/>
      <c r="K97" s="31"/>
      <c r="L97" s="31"/>
      <c r="M97" s="31"/>
      <c r="N97" s="31"/>
      <c r="O97" s="31"/>
      <c r="P97" s="14"/>
      <c r="Q97" s="14"/>
      <c r="R97" s="31"/>
      <c r="S97" s="31"/>
      <c r="T97" s="31"/>
      <c r="U97" s="200"/>
      <c r="V97" s="200"/>
      <c r="W97" s="200"/>
      <c r="X97" s="200"/>
      <c r="Y97" s="200"/>
      <c r="Z97" s="200"/>
      <c r="AA97" s="200"/>
      <c r="AB97" s="201"/>
      <c r="AC97" s="200"/>
      <c r="AD97" s="200"/>
    </row>
    <row r="98" spans="1:34" s="191" customFormat="1" ht="18" customHeight="1" thickBot="1">
      <c r="A98" s="187"/>
      <c r="B98" s="187"/>
      <c r="C98" s="188"/>
      <c r="D98" s="32"/>
      <c r="E98" s="75" t="s">
        <v>102</v>
      </c>
      <c r="F98" s="76"/>
      <c r="G98" s="842"/>
      <c r="H98" s="843"/>
      <c r="I98" s="844"/>
      <c r="J98" s="14" t="str">
        <f>"　←"&amp;$AB$1+3&amp;"年度（第３年度）の数値をご入力ください。"</f>
        <v>　←3年度（第３年度）の数値をご入力ください。</v>
      </c>
      <c r="K98" s="31"/>
      <c r="L98" s="31"/>
      <c r="M98" s="31"/>
      <c r="N98" s="31"/>
      <c r="O98" s="31"/>
      <c r="P98" s="31"/>
      <c r="Q98" s="31"/>
      <c r="R98" s="31"/>
      <c r="S98" s="31"/>
      <c r="T98" s="31"/>
      <c r="U98" s="200"/>
      <c r="V98" s="200"/>
      <c r="W98" s="200"/>
      <c r="X98" s="200"/>
      <c r="Y98" s="200"/>
      <c r="Z98" s="200"/>
      <c r="AA98" s="200"/>
      <c r="AB98" s="201"/>
      <c r="AC98" s="200"/>
      <c r="AD98" s="200"/>
    </row>
    <row r="99" spans="1:34" ht="18" customHeight="1">
      <c r="D99" s="77"/>
      <c r="E99" s="77"/>
      <c r="F99" s="77"/>
      <c r="G99" s="77"/>
      <c r="H99" s="77"/>
      <c r="I99" s="77"/>
      <c r="J99" s="77"/>
      <c r="K99" s="77"/>
      <c r="L99" s="77"/>
      <c r="M99" s="77"/>
      <c r="N99" s="77"/>
      <c r="O99" s="77"/>
      <c r="P99" s="77"/>
      <c r="Q99" s="77"/>
      <c r="R99" s="77"/>
      <c r="S99" s="77"/>
      <c r="T99" s="77"/>
    </row>
    <row r="100" spans="1:34" ht="16.5" hidden="1" customHeight="1">
      <c r="D100" s="77"/>
      <c r="E100" s="77"/>
      <c r="F100" s="14"/>
      <c r="G100" s="77"/>
      <c r="H100" s="77"/>
      <c r="I100" s="77"/>
      <c r="J100" s="77"/>
      <c r="K100" s="77"/>
      <c r="L100" s="77"/>
      <c r="M100" s="77"/>
      <c r="N100" s="77"/>
      <c r="O100" s="77"/>
      <c r="P100" s="77"/>
      <c r="Q100" s="77"/>
      <c r="R100" s="77"/>
      <c r="S100" s="77"/>
      <c r="T100" s="77"/>
    </row>
    <row r="101" spans="1:34" s="191" customFormat="1" ht="22.5" hidden="1" customHeight="1">
      <c r="A101" s="187"/>
      <c r="B101" s="187"/>
      <c r="C101" s="188"/>
      <c r="D101" s="14"/>
      <c r="E101" s="14"/>
      <c r="F101" s="14"/>
      <c r="G101" s="14"/>
      <c r="H101" s="14"/>
      <c r="I101" s="14"/>
      <c r="J101" s="14"/>
      <c r="K101" s="14"/>
      <c r="L101" s="14"/>
      <c r="M101" s="14"/>
      <c r="N101" s="14"/>
      <c r="O101" s="14"/>
      <c r="P101" s="14"/>
      <c r="Q101" s="31"/>
      <c r="R101" s="31"/>
      <c r="S101" s="31"/>
      <c r="T101" s="31"/>
      <c r="U101" s="200"/>
      <c r="V101" s="200"/>
      <c r="W101" s="200"/>
      <c r="X101" s="200"/>
      <c r="Y101" s="200"/>
      <c r="Z101" s="200"/>
      <c r="AA101" s="199"/>
      <c r="AG101" s="200"/>
    </row>
    <row r="102" spans="1:34" s="191" customFormat="1" ht="22.25" hidden="1" customHeight="1">
      <c r="A102" s="187"/>
      <c r="B102" s="187"/>
      <c r="C102" s="192"/>
      <c r="D102" s="28"/>
      <c r="E102" s="28"/>
      <c r="F102" s="28"/>
      <c r="G102" s="28"/>
      <c r="H102" s="28"/>
      <c r="I102" s="28"/>
      <c r="J102" s="28"/>
      <c r="K102" s="28"/>
      <c r="L102" s="28"/>
      <c r="M102" s="28"/>
      <c r="N102" s="28"/>
      <c r="O102" s="28"/>
      <c r="P102" s="28"/>
      <c r="Q102" s="28"/>
      <c r="R102" s="28"/>
      <c r="S102" s="28"/>
      <c r="T102" s="28"/>
      <c r="U102" s="200"/>
      <c r="V102" s="200"/>
      <c r="W102" s="200"/>
      <c r="X102" s="200"/>
      <c r="Y102" s="200"/>
      <c r="Z102" s="200"/>
      <c r="AA102" s="199"/>
      <c r="AG102" s="200"/>
    </row>
    <row r="103" spans="1:34" s="191" customFormat="1" ht="20.149999999999999" hidden="1" customHeight="1">
      <c r="A103" s="187"/>
      <c r="B103" s="187"/>
      <c r="C103" s="192"/>
      <c r="D103" s="28"/>
      <c r="E103" s="28"/>
      <c r="F103" s="28"/>
      <c r="G103" s="28"/>
      <c r="H103" s="28"/>
      <c r="I103" s="28"/>
      <c r="J103" s="28"/>
      <c r="K103" s="28"/>
      <c r="L103" s="28"/>
      <c r="M103" s="28"/>
      <c r="N103" s="28"/>
      <c r="O103" s="28"/>
      <c r="P103" s="28"/>
      <c r="Q103" s="28"/>
      <c r="R103" s="28"/>
      <c r="S103" s="28"/>
      <c r="T103" s="28"/>
      <c r="U103" s="200"/>
      <c r="V103" s="200"/>
      <c r="W103" s="200"/>
      <c r="X103" s="200"/>
      <c r="Y103" s="200"/>
      <c r="Z103" s="200"/>
      <c r="AA103" s="199"/>
      <c r="AG103" s="200"/>
    </row>
    <row r="104" spans="1:34" s="191" customFormat="1" ht="200" hidden="1" customHeight="1">
      <c r="A104" s="187"/>
      <c r="B104" s="187"/>
      <c r="C104" s="192"/>
      <c r="D104" s="28"/>
      <c r="E104" s="28"/>
      <c r="F104" s="28"/>
      <c r="G104" s="28"/>
      <c r="H104" s="28"/>
      <c r="I104" s="28"/>
      <c r="J104" s="28"/>
      <c r="K104" s="28"/>
      <c r="L104" s="28"/>
      <c r="M104" s="28"/>
      <c r="N104" s="28"/>
      <c r="O104" s="28"/>
      <c r="P104" s="28"/>
      <c r="Q104" s="28"/>
      <c r="R104" s="28"/>
      <c r="S104" s="28"/>
      <c r="T104" s="28"/>
      <c r="U104" s="200"/>
      <c r="V104" s="200"/>
      <c r="W104" s="200"/>
      <c r="X104" s="200"/>
      <c r="Y104" s="200"/>
      <c r="Z104" s="200"/>
      <c r="AA104" s="201"/>
      <c r="AH104" s="200"/>
    </row>
    <row r="105" spans="1:34" s="191" customFormat="1" ht="18" hidden="1" customHeight="1">
      <c r="A105" s="187"/>
      <c r="B105" s="187"/>
      <c r="C105" s="192"/>
      <c r="D105" s="28"/>
      <c r="E105" s="28"/>
      <c r="F105" s="28"/>
      <c r="G105" s="28"/>
      <c r="H105" s="28"/>
      <c r="I105" s="28"/>
      <c r="J105" s="28"/>
      <c r="K105" s="28"/>
      <c r="L105" s="28"/>
      <c r="M105" s="28"/>
      <c r="N105" s="28"/>
      <c r="O105" s="28"/>
      <c r="P105" s="28"/>
      <c r="Q105" s="28"/>
      <c r="R105" s="28"/>
      <c r="S105" s="28"/>
      <c r="T105" s="28"/>
      <c r="U105" s="200"/>
      <c r="V105" s="200"/>
      <c r="W105" s="200"/>
      <c r="X105" s="200"/>
      <c r="Y105" s="200"/>
      <c r="Z105" s="200"/>
      <c r="AA105" s="201"/>
      <c r="AH105" s="200"/>
    </row>
    <row r="106" spans="1:34" s="191" customFormat="1" ht="20.149999999999999" hidden="1" customHeight="1">
      <c r="A106" s="187"/>
      <c r="B106" s="187"/>
      <c r="C106" s="192"/>
      <c r="D106" s="28"/>
      <c r="E106" s="28"/>
      <c r="F106" s="28"/>
      <c r="G106" s="28"/>
      <c r="H106" s="28"/>
      <c r="I106" s="28"/>
      <c r="J106" s="28"/>
      <c r="K106" s="28"/>
      <c r="L106" s="28"/>
      <c r="M106" s="28"/>
      <c r="N106" s="28"/>
      <c r="O106" s="28"/>
      <c r="P106" s="28"/>
      <c r="Q106" s="28"/>
      <c r="R106" s="28"/>
      <c r="S106" s="28"/>
      <c r="T106" s="28"/>
      <c r="U106" s="200"/>
      <c r="V106" s="200"/>
      <c r="W106" s="200"/>
      <c r="X106" s="200"/>
      <c r="Y106" s="200"/>
      <c r="Z106" s="200"/>
      <c r="AA106" s="201"/>
      <c r="AH106" s="200"/>
    </row>
    <row r="107" spans="1:34" s="191" customFormat="1" ht="38.4" hidden="1" customHeight="1">
      <c r="A107" s="187"/>
      <c r="B107" s="187"/>
      <c r="C107" s="192"/>
      <c r="D107" s="28"/>
      <c r="E107" s="28"/>
      <c r="F107" s="28"/>
      <c r="G107" s="28"/>
      <c r="H107" s="28"/>
      <c r="I107" s="28"/>
      <c r="J107" s="28"/>
      <c r="K107" s="28"/>
      <c r="L107" s="28"/>
      <c r="M107" s="28"/>
      <c r="N107" s="28"/>
      <c r="O107" s="28"/>
      <c r="P107" s="28"/>
      <c r="Q107" s="28"/>
      <c r="R107" s="28"/>
      <c r="S107" s="28"/>
      <c r="T107" s="28"/>
      <c r="U107" s="200"/>
      <c r="V107" s="200"/>
      <c r="W107" s="200"/>
      <c r="X107" s="200"/>
      <c r="Y107" s="200"/>
      <c r="Z107" s="200"/>
      <c r="AA107" s="199"/>
      <c r="AG107" s="200"/>
    </row>
    <row r="108" spans="1:34" s="191" customFormat="1" ht="18" customHeight="1">
      <c r="A108" s="187"/>
      <c r="B108" s="187"/>
      <c r="C108" s="192"/>
      <c r="D108" s="28"/>
      <c r="E108" s="28"/>
      <c r="F108" s="28"/>
      <c r="G108" s="28"/>
      <c r="H108" s="28"/>
      <c r="I108" s="28"/>
      <c r="J108" s="28"/>
      <c r="K108" s="28"/>
      <c r="L108" s="28"/>
      <c r="M108" s="28"/>
      <c r="N108" s="28"/>
      <c r="O108" s="28"/>
      <c r="P108" s="28"/>
      <c r="Q108" s="28"/>
      <c r="R108" s="28"/>
      <c r="S108" s="28"/>
      <c r="T108" s="28"/>
      <c r="U108" s="200"/>
      <c r="V108" s="200"/>
      <c r="W108" s="200"/>
      <c r="X108" s="200"/>
      <c r="Y108" s="200"/>
      <c r="Z108" s="200"/>
      <c r="AA108" s="199"/>
      <c r="AG108" s="200"/>
    </row>
    <row r="109" spans="1:34" s="191" customFormat="1" ht="18" customHeight="1">
      <c r="A109" s="187"/>
      <c r="B109" s="187"/>
      <c r="C109" s="192"/>
      <c r="D109" s="52" t="s">
        <v>4434</v>
      </c>
      <c r="E109" s="28"/>
      <c r="F109" s="28"/>
      <c r="G109" s="28"/>
      <c r="H109" s="28"/>
      <c r="I109" s="28"/>
      <c r="J109" s="28"/>
      <c r="K109" s="28"/>
      <c r="L109" s="28"/>
      <c r="M109" s="28"/>
      <c r="N109" s="28"/>
      <c r="O109" s="28"/>
      <c r="P109" s="28"/>
      <c r="Q109" s="28"/>
      <c r="R109" s="28"/>
      <c r="S109" s="28"/>
      <c r="T109" s="28"/>
      <c r="U109" s="200"/>
      <c r="V109" s="200"/>
      <c r="W109" s="200"/>
      <c r="X109" s="200"/>
      <c r="Y109" s="200"/>
      <c r="Z109" s="200"/>
      <c r="AA109" s="199"/>
      <c r="AG109" s="200"/>
    </row>
    <row r="110" spans="1:34" s="191" customFormat="1" ht="18" customHeight="1" thickBot="1">
      <c r="A110" s="187"/>
      <c r="B110" s="187"/>
      <c r="C110" s="192"/>
      <c r="D110" s="28"/>
      <c r="E110" s="711" t="str">
        <f>"６-１．" &amp; $AB$1+3&amp; "年度末における使用車両数をご入力ください。"</f>
        <v>６-１．3年度末における使用車両数をご入力ください。</v>
      </c>
      <c r="F110" s="168"/>
      <c r="G110" s="168"/>
      <c r="H110" s="168"/>
      <c r="I110" s="28"/>
      <c r="J110" s="28"/>
      <c r="K110" s="28"/>
      <c r="L110" s="28"/>
      <c r="M110" s="28"/>
      <c r="N110" s="28"/>
      <c r="O110" s="28"/>
      <c r="P110" s="28"/>
      <c r="Q110" s="28"/>
      <c r="R110" s="28"/>
      <c r="S110" s="28"/>
      <c r="T110" s="28"/>
      <c r="U110" s="200"/>
      <c r="V110" s="200"/>
      <c r="W110" s="200"/>
      <c r="X110" s="200"/>
      <c r="Y110" s="200"/>
      <c r="Z110" s="200"/>
      <c r="AA110" s="199"/>
      <c r="AG110" s="200"/>
    </row>
    <row r="111" spans="1:34" s="191" customFormat="1" ht="18" customHeight="1">
      <c r="A111" s="187"/>
      <c r="B111" s="187"/>
      <c r="C111" s="192"/>
      <c r="D111" s="28"/>
      <c r="E111" s="933" t="s">
        <v>4422</v>
      </c>
      <c r="F111" s="934"/>
      <c r="G111" s="929" t="s">
        <v>4416</v>
      </c>
      <c r="H111" s="930"/>
      <c r="I111" s="933" t="s">
        <v>4417</v>
      </c>
      <c r="J111" s="934"/>
      <c r="K111" s="934"/>
      <c r="L111" s="934"/>
      <c r="M111" s="934"/>
      <c r="N111" s="960" t="s">
        <v>4418</v>
      </c>
      <c r="O111" s="28"/>
      <c r="P111" s="28"/>
      <c r="Q111" s="28"/>
      <c r="R111" s="28"/>
      <c r="S111" s="28"/>
      <c r="T111" s="28"/>
      <c r="U111" s="200"/>
      <c r="V111" s="200"/>
      <c r="W111" s="200"/>
      <c r="X111" s="200"/>
      <c r="Y111" s="200"/>
      <c r="Z111" s="200"/>
      <c r="AA111" s="199"/>
      <c r="AG111" s="200"/>
    </row>
    <row r="112" spans="1:34" s="191" customFormat="1" ht="18" customHeight="1">
      <c r="A112" s="187"/>
      <c r="B112" s="187"/>
      <c r="C112" s="192"/>
      <c r="D112" s="28"/>
      <c r="E112" s="935"/>
      <c r="F112" s="936"/>
      <c r="G112" s="931"/>
      <c r="H112" s="932"/>
      <c r="I112" s="935"/>
      <c r="J112" s="936"/>
      <c r="K112" s="936"/>
      <c r="L112" s="936"/>
      <c r="M112" s="936"/>
      <c r="N112" s="961"/>
      <c r="O112" s="28"/>
      <c r="P112" s="28"/>
      <c r="Q112" s="28"/>
      <c r="R112" s="28"/>
      <c r="S112" s="28"/>
      <c r="T112" s="28"/>
      <c r="U112" s="200"/>
      <c r="V112" s="200"/>
      <c r="W112" s="200"/>
      <c r="X112" s="200"/>
      <c r="Y112" s="200"/>
      <c r="Z112" s="200"/>
      <c r="AA112" s="199"/>
      <c r="AG112" s="200"/>
    </row>
    <row r="113" spans="1:34" s="191" customFormat="1" ht="18" customHeight="1">
      <c r="A113" s="187"/>
      <c r="B113" s="187"/>
      <c r="C113" s="192"/>
      <c r="D113" s="28"/>
      <c r="E113" s="834" t="s">
        <v>4423</v>
      </c>
      <c r="F113" s="835"/>
      <c r="G113" s="909"/>
      <c r="H113" s="910"/>
      <c r="I113" s="173" t="s">
        <v>4419</v>
      </c>
      <c r="J113" s="173"/>
      <c r="K113" s="251"/>
      <c r="L113" s="252"/>
      <c r="M113" s="252"/>
      <c r="N113" s="381"/>
      <c r="O113" s="28"/>
      <c r="P113" s="28"/>
      <c r="Q113" s="28"/>
      <c r="R113" s="28"/>
      <c r="S113" s="28"/>
      <c r="T113" s="28"/>
      <c r="U113" s="200"/>
      <c r="V113" s="200"/>
      <c r="W113" s="200"/>
      <c r="X113" s="200"/>
      <c r="Y113" s="200"/>
      <c r="Z113" s="200"/>
      <c r="AA113" s="199"/>
      <c r="AG113" s="200"/>
    </row>
    <row r="114" spans="1:34" s="191" customFormat="1" ht="18" customHeight="1">
      <c r="A114" s="187"/>
      <c r="B114" s="187"/>
      <c r="C114" s="192"/>
      <c r="D114" s="28"/>
      <c r="E114" s="836"/>
      <c r="F114" s="837"/>
      <c r="G114" s="905"/>
      <c r="H114" s="906"/>
      <c r="I114" s="170" t="s">
        <v>4420</v>
      </c>
      <c r="J114" s="170"/>
      <c r="K114" s="177"/>
      <c r="L114" s="178"/>
      <c r="M114" s="178"/>
      <c r="N114" s="382"/>
      <c r="O114" s="28"/>
      <c r="P114" s="28"/>
      <c r="Q114" s="28"/>
      <c r="R114" s="28"/>
      <c r="S114" s="28"/>
      <c r="T114" s="28"/>
      <c r="U114" s="200"/>
      <c r="V114" s="200"/>
      <c r="W114" s="200"/>
      <c r="X114" s="200"/>
      <c r="Y114" s="200"/>
      <c r="Z114" s="200"/>
      <c r="AA114" s="199"/>
      <c r="AG114" s="200"/>
    </row>
    <row r="115" spans="1:34" s="191" customFormat="1" ht="18" customHeight="1">
      <c r="A115" s="187"/>
      <c r="B115" s="187"/>
      <c r="C115" s="192"/>
      <c r="D115" s="28"/>
      <c r="E115" s="836"/>
      <c r="F115" s="837"/>
      <c r="G115" s="905"/>
      <c r="H115" s="906"/>
      <c r="I115" s="171" t="s">
        <v>4421</v>
      </c>
      <c r="J115" s="171"/>
      <c r="K115" s="171"/>
      <c r="L115" s="174"/>
      <c r="M115" s="174"/>
      <c r="N115" s="385"/>
      <c r="O115" s="28"/>
      <c r="P115" s="28"/>
      <c r="Q115" s="28"/>
      <c r="R115" s="28"/>
      <c r="S115" s="28"/>
      <c r="T115" s="28"/>
      <c r="U115" s="200"/>
      <c r="V115" s="200"/>
      <c r="W115" s="200"/>
      <c r="X115" s="200"/>
      <c r="Y115" s="200"/>
      <c r="Z115" s="200"/>
      <c r="AA115" s="199"/>
      <c r="AG115" s="200"/>
    </row>
    <row r="116" spans="1:34" s="191" customFormat="1" ht="18" customHeight="1">
      <c r="A116" s="187"/>
      <c r="B116" s="187"/>
      <c r="C116" s="192"/>
      <c r="D116" s="28"/>
      <c r="E116" s="830" t="s">
        <v>4424</v>
      </c>
      <c r="F116" s="831"/>
      <c r="G116" s="905"/>
      <c r="H116" s="906"/>
      <c r="I116" s="169" t="s">
        <v>4419</v>
      </c>
      <c r="J116" s="175"/>
      <c r="K116" s="175"/>
      <c r="L116" s="175"/>
      <c r="M116" s="175"/>
      <c r="N116" s="386"/>
      <c r="O116" s="28"/>
      <c r="P116" s="28"/>
      <c r="Q116" s="28"/>
      <c r="R116" s="28"/>
      <c r="S116" s="28"/>
      <c r="T116" s="28"/>
      <c r="U116" s="200"/>
      <c r="V116" s="200"/>
      <c r="W116" s="200"/>
      <c r="X116" s="200"/>
      <c r="Y116" s="200"/>
      <c r="Z116" s="200"/>
      <c r="AA116" s="199"/>
      <c r="AG116" s="200"/>
    </row>
    <row r="117" spans="1:34" s="191" customFormat="1" ht="18" customHeight="1">
      <c r="A117" s="187"/>
      <c r="B117" s="187"/>
      <c r="C117" s="192"/>
      <c r="D117" s="28"/>
      <c r="E117" s="830"/>
      <c r="F117" s="831"/>
      <c r="G117" s="905"/>
      <c r="H117" s="906"/>
      <c r="I117" s="170" t="s">
        <v>4420</v>
      </c>
      <c r="J117" s="176"/>
      <c r="K117" s="176"/>
      <c r="L117" s="176"/>
      <c r="M117" s="176"/>
      <c r="N117" s="382"/>
      <c r="O117" s="28"/>
      <c r="P117" s="28"/>
      <c r="Q117" s="28"/>
      <c r="R117" s="28"/>
      <c r="S117" s="28"/>
      <c r="T117" s="28"/>
      <c r="U117" s="200"/>
      <c r="V117" s="200"/>
      <c r="W117" s="200"/>
      <c r="X117" s="200"/>
      <c r="Y117" s="200"/>
      <c r="Z117" s="200"/>
      <c r="AA117" s="199"/>
      <c r="AG117" s="200"/>
    </row>
    <row r="118" spans="1:34" s="191" customFormat="1" ht="18" customHeight="1">
      <c r="A118" s="187"/>
      <c r="B118" s="187"/>
      <c r="C118" s="192"/>
      <c r="D118" s="28"/>
      <c r="E118" s="830"/>
      <c r="F118" s="831"/>
      <c r="G118" s="905"/>
      <c r="H118" s="906"/>
      <c r="I118" s="171" t="s">
        <v>4421</v>
      </c>
      <c r="J118" s="174"/>
      <c r="K118" s="174"/>
      <c r="L118" s="174"/>
      <c r="M118" s="174"/>
      <c r="N118" s="385"/>
      <c r="O118" s="28"/>
      <c r="P118" s="28"/>
      <c r="Q118" s="28"/>
      <c r="R118" s="28"/>
      <c r="S118" s="28"/>
      <c r="T118" s="28"/>
      <c r="U118" s="200"/>
      <c r="V118" s="200"/>
      <c r="W118" s="200"/>
      <c r="X118" s="200"/>
      <c r="Y118" s="200"/>
      <c r="Z118" s="200"/>
      <c r="AA118" s="199"/>
      <c r="AG118" s="200"/>
    </row>
    <row r="119" spans="1:34" s="191" customFormat="1" ht="18" customHeight="1">
      <c r="A119" s="187"/>
      <c r="B119" s="187"/>
      <c r="C119" s="192"/>
      <c r="D119" s="28"/>
      <c r="E119" s="830" t="s">
        <v>4425</v>
      </c>
      <c r="F119" s="831"/>
      <c r="G119" s="905"/>
      <c r="H119" s="906"/>
      <c r="I119" s="169" t="s">
        <v>4419</v>
      </c>
      <c r="J119" s="175"/>
      <c r="K119" s="175"/>
      <c r="L119" s="175"/>
      <c r="M119" s="175"/>
      <c r="N119" s="386"/>
      <c r="O119" s="28"/>
      <c r="P119" s="28"/>
      <c r="Q119" s="28"/>
      <c r="R119" s="28"/>
      <c r="S119" s="28"/>
      <c r="T119" s="28"/>
      <c r="U119" s="200"/>
      <c r="V119" s="200"/>
      <c r="W119" s="200"/>
      <c r="X119" s="200"/>
      <c r="Y119" s="200"/>
      <c r="Z119" s="200"/>
      <c r="AA119" s="199"/>
      <c r="AG119" s="200"/>
    </row>
    <row r="120" spans="1:34" s="191" customFormat="1" ht="18" customHeight="1" thickBot="1">
      <c r="A120" s="187"/>
      <c r="B120" s="187"/>
      <c r="C120" s="192"/>
      <c r="D120" s="28"/>
      <c r="E120" s="832"/>
      <c r="F120" s="833"/>
      <c r="G120" s="907"/>
      <c r="H120" s="908"/>
      <c r="I120" s="732" t="s">
        <v>4420</v>
      </c>
      <c r="J120" s="733"/>
      <c r="K120" s="733"/>
      <c r="L120" s="733"/>
      <c r="M120" s="733"/>
      <c r="N120" s="734"/>
      <c r="O120" s="28"/>
      <c r="P120" s="28"/>
      <c r="Q120" s="28"/>
      <c r="R120" s="28"/>
      <c r="S120" s="28"/>
      <c r="T120" s="28"/>
      <c r="U120" s="200"/>
      <c r="V120" s="200"/>
      <c r="W120" s="200"/>
      <c r="X120" s="200"/>
      <c r="Y120" s="200"/>
      <c r="Z120" s="200"/>
      <c r="AA120" s="199"/>
      <c r="AG120" s="200"/>
    </row>
    <row r="121" spans="1:34" s="191" customFormat="1" ht="18" customHeight="1" thickTop="1" thickBot="1">
      <c r="A121" s="187"/>
      <c r="B121" s="187"/>
      <c r="C121" s="192"/>
      <c r="D121" s="28"/>
      <c r="E121" s="851" t="s">
        <v>4426</v>
      </c>
      <c r="F121" s="852"/>
      <c r="G121" s="853" t="str">
        <f>IF(COUNTBLANK(G113:G120)=8,"",SUM(G113,G116,G119))</f>
        <v/>
      </c>
      <c r="H121" s="854"/>
      <c r="I121" s="729" t="s">
        <v>4427</v>
      </c>
      <c r="J121" s="730"/>
      <c r="K121" s="730"/>
      <c r="L121" s="730"/>
      <c r="M121" s="731"/>
      <c r="N121" s="735" t="str">
        <f>IF(COUNTBLANK(N113:N120)=8,"",SUM(N113:N120))</f>
        <v/>
      </c>
      <c r="O121" s="28"/>
      <c r="P121" s="28"/>
      <c r="Q121" s="28"/>
      <c r="R121" s="28"/>
      <c r="S121" s="28"/>
      <c r="T121" s="28"/>
      <c r="U121" s="200"/>
      <c r="V121" s="200"/>
      <c r="W121" s="200"/>
      <c r="X121" s="200"/>
      <c r="Y121" s="200"/>
      <c r="Z121" s="200"/>
      <c r="AA121" s="199"/>
      <c r="AG121" s="200"/>
    </row>
    <row r="122" spans="1:34" s="191" customFormat="1" ht="18" customHeight="1">
      <c r="A122" s="187"/>
      <c r="B122" s="187"/>
      <c r="C122" s="192"/>
      <c r="D122" s="28"/>
      <c r="E122" s="28"/>
      <c r="F122" s="28"/>
      <c r="G122" s="14"/>
      <c r="H122" s="28"/>
      <c r="I122" s="31"/>
      <c r="J122" s="28"/>
      <c r="K122" s="28"/>
      <c r="L122" s="28"/>
      <c r="M122" s="28"/>
      <c r="N122" s="14"/>
      <c r="O122" s="28"/>
      <c r="P122" s="28"/>
      <c r="Q122" s="28"/>
      <c r="R122" s="28"/>
      <c r="S122" s="28"/>
      <c r="T122" s="28"/>
      <c r="U122" s="200"/>
      <c r="V122" s="200"/>
      <c r="W122" s="200"/>
      <c r="X122" s="200"/>
      <c r="Y122" s="200"/>
      <c r="Z122" s="200"/>
      <c r="AA122" s="199"/>
      <c r="AG122" s="200"/>
    </row>
    <row r="123" spans="1:34" s="191" customFormat="1" ht="18" hidden="1" customHeight="1">
      <c r="A123" s="187"/>
      <c r="B123" s="187"/>
      <c r="C123" s="192"/>
      <c r="D123" s="28"/>
      <c r="E123" s="28"/>
      <c r="F123" s="28"/>
      <c r="G123" s="28"/>
      <c r="H123" s="28"/>
      <c r="I123" s="31"/>
      <c r="J123" s="28"/>
      <c r="K123" s="28"/>
      <c r="L123" s="28"/>
      <c r="M123" s="28"/>
      <c r="N123" s="28"/>
      <c r="O123" s="28"/>
      <c r="P123" s="28"/>
      <c r="Q123" s="28"/>
      <c r="R123" s="28"/>
      <c r="S123" s="28"/>
      <c r="T123" s="28"/>
      <c r="U123" s="200"/>
      <c r="V123" s="200"/>
      <c r="W123" s="200"/>
      <c r="X123" s="200"/>
      <c r="Y123" s="200"/>
      <c r="Z123" s="200"/>
      <c r="AA123" s="199"/>
      <c r="AG123" s="200"/>
    </row>
    <row r="124" spans="1:34" s="191" customFormat="1" ht="18" hidden="1" customHeight="1">
      <c r="A124" s="187"/>
      <c r="B124" s="187"/>
      <c r="C124" s="192"/>
      <c r="D124" s="28"/>
      <c r="E124" s="28"/>
      <c r="F124" s="28"/>
      <c r="G124" s="28"/>
      <c r="H124" s="28"/>
      <c r="I124" s="31"/>
      <c r="J124" s="28"/>
      <c r="K124" s="28"/>
      <c r="L124" s="28"/>
      <c r="M124" s="28"/>
      <c r="N124" s="28"/>
      <c r="O124" s="28"/>
      <c r="P124" s="28"/>
      <c r="Q124" s="28"/>
      <c r="R124" s="28"/>
      <c r="S124" s="28"/>
      <c r="T124" s="28"/>
      <c r="U124" s="200"/>
      <c r="V124" s="200"/>
      <c r="W124" s="200"/>
      <c r="X124" s="200"/>
      <c r="Y124" s="200"/>
      <c r="Z124" s="200"/>
      <c r="AA124" s="199"/>
      <c r="AG124" s="200"/>
    </row>
    <row r="125" spans="1:34" s="191" customFormat="1" ht="18" customHeight="1">
      <c r="A125" s="187"/>
      <c r="B125" s="187"/>
      <c r="C125" s="192"/>
      <c r="D125" s="28"/>
      <c r="E125" s="28"/>
      <c r="F125" s="28"/>
      <c r="G125" s="28"/>
      <c r="H125" s="28"/>
      <c r="I125" s="28"/>
      <c r="J125" s="28"/>
      <c r="K125" s="28"/>
      <c r="L125" s="28"/>
      <c r="M125" s="28"/>
      <c r="N125" s="28"/>
      <c r="O125" s="28"/>
      <c r="P125" s="28"/>
      <c r="Q125" s="28"/>
      <c r="R125" s="28"/>
      <c r="S125" s="28"/>
      <c r="T125" s="28"/>
      <c r="U125" s="200"/>
      <c r="V125" s="200"/>
      <c r="W125" s="200"/>
      <c r="X125" s="200"/>
      <c r="Y125" s="200"/>
      <c r="Z125" s="200"/>
      <c r="AA125" s="201"/>
      <c r="AH125" s="200"/>
    </row>
    <row r="126" spans="1:34" ht="18" customHeight="1">
      <c r="D126" s="34" t="s">
        <v>4537</v>
      </c>
      <c r="E126" s="77"/>
      <c r="F126" s="77"/>
      <c r="G126" s="77"/>
      <c r="H126" s="77"/>
      <c r="I126" s="77"/>
      <c r="J126" s="77"/>
      <c r="K126" s="77"/>
      <c r="L126" s="77"/>
      <c r="M126" s="77"/>
      <c r="N126" s="77"/>
      <c r="O126" s="77"/>
      <c r="P126" s="77"/>
      <c r="Q126" s="77"/>
      <c r="R126" s="77"/>
      <c r="S126" s="77"/>
      <c r="T126" s="77"/>
    </row>
    <row r="127" spans="1:34" s="191" customFormat="1" ht="18" hidden="1" customHeight="1">
      <c r="A127" s="187"/>
      <c r="B127" s="187"/>
      <c r="C127" s="192"/>
      <c r="D127" s="14"/>
      <c r="E127" s="99" t="str">
        <f>"７-１．『"&amp;N3&amp;"』の"&amp;AB1&amp;"年度（基準年度）における温室効果ガスの排出状況は以下のとおりです。"</f>
        <v>７-１．『』の0年度（基準年度）における温室効果ガスの排出状況は以下のとおりです。</v>
      </c>
      <c r="F127" s="28"/>
      <c r="G127" s="28"/>
      <c r="H127" s="28"/>
      <c r="I127" s="28"/>
      <c r="J127" s="28"/>
      <c r="K127" s="28"/>
      <c r="L127" s="28"/>
      <c r="M127" s="28"/>
      <c r="N127" s="28"/>
      <c r="O127" s="28"/>
      <c r="P127" s="14"/>
      <c r="Q127" s="28"/>
      <c r="R127" s="28"/>
      <c r="S127" s="28"/>
      <c r="T127" s="14"/>
      <c r="AA127" s="199"/>
      <c r="AG127" s="200"/>
    </row>
    <row r="128" spans="1:34" s="191" customFormat="1" ht="18" customHeight="1">
      <c r="A128" s="187"/>
      <c r="B128" s="187"/>
      <c r="C128" s="192"/>
      <c r="D128" s="32"/>
      <c r="E128" s="16" t="s">
        <v>4530</v>
      </c>
      <c r="F128" s="28"/>
      <c r="G128" s="28"/>
      <c r="H128" s="28"/>
      <c r="I128" s="28"/>
      <c r="J128" s="28"/>
      <c r="K128" s="28"/>
      <c r="L128" s="28"/>
      <c r="M128" s="28"/>
      <c r="N128" s="28"/>
      <c r="O128" s="28"/>
      <c r="P128" s="14"/>
      <c r="Q128" s="28"/>
      <c r="R128" s="28"/>
      <c r="S128" s="28"/>
      <c r="T128" s="14"/>
      <c r="AA128" s="199"/>
      <c r="AG128" s="200"/>
    </row>
    <row r="129" spans="1:37" s="191" customFormat="1" ht="18" hidden="1" customHeight="1">
      <c r="A129" s="187"/>
      <c r="B129" s="187"/>
      <c r="C129" s="192"/>
      <c r="D129" s="28"/>
      <c r="E129" s="28"/>
      <c r="F129" s="28"/>
      <c r="G129" s="28"/>
      <c r="H129" s="28"/>
      <c r="I129" s="28"/>
      <c r="J129" s="28"/>
      <c r="K129" s="28"/>
      <c r="L129" s="28"/>
      <c r="M129" s="28"/>
      <c r="N129" s="28"/>
      <c r="O129" s="28"/>
      <c r="P129" s="28"/>
      <c r="Q129" s="28"/>
      <c r="R129" s="28"/>
      <c r="S129" s="28"/>
      <c r="T129" s="14"/>
      <c r="AA129" s="199"/>
      <c r="AD129" s="200"/>
      <c r="AE129" s="200"/>
      <c r="AF129" s="200"/>
      <c r="AG129" s="200"/>
    </row>
    <row r="130" spans="1:37" s="191" customFormat="1" ht="36" customHeight="1">
      <c r="A130" s="187"/>
      <c r="B130" s="187"/>
      <c r="C130" s="192"/>
      <c r="D130" s="28"/>
      <c r="E130" s="772" t="s">
        <v>4226</v>
      </c>
      <c r="F130" s="773"/>
      <c r="G130" s="786" t="str">
        <f>IF($AB$1=0,"",$AB$1)</f>
        <v/>
      </c>
      <c r="H130" s="826"/>
      <c r="I130" s="764" t="s">
        <v>4277</v>
      </c>
      <c r="J130" s="765"/>
      <c r="K130" s="765"/>
      <c r="L130" s="766"/>
      <c r="M130" s="254" t="s">
        <v>4231</v>
      </c>
      <c r="N130" s="264" t="str">
        <f>IF('P1'!R4=0,"",'P1'!V14)</f>
        <v/>
      </c>
      <c r="O130" s="258" t="s">
        <v>4499</v>
      </c>
      <c r="P130" s="265" t="s">
        <v>4232</v>
      </c>
      <c r="Q130" s="707" t="str">
        <f>IF('P1'!R4=0,"",'P1'!V17)</f>
        <v/>
      </c>
      <c r="R130" s="259" t="str">
        <f>"t-CO₂/"&amp;$G$97</f>
        <v>t-CO₂/</v>
      </c>
      <c r="S130" s="28"/>
      <c r="T130" s="28"/>
      <c r="U130" s="197"/>
      <c r="V130" s="197"/>
      <c r="AD130" s="199"/>
      <c r="AG130" s="200"/>
      <c r="AH130" s="200"/>
      <c r="AI130" s="200"/>
      <c r="AJ130" s="200"/>
    </row>
    <row r="131" spans="1:37" s="191" customFormat="1" ht="36" customHeight="1">
      <c r="A131" s="187"/>
      <c r="B131" s="187"/>
      <c r="C131" s="192"/>
      <c r="D131" s="28"/>
      <c r="E131" s="776"/>
      <c r="F131" s="777"/>
      <c r="G131" s="790"/>
      <c r="H131" s="827"/>
      <c r="I131" s="748" t="s">
        <v>4511</v>
      </c>
      <c r="J131" s="749"/>
      <c r="K131" s="749"/>
      <c r="L131" s="749"/>
      <c r="M131" s="749"/>
      <c r="N131" s="749"/>
      <c r="O131" s="749"/>
      <c r="P131" s="750"/>
      <c r="Q131" s="266" t="str">
        <f>'入力シート（計画書）'!Q131</f>
        <v/>
      </c>
      <c r="R131" s="267" t="s">
        <v>106</v>
      </c>
      <c r="S131" s="28"/>
      <c r="T131" s="28"/>
      <c r="U131" s="197"/>
      <c r="V131" s="197"/>
      <c r="W131" s="200"/>
      <c r="X131" s="200"/>
      <c r="Y131" s="200"/>
      <c r="Z131" s="200"/>
      <c r="AA131" s="200"/>
      <c r="AB131" s="200"/>
      <c r="AC131" s="200"/>
      <c r="AD131" s="199"/>
      <c r="AG131" s="200"/>
      <c r="AH131" s="200"/>
      <c r="AI131" s="200"/>
      <c r="AJ131" s="200"/>
    </row>
    <row r="132" spans="1:37" s="191" customFormat="1" ht="36" hidden="1" customHeight="1">
      <c r="A132" s="187"/>
      <c r="B132" s="187"/>
      <c r="C132" s="192"/>
      <c r="D132" s="28"/>
      <c r="E132" s="14"/>
      <c r="F132" s="14"/>
      <c r="G132" s="14"/>
      <c r="H132" s="14"/>
      <c r="I132" s="14"/>
      <c r="J132" s="14"/>
      <c r="K132" s="14"/>
      <c r="L132" s="14"/>
      <c r="M132" s="14"/>
      <c r="N132" s="148"/>
      <c r="O132" s="14"/>
      <c r="P132" s="28"/>
      <c r="Q132" s="149"/>
      <c r="R132" s="28"/>
      <c r="S132" s="28"/>
      <c r="T132" s="31"/>
      <c r="U132" s="200"/>
      <c r="V132" s="200"/>
      <c r="W132" s="200"/>
      <c r="X132" s="200"/>
      <c r="Y132" s="200"/>
      <c r="Z132" s="200"/>
      <c r="AA132" s="201"/>
      <c r="AE132" s="200"/>
      <c r="AF132" s="200"/>
      <c r="AG132" s="200"/>
      <c r="AH132" s="200"/>
    </row>
    <row r="133" spans="1:37" s="191" customFormat="1" ht="36" hidden="1" customHeight="1">
      <c r="A133" s="187"/>
      <c r="B133" s="187"/>
      <c r="C133" s="192"/>
      <c r="D133" s="28"/>
      <c r="E133" s="14"/>
      <c r="F133" s="14"/>
      <c r="G133" s="14"/>
      <c r="H133" s="14"/>
      <c r="I133" s="14"/>
      <c r="J133" s="14"/>
      <c r="K133" s="14"/>
      <c r="L133" s="14"/>
      <c r="M133" s="14"/>
      <c r="N133" s="148"/>
      <c r="O133" s="14"/>
      <c r="P133" s="28"/>
      <c r="Q133" s="149"/>
      <c r="R133" s="28"/>
      <c r="S133" s="28"/>
      <c r="T133" s="31"/>
      <c r="U133" s="200"/>
      <c r="V133" s="200"/>
      <c r="W133" s="200"/>
      <c r="X133" s="200"/>
      <c r="Y133" s="200"/>
      <c r="Z133" s="200"/>
      <c r="AA133" s="201"/>
      <c r="AE133" s="200"/>
      <c r="AF133" s="200"/>
      <c r="AG133" s="200"/>
      <c r="AH133" s="200"/>
    </row>
    <row r="134" spans="1:37" s="191" customFormat="1" ht="36" customHeight="1">
      <c r="A134" s="187"/>
      <c r="B134" s="187"/>
      <c r="C134" s="192"/>
      <c r="D134" s="28"/>
      <c r="E134" s="772" t="s">
        <v>4037</v>
      </c>
      <c r="F134" s="773"/>
      <c r="G134" s="786" t="str">
        <f>IF($AB$1=0,"",$AB$2)</f>
        <v/>
      </c>
      <c r="H134" s="787"/>
      <c r="I134" s="764" t="s">
        <v>4277</v>
      </c>
      <c r="J134" s="765"/>
      <c r="K134" s="765"/>
      <c r="L134" s="766"/>
      <c r="M134" s="254" t="s">
        <v>3982</v>
      </c>
      <c r="N134" s="264" t="str">
        <f>IF('入力シート（計画書）'!N134="","",'入力シート（計画書）'!N134)</f>
        <v/>
      </c>
      <c r="O134" s="258" t="s">
        <v>4499</v>
      </c>
      <c r="P134" s="254" t="s">
        <v>109</v>
      </c>
      <c r="Q134" s="708" t="str">
        <f>IF('入力シート（計画書）'!Q134="","",'入力シート（計画書）'!Q134)</f>
        <v/>
      </c>
      <c r="R134" s="259" t="str">
        <f>"t-CO₂/"&amp;$G$97</f>
        <v>t-CO₂/</v>
      </c>
      <c r="S134" s="28"/>
      <c r="T134" s="28"/>
      <c r="U134" s="197"/>
      <c r="V134" s="197"/>
      <c r="W134" s="200"/>
      <c r="X134" s="200"/>
      <c r="Y134" s="200"/>
      <c r="Z134" s="200"/>
      <c r="AA134" s="200"/>
      <c r="AB134" s="200"/>
      <c r="AC134" s="200"/>
      <c r="AD134" s="201"/>
      <c r="AH134" s="200"/>
      <c r="AI134" s="200"/>
      <c r="AJ134" s="200"/>
      <c r="AK134" s="200"/>
    </row>
    <row r="135" spans="1:37" s="191" customFormat="1" ht="36" customHeight="1">
      <c r="A135" s="187"/>
      <c r="B135" s="187"/>
      <c r="C135" s="192"/>
      <c r="D135" s="28"/>
      <c r="E135" s="774"/>
      <c r="F135" s="775"/>
      <c r="G135" s="788"/>
      <c r="H135" s="789"/>
      <c r="I135" s="781"/>
      <c r="J135" s="782"/>
      <c r="K135" s="782"/>
      <c r="L135" s="783"/>
      <c r="M135" s="254" t="s">
        <v>4233</v>
      </c>
      <c r="N135" s="269" t="str">
        <f>IFERROR((IF(N134="","",INT((N$130-N134)/N$130*10000)/100)),"")</f>
        <v/>
      </c>
      <c r="O135" s="258" t="s">
        <v>106</v>
      </c>
      <c r="P135" s="265" t="s">
        <v>4233</v>
      </c>
      <c r="Q135" s="269" t="str">
        <f>IFERROR((IF(Q134="","",INT((Q$130-Q134)/Q$130*10000)/100)),"")</f>
        <v/>
      </c>
      <c r="R135" s="258" t="s">
        <v>106</v>
      </c>
      <c r="S135" s="28"/>
      <c r="T135" s="28"/>
      <c r="U135" s="197"/>
      <c r="V135" s="197"/>
      <c r="W135" s="200"/>
      <c r="X135" s="200"/>
      <c r="Y135" s="200"/>
      <c r="Z135" s="200"/>
      <c r="AA135" s="200"/>
      <c r="AB135" s="200"/>
      <c r="AC135" s="200"/>
      <c r="AD135" s="201"/>
      <c r="AH135" s="200"/>
      <c r="AI135" s="200"/>
      <c r="AJ135" s="200"/>
      <c r="AK135" s="200"/>
    </row>
    <row r="136" spans="1:37" s="191" customFormat="1" ht="36" customHeight="1">
      <c r="A136" s="187"/>
      <c r="B136" s="187"/>
      <c r="C136" s="192"/>
      <c r="D136" s="28"/>
      <c r="E136" s="776"/>
      <c r="F136" s="777"/>
      <c r="G136" s="790"/>
      <c r="H136" s="791"/>
      <c r="I136" s="748" t="s">
        <v>4524</v>
      </c>
      <c r="J136" s="749"/>
      <c r="K136" s="749"/>
      <c r="L136" s="749"/>
      <c r="M136" s="749"/>
      <c r="N136" s="749"/>
      <c r="O136" s="749"/>
      <c r="P136" s="750"/>
      <c r="Q136" s="270" t="str">
        <f>IF('入力シート（計画書）'!Q136="","",'入力シート（計画書）'!Q136)</f>
        <v/>
      </c>
      <c r="R136" s="260" t="s">
        <v>106</v>
      </c>
      <c r="S136" s="28"/>
      <c r="T136" s="28"/>
      <c r="U136" s="197"/>
      <c r="V136" s="197"/>
      <c r="W136" s="200"/>
      <c r="X136" s="200"/>
      <c r="Y136" s="200"/>
      <c r="Z136" s="200"/>
      <c r="AA136" s="200"/>
      <c r="AB136" s="200"/>
      <c r="AC136" s="200"/>
      <c r="AD136" s="201"/>
      <c r="AH136" s="200"/>
      <c r="AI136" s="200"/>
      <c r="AJ136" s="200"/>
      <c r="AK136" s="200"/>
    </row>
    <row r="137" spans="1:37" s="191" customFormat="1" ht="36" customHeight="1">
      <c r="A137" s="187"/>
      <c r="B137" s="187"/>
      <c r="C137" s="192"/>
      <c r="D137" s="28"/>
      <c r="E137" s="772" t="s">
        <v>4009</v>
      </c>
      <c r="F137" s="773"/>
      <c r="G137" s="786" t="str">
        <f>IF($AB$1=0,"",$AB$1+1)</f>
        <v/>
      </c>
      <c r="H137" s="787"/>
      <c r="I137" s="764" t="s">
        <v>4277</v>
      </c>
      <c r="J137" s="765"/>
      <c r="K137" s="765"/>
      <c r="L137" s="766"/>
      <c r="M137" s="254" t="s">
        <v>4023</v>
      </c>
      <c r="N137" s="264" t="str">
        <f>IF('R1-1'!R4=0,"",'R1-1'!V14)</f>
        <v/>
      </c>
      <c r="O137" s="258" t="s">
        <v>4499</v>
      </c>
      <c r="P137" s="265" t="s">
        <v>3041</v>
      </c>
      <c r="Q137" s="708" t="str">
        <f>IF('R1-1'!R4=0,"",'R1-1'!V17)</f>
        <v/>
      </c>
      <c r="R137" s="259" t="str">
        <f>"t-CO₂/"&amp;$G$97</f>
        <v>t-CO₂/</v>
      </c>
      <c r="S137" s="28"/>
      <c r="T137" s="28"/>
      <c r="U137" s="197"/>
      <c r="V137" s="197"/>
      <c r="W137" s="200"/>
      <c r="AD137" s="199"/>
      <c r="AH137" s="200"/>
      <c r="AI137" s="200"/>
      <c r="AJ137" s="200"/>
      <c r="AK137" s="200"/>
    </row>
    <row r="138" spans="1:37" s="191" customFormat="1" ht="36" customHeight="1">
      <c r="A138" s="187"/>
      <c r="B138" s="187"/>
      <c r="C138" s="192"/>
      <c r="D138" s="28"/>
      <c r="E138" s="774"/>
      <c r="F138" s="775"/>
      <c r="G138" s="788"/>
      <c r="H138" s="789"/>
      <c r="I138" s="781"/>
      <c r="J138" s="782"/>
      <c r="K138" s="782"/>
      <c r="L138" s="783"/>
      <c r="M138" s="254" t="s">
        <v>4233</v>
      </c>
      <c r="N138" s="269" t="str">
        <f>IFERROR((IF(N137="","",INT((N$130-N137)/N$130*10000)/100)),"")</f>
        <v/>
      </c>
      <c r="O138" s="258" t="s">
        <v>106</v>
      </c>
      <c r="P138" s="254" t="s">
        <v>4233</v>
      </c>
      <c r="Q138" s="262" t="str">
        <f>IFERROR((IF(Q137="","",INT((Q$130-Q137)/Q$130*10000)/100)),"")</f>
        <v/>
      </c>
      <c r="R138" s="258" t="s">
        <v>106</v>
      </c>
      <c r="S138" s="28"/>
      <c r="T138" s="28"/>
      <c r="U138" s="197"/>
      <c r="V138" s="197"/>
      <c r="AD138" s="199"/>
      <c r="AG138" s="200"/>
      <c r="AH138" s="200"/>
      <c r="AI138" s="200"/>
      <c r="AJ138" s="200"/>
    </row>
    <row r="139" spans="1:37" s="191" customFormat="1" ht="36" customHeight="1">
      <c r="A139" s="187"/>
      <c r="B139" s="187"/>
      <c r="C139" s="192"/>
      <c r="D139" s="28"/>
      <c r="E139" s="776"/>
      <c r="F139" s="777"/>
      <c r="G139" s="790"/>
      <c r="H139" s="791"/>
      <c r="I139" s="748" t="s">
        <v>4511</v>
      </c>
      <c r="J139" s="749"/>
      <c r="K139" s="749"/>
      <c r="L139" s="749"/>
      <c r="M139" s="749"/>
      <c r="N139" s="749"/>
      <c r="O139" s="749"/>
      <c r="P139" s="750"/>
      <c r="Q139" s="270" t="str">
        <f>'入力シート（第２年度報告書）'!Q139</f>
        <v/>
      </c>
      <c r="R139" s="260" t="s">
        <v>106</v>
      </c>
      <c r="S139" s="28"/>
      <c r="T139" s="28"/>
      <c r="U139" s="197"/>
      <c r="V139" s="197"/>
      <c r="AD139" s="199"/>
      <c r="AG139" s="200"/>
      <c r="AH139" s="200"/>
      <c r="AI139" s="200"/>
      <c r="AJ139" s="200"/>
    </row>
    <row r="140" spans="1:37" s="191" customFormat="1" ht="36" customHeight="1">
      <c r="A140" s="187"/>
      <c r="B140" s="187"/>
      <c r="C140" s="192"/>
      <c r="D140" s="28"/>
      <c r="E140" s="772" t="s">
        <v>4014</v>
      </c>
      <c r="F140" s="773"/>
      <c r="G140" s="786" t="str">
        <f>IF($AB$1=0,"",IF($AB$1+2&lt;=$AB$2,$AB$1+2,"---------------"))</f>
        <v/>
      </c>
      <c r="H140" s="787"/>
      <c r="I140" s="764" t="s">
        <v>4277</v>
      </c>
      <c r="J140" s="765"/>
      <c r="K140" s="765"/>
      <c r="L140" s="766"/>
      <c r="M140" s="254" t="s">
        <v>4023</v>
      </c>
      <c r="N140" s="264" t="str">
        <f>IF('R1-2'!R4=0,"",'R1-2'!V14)</f>
        <v/>
      </c>
      <c r="O140" s="258" t="s">
        <v>4499</v>
      </c>
      <c r="P140" s="265" t="s">
        <v>3041</v>
      </c>
      <c r="Q140" s="708" t="str">
        <f>IF('R1-2'!R4=0,"",'R1-2'!V17)</f>
        <v/>
      </c>
      <c r="R140" s="259" t="str">
        <f>"t-CO₂/"&amp;$G$97</f>
        <v>t-CO₂/</v>
      </c>
      <c r="S140" s="28"/>
      <c r="T140" s="28"/>
      <c r="U140" s="197"/>
      <c r="V140" s="197"/>
      <c r="AD140" s="199"/>
      <c r="AG140" s="200"/>
      <c r="AH140" s="200"/>
      <c r="AI140" s="200"/>
      <c r="AJ140" s="200"/>
    </row>
    <row r="141" spans="1:37" s="191" customFormat="1" ht="36" customHeight="1">
      <c r="A141" s="187"/>
      <c r="B141" s="187"/>
      <c r="C141" s="192"/>
      <c r="D141" s="28"/>
      <c r="E141" s="774"/>
      <c r="F141" s="775"/>
      <c r="G141" s="788"/>
      <c r="H141" s="789"/>
      <c r="I141" s="781"/>
      <c r="J141" s="782"/>
      <c r="K141" s="782"/>
      <c r="L141" s="783"/>
      <c r="M141" s="254" t="s">
        <v>4233</v>
      </c>
      <c r="N141" s="269" t="str">
        <f>IFERROR((IF(N140="","",INT((N$130-N140)/N$130*10000)/100)),"")</f>
        <v/>
      </c>
      <c r="O141" s="258" t="s">
        <v>106</v>
      </c>
      <c r="P141" s="265" t="s">
        <v>4233</v>
      </c>
      <c r="Q141" s="269" t="str">
        <f>IFERROR((IF(Q140="","",INT((Q$130-Q140)/Q$130*10000)/100)),"")</f>
        <v/>
      </c>
      <c r="R141" s="258" t="s">
        <v>106</v>
      </c>
      <c r="S141" s="28"/>
      <c r="T141" s="28"/>
      <c r="U141" s="197"/>
      <c r="V141" s="197"/>
      <c r="W141" s="200"/>
      <c r="X141" s="200"/>
      <c r="Y141" s="200"/>
      <c r="Z141" s="200"/>
      <c r="AA141" s="200"/>
      <c r="AB141" s="200"/>
      <c r="AC141" s="200"/>
      <c r="AD141" s="199"/>
      <c r="AG141" s="200"/>
      <c r="AH141" s="200"/>
      <c r="AI141" s="200"/>
      <c r="AJ141" s="200"/>
    </row>
    <row r="142" spans="1:37" s="191" customFormat="1" ht="36" customHeight="1">
      <c r="A142" s="187"/>
      <c r="B142" s="187"/>
      <c r="C142" s="192"/>
      <c r="D142" s="28"/>
      <c r="E142" s="776"/>
      <c r="F142" s="777"/>
      <c r="G142" s="790"/>
      <c r="H142" s="791"/>
      <c r="I142" s="748" t="s">
        <v>4511</v>
      </c>
      <c r="J142" s="749"/>
      <c r="K142" s="749"/>
      <c r="L142" s="749"/>
      <c r="M142" s="749"/>
      <c r="N142" s="749"/>
      <c r="O142" s="749"/>
      <c r="P142" s="750"/>
      <c r="Q142" s="270" t="str">
        <f>'入力シート（第２年度報告書）'!Q142</f>
        <v/>
      </c>
      <c r="R142" s="260" t="s">
        <v>106</v>
      </c>
      <c r="S142" s="28"/>
      <c r="T142" s="28"/>
      <c r="U142" s="197"/>
      <c r="V142" s="197"/>
      <c r="W142" s="200"/>
      <c r="X142" s="200"/>
      <c r="Y142" s="200"/>
      <c r="Z142" s="200"/>
      <c r="AA142" s="200"/>
      <c r="AB142" s="200"/>
      <c r="AC142" s="200"/>
      <c r="AD142" s="201"/>
      <c r="AH142" s="200"/>
      <c r="AI142" s="200"/>
      <c r="AJ142" s="200"/>
      <c r="AK142" s="200"/>
    </row>
    <row r="143" spans="1:37" s="191" customFormat="1" ht="36" customHeight="1">
      <c r="A143" s="187"/>
      <c r="B143" s="187"/>
      <c r="C143" s="192"/>
      <c r="D143" s="28"/>
      <c r="E143" s="772" t="s">
        <v>4015</v>
      </c>
      <c r="F143" s="773"/>
      <c r="G143" s="786" t="str">
        <f>IF($AB$1=0,"",IF($AB$1+3&lt;=$AB$2,$AB$1+3,"---------------"))</f>
        <v/>
      </c>
      <c r="H143" s="787"/>
      <c r="I143" s="764" t="s">
        <v>4277</v>
      </c>
      <c r="J143" s="765"/>
      <c r="K143" s="765"/>
      <c r="L143" s="766"/>
      <c r="M143" s="254" t="s">
        <v>4023</v>
      </c>
      <c r="N143" s="264" t="str">
        <f>IF('R1-3'!R4=0,"",'R1-3'!V14)</f>
        <v/>
      </c>
      <c r="O143" s="258" t="s">
        <v>4499</v>
      </c>
      <c r="P143" s="265" t="s">
        <v>3041</v>
      </c>
      <c r="Q143" s="708" t="str">
        <f>IF('R1-3'!R4=0,"",'R1-3'!V17)</f>
        <v/>
      </c>
      <c r="R143" s="259" t="str">
        <f>"t-CO₂/"&amp;$G$97</f>
        <v>t-CO₂/</v>
      </c>
      <c r="S143" s="28"/>
      <c r="T143" s="28"/>
      <c r="U143" s="197"/>
      <c r="V143" s="197"/>
      <c r="W143" s="200"/>
      <c r="X143" s="200"/>
      <c r="Y143" s="200"/>
      <c r="Z143" s="200"/>
      <c r="AA143" s="200"/>
      <c r="AB143" s="200"/>
      <c r="AC143" s="200"/>
      <c r="AD143" s="199"/>
      <c r="AG143" s="200"/>
      <c r="AH143" s="200"/>
      <c r="AI143" s="200"/>
      <c r="AJ143" s="200"/>
    </row>
    <row r="144" spans="1:37" s="191" customFormat="1" ht="36" customHeight="1">
      <c r="A144" s="187"/>
      <c r="B144" s="187"/>
      <c r="C144" s="192"/>
      <c r="D144" s="28"/>
      <c r="E144" s="774"/>
      <c r="F144" s="775"/>
      <c r="G144" s="788"/>
      <c r="H144" s="789"/>
      <c r="I144" s="781"/>
      <c r="J144" s="782"/>
      <c r="K144" s="782"/>
      <c r="L144" s="783"/>
      <c r="M144" s="254" t="s">
        <v>4233</v>
      </c>
      <c r="N144" s="269" t="str">
        <f>IFERROR((IF(N143="","",INT((N$130-N143)/N$130*10000)/100)),"")</f>
        <v/>
      </c>
      <c r="O144" s="258" t="s">
        <v>106</v>
      </c>
      <c r="P144" s="265" t="s">
        <v>4233</v>
      </c>
      <c r="Q144" s="269" t="str">
        <f>IFERROR((IF(Q143="","",INT((Q$130-Q143)/Q$130*10000)/100)),"")</f>
        <v/>
      </c>
      <c r="R144" s="258" t="s">
        <v>106</v>
      </c>
      <c r="S144" s="28"/>
      <c r="T144" s="28"/>
      <c r="U144" s="197"/>
      <c r="V144" s="197"/>
      <c r="W144" s="200"/>
      <c r="X144" s="200"/>
      <c r="Y144" s="200"/>
      <c r="Z144" s="200"/>
      <c r="AA144" s="200"/>
      <c r="AB144" s="200"/>
      <c r="AC144" s="200"/>
      <c r="AD144" s="201"/>
      <c r="AH144" s="200"/>
      <c r="AI144" s="200"/>
      <c r="AJ144" s="200"/>
      <c r="AK144" s="200"/>
    </row>
    <row r="145" spans="1:36" s="191" customFormat="1" ht="36" customHeight="1">
      <c r="A145" s="187"/>
      <c r="B145" s="187"/>
      <c r="C145" s="192"/>
      <c r="D145" s="28"/>
      <c r="E145" s="776"/>
      <c r="F145" s="777"/>
      <c r="G145" s="790"/>
      <c r="H145" s="791"/>
      <c r="I145" s="748" t="s">
        <v>4511</v>
      </c>
      <c r="J145" s="749"/>
      <c r="K145" s="749"/>
      <c r="L145" s="749"/>
      <c r="M145" s="749"/>
      <c r="N145" s="749"/>
      <c r="O145" s="749"/>
      <c r="P145" s="750"/>
      <c r="Q145" s="270" t="str">
        <f>IF(OR(G121=0,G121="",N121=0,N121="")=TRUE,"",'R1-3'!V20)</f>
        <v/>
      </c>
      <c r="R145" s="260" t="s">
        <v>106</v>
      </c>
      <c r="S145" s="28"/>
      <c r="T145" s="28"/>
      <c r="U145" s="197"/>
      <c r="V145" s="197"/>
      <c r="W145" s="200"/>
      <c r="X145" s="200"/>
      <c r="Y145" s="200"/>
      <c r="Z145" s="200"/>
      <c r="AA145" s="200"/>
      <c r="AB145" s="200"/>
      <c r="AC145" s="200"/>
      <c r="AD145" s="199"/>
      <c r="AG145" s="200"/>
      <c r="AH145" s="200"/>
      <c r="AI145" s="200"/>
      <c r="AJ145" s="200"/>
    </row>
    <row r="146" spans="1:36" s="191" customFormat="1" ht="18" hidden="1" customHeight="1">
      <c r="A146" s="187"/>
      <c r="B146" s="187"/>
      <c r="C146" s="192"/>
      <c r="D146" s="28"/>
      <c r="E146" s="14"/>
      <c r="F146" s="14"/>
      <c r="G146" s="14"/>
      <c r="H146" s="14"/>
      <c r="I146" s="14"/>
      <c r="J146" s="14"/>
      <c r="K146" s="14"/>
      <c r="L146" s="14"/>
      <c r="M146" s="14"/>
      <c r="N146" s="14"/>
      <c r="O146" s="14"/>
      <c r="P146" s="28"/>
      <c r="Q146" s="28"/>
      <c r="R146" s="28"/>
      <c r="S146" s="28"/>
      <c r="T146" s="31"/>
      <c r="U146" s="200"/>
      <c r="V146" s="200"/>
      <c r="W146" s="200"/>
      <c r="X146" s="200"/>
      <c r="Y146" s="200"/>
      <c r="Z146" s="200"/>
      <c r="AA146" s="201"/>
      <c r="AE146" s="200"/>
      <c r="AF146" s="200"/>
      <c r="AG146" s="200"/>
      <c r="AH146" s="200"/>
    </row>
    <row r="147" spans="1:36" s="191" customFormat="1" ht="18" customHeight="1">
      <c r="A147" s="187"/>
      <c r="B147" s="187"/>
      <c r="C147" s="192"/>
      <c r="D147" s="28"/>
      <c r="E147" s="28"/>
      <c r="F147" s="28"/>
      <c r="G147" s="28"/>
      <c r="H147" s="28"/>
      <c r="I147" s="28"/>
      <c r="J147" s="28"/>
      <c r="K147" s="28"/>
      <c r="L147" s="28"/>
      <c r="M147" s="28"/>
      <c r="N147" s="28"/>
      <c r="O147" s="28"/>
      <c r="P147" s="28"/>
      <c r="Q147" s="28"/>
      <c r="R147" s="28"/>
      <c r="S147" s="28"/>
      <c r="T147" s="31"/>
      <c r="U147" s="200"/>
      <c r="V147" s="200"/>
      <c r="W147" s="200"/>
      <c r="X147" s="200"/>
      <c r="Y147" s="200"/>
      <c r="Z147" s="200"/>
      <c r="AA147" s="201"/>
      <c r="AE147" s="200"/>
      <c r="AF147" s="200"/>
      <c r="AG147" s="200"/>
      <c r="AH147" s="200"/>
    </row>
    <row r="148" spans="1:36" s="191" customFormat="1" ht="18" customHeight="1">
      <c r="A148" s="187"/>
      <c r="B148" s="187"/>
      <c r="C148" s="187"/>
      <c r="D148" s="14"/>
      <c r="E148" s="14" t="str">
        <f>"第３年度（"&amp;$AB$1+3&amp;"年度）における温室効果ガス排出量等の増減理由をご入力ください。"</f>
        <v>第３年度（3年度）における温室効果ガス排出量等の増減理由をご入力ください。</v>
      </c>
      <c r="F148" s="141"/>
      <c r="G148" s="14"/>
      <c r="H148" s="14"/>
      <c r="I148" s="14"/>
      <c r="J148" s="14"/>
      <c r="K148" s="14"/>
      <c r="L148" s="14"/>
      <c r="M148" s="14"/>
      <c r="N148" s="14"/>
      <c r="O148" s="14"/>
      <c r="P148" s="14"/>
      <c r="Q148" s="14"/>
      <c r="R148" s="14"/>
      <c r="S148" s="14"/>
      <c r="T148" s="14"/>
      <c r="AA148" s="199"/>
      <c r="AD148" s="200"/>
      <c r="AE148" s="200"/>
      <c r="AF148" s="200"/>
      <c r="AG148" s="200"/>
    </row>
    <row r="149" spans="1:36" s="191" customFormat="1" ht="100.25" hidden="1" customHeight="1">
      <c r="A149" s="187"/>
      <c r="B149" s="187"/>
      <c r="C149" s="192"/>
      <c r="D149" s="28"/>
      <c r="E149" s="784" t="s">
        <v>4234</v>
      </c>
      <c r="F149" s="785"/>
      <c r="G149" s="114"/>
      <c r="H149" s="115"/>
      <c r="I149" s="115"/>
      <c r="J149" s="115"/>
      <c r="K149" s="115"/>
      <c r="L149" s="115"/>
      <c r="M149" s="115"/>
      <c r="N149" s="115"/>
      <c r="O149" s="116"/>
      <c r="P149" s="23"/>
      <c r="Q149" s="28"/>
      <c r="R149" s="28"/>
      <c r="S149" s="28"/>
      <c r="T149" s="14"/>
      <c r="AA149" s="199"/>
      <c r="AD149" s="200"/>
      <c r="AE149" s="200"/>
      <c r="AF149" s="200"/>
      <c r="AG149" s="200"/>
    </row>
    <row r="150" spans="1:36" s="191" customFormat="1" ht="200" customHeight="1">
      <c r="A150" s="187"/>
      <c r="B150" s="187"/>
      <c r="C150" s="192"/>
      <c r="D150" s="28"/>
      <c r="E150" s="801" t="s">
        <v>4239</v>
      </c>
      <c r="F150" s="802"/>
      <c r="G150" s="953"/>
      <c r="H150" s="954"/>
      <c r="I150" s="954"/>
      <c r="J150" s="954"/>
      <c r="K150" s="954"/>
      <c r="L150" s="954"/>
      <c r="M150" s="954"/>
      <c r="N150" s="954"/>
      <c r="O150" s="954"/>
      <c r="P150" s="954"/>
      <c r="Q150" s="954"/>
      <c r="R150" s="955"/>
      <c r="S150" s="28"/>
      <c r="T150" s="14"/>
      <c r="AA150" s="199"/>
      <c r="AD150" s="200"/>
      <c r="AE150" s="200"/>
      <c r="AF150" s="200"/>
      <c r="AG150" s="200"/>
    </row>
    <row r="151" spans="1:36" s="191" customFormat="1" ht="100.25" hidden="1" customHeight="1">
      <c r="A151" s="187"/>
      <c r="B151" s="187"/>
      <c r="C151" s="192"/>
      <c r="D151" s="28"/>
      <c r="E151" s="746" t="s">
        <v>4239</v>
      </c>
      <c r="F151" s="747"/>
      <c r="G151" s="964"/>
      <c r="H151" s="965"/>
      <c r="I151" s="965"/>
      <c r="J151" s="965"/>
      <c r="K151" s="965"/>
      <c r="L151" s="965"/>
      <c r="M151" s="965"/>
      <c r="N151" s="965"/>
      <c r="O151" s="966"/>
      <c r="P151" s="23"/>
      <c r="Q151" s="28"/>
      <c r="R151" s="28"/>
      <c r="S151" s="28"/>
      <c r="T151" s="31"/>
      <c r="U151" s="200"/>
      <c r="V151" s="200"/>
      <c r="W151" s="200"/>
      <c r="X151" s="200"/>
      <c r="Y151" s="200"/>
      <c r="Z151" s="200"/>
      <c r="AA151" s="199"/>
      <c r="AD151" s="200"/>
      <c r="AE151" s="200"/>
      <c r="AF151" s="200"/>
      <c r="AG151" s="200"/>
    </row>
    <row r="152" spans="1:36" s="197" customFormat="1" ht="100.25" hidden="1" customHeight="1">
      <c r="A152" s="192"/>
      <c r="B152" s="192"/>
      <c r="C152" s="192"/>
      <c r="D152" s="28"/>
      <c r="E152" s="746" t="s">
        <v>4239</v>
      </c>
      <c r="F152" s="747"/>
      <c r="G152" s="957"/>
      <c r="H152" s="958"/>
      <c r="I152" s="958"/>
      <c r="J152" s="958"/>
      <c r="K152" s="958"/>
      <c r="L152" s="958"/>
      <c r="M152" s="958"/>
      <c r="N152" s="958"/>
      <c r="O152" s="958"/>
      <c r="P152" s="958"/>
      <c r="Q152" s="958"/>
      <c r="R152" s="959"/>
      <c r="S152" s="28"/>
      <c r="T152" s="14"/>
      <c r="U152" s="191"/>
      <c r="V152" s="191"/>
      <c r="W152" s="191"/>
      <c r="X152" s="191"/>
      <c r="Y152" s="191"/>
      <c r="Z152" s="191"/>
      <c r="AA152" s="199"/>
      <c r="AB152" s="191"/>
      <c r="AC152" s="191"/>
      <c r="AD152" s="191"/>
      <c r="AE152" s="191"/>
      <c r="AF152" s="191"/>
      <c r="AG152" s="191"/>
      <c r="AH152" s="191"/>
    </row>
    <row r="153" spans="1:36" s="197" customFormat="1" ht="18" customHeight="1">
      <c r="A153" s="192"/>
      <c r="B153" s="192"/>
      <c r="C153" s="192"/>
      <c r="D153" s="28"/>
      <c r="E153" s="28"/>
      <c r="F153" s="28"/>
      <c r="G153" s="28"/>
      <c r="H153" s="28"/>
      <c r="I153" s="28"/>
      <c r="J153" s="28"/>
      <c r="K153" s="28"/>
      <c r="L153" s="28"/>
      <c r="M153" s="28"/>
      <c r="N153" s="28"/>
      <c r="O153" s="28"/>
      <c r="P153" s="28"/>
      <c r="Q153" s="28"/>
      <c r="R153" s="28"/>
      <c r="S153" s="28"/>
      <c r="T153" s="14"/>
      <c r="U153" s="191"/>
      <c r="V153" s="191"/>
      <c r="W153" s="191"/>
      <c r="X153" s="191"/>
      <c r="Y153" s="191"/>
      <c r="Z153" s="191"/>
      <c r="AA153" s="199"/>
      <c r="AB153" s="191"/>
      <c r="AC153" s="191"/>
      <c r="AD153" s="191"/>
      <c r="AE153" s="191"/>
      <c r="AF153" s="191"/>
      <c r="AG153" s="191"/>
      <c r="AH153" s="191"/>
    </row>
    <row r="154" spans="1:36" s="191" customFormat="1" ht="18" customHeight="1">
      <c r="A154" s="187"/>
      <c r="B154" s="187"/>
      <c r="C154" s="187"/>
      <c r="D154" s="28"/>
      <c r="E154" s="28"/>
      <c r="F154" s="28"/>
      <c r="G154" s="28"/>
      <c r="H154" s="28"/>
      <c r="I154" s="28"/>
      <c r="J154" s="28"/>
      <c r="K154" s="28"/>
      <c r="L154" s="28"/>
      <c r="M154" s="28"/>
      <c r="N154" s="28"/>
      <c r="O154" s="14"/>
      <c r="P154" s="14"/>
      <c r="Q154" s="79"/>
      <c r="R154" s="14"/>
      <c r="S154" s="14"/>
      <c r="T154" s="14"/>
      <c r="AA154" s="199"/>
    </row>
    <row r="155" spans="1:36" s="191" customFormat="1" ht="18" customHeight="1">
      <c r="A155" s="187"/>
      <c r="B155" s="187"/>
      <c r="C155" s="187"/>
      <c r="D155" s="34" t="s">
        <v>4436</v>
      </c>
      <c r="E155" s="14"/>
      <c r="F155" s="28"/>
      <c r="G155" s="28"/>
      <c r="H155" s="28"/>
      <c r="I155" s="28"/>
      <c r="J155" s="28"/>
      <c r="K155" s="28"/>
      <c r="L155" s="28"/>
      <c r="M155" s="28"/>
      <c r="N155" s="28"/>
      <c r="O155" s="14"/>
      <c r="P155" s="14"/>
      <c r="Q155" s="14"/>
      <c r="R155" s="79"/>
      <c r="S155" s="14"/>
      <c r="T155" s="14"/>
      <c r="AA155" s="199"/>
    </row>
    <row r="156" spans="1:36" s="191" customFormat="1" ht="18" customHeight="1">
      <c r="A156" s="187"/>
      <c r="B156" s="187"/>
      <c r="C156" s="187"/>
      <c r="D156" s="288"/>
      <c r="E156" s="16" t="s">
        <v>4437</v>
      </c>
      <c r="F156" s="28"/>
      <c r="G156" s="28"/>
      <c r="H156" s="28"/>
      <c r="I156" s="28"/>
      <c r="J156" s="28"/>
      <c r="K156" s="28"/>
      <c r="L156" s="28"/>
      <c r="M156" s="28"/>
      <c r="N156" s="28"/>
      <c r="O156" s="14"/>
      <c r="P156" s="14"/>
      <c r="Q156" s="14"/>
      <c r="R156" s="14"/>
      <c r="S156" s="14"/>
      <c r="T156" s="14"/>
      <c r="AA156" s="199"/>
    </row>
    <row r="157" spans="1:36" s="191" customFormat="1" ht="20.149999999999999" customHeight="1">
      <c r="A157" s="187"/>
      <c r="B157" s="187"/>
      <c r="C157" s="187"/>
      <c r="D157" s="14"/>
      <c r="E157" s="14"/>
      <c r="F157" s="14" t="str">
        <f>$AB$1+3&amp;"年度（第３年度）における実施状況をプルダウンから選択してください。"</f>
        <v>3年度（第３年度）における実施状況をプルダウンから選択してください。</v>
      </c>
      <c r="G157" s="28"/>
      <c r="H157" s="28"/>
      <c r="I157" s="28"/>
      <c r="J157" s="28"/>
      <c r="K157" s="28"/>
      <c r="L157" s="28"/>
      <c r="M157" s="28"/>
      <c r="N157" s="28"/>
      <c r="O157" s="14"/>
      <c r="P157" s="14"/>
      <c r="Q157" s="14"/>
      <c r="R157" s="14"/>
      <c r="S157" s="14"/>
      <c r="T157" s="14"/>
      <c r="AA157" s="199"/>
    </row>
    <row r="158" spans="1:36" s="191" customFormat="1" ht="20" hidden="1" customHeight="1">
      <c r="A158" s="187"/>
      <c r="B158" s="187"/>
      <c r="C158" s="187"/>
      <c r="D158" s="14"/>
      <c r="E158" s="14"/>
      <c r="F158" s="28"/>
      <c r="G158" s="28"/>
      <c r="H158" s="28"/>
      <c r="I158" s="28"/>
      <c r="J158" s="28"/>
      <c r="K158" s="28"/>
      <c r="L158" s="28"/>
      <c r="M158" s="28"/>
      <c r="N158" s="28"/>
      <c r="O158" s="14"/>
      <c r="P158" s="14"/>
      <c r="Q158" s="14"/>
      <c r="R158" s="14"/>
      <c r="S158" s="14"/>
      <c r="T158" s="14"/>
      <c r="AA158" s="199"/>
    </row>
    <row r="159" spans="1:36" s="191" customFormat="1" ht="25.25" hidden="1" customHeight="1">
      <c r="A159" s="187"/>
      <c r="B159" s="187"/>
      <c r="C159" s="187"/>
      <c r="D159" s="14"/>
      <c r="E159" s="14"/>
      <c r="F159" s="28"/>
      <c r="G159" s="28"/>
      <c r="H159" s="28"/>
      <c r="I159" s="28"/>
      <c r="J159" s="28"/>
      <c r="K159" s="28"/>
      <c r="L159" s="28"/>
      <c r="M159" s="28"/>
      <c r="N159" s="28"/>
      <c r="O159" s="14"/>
      <c r="P159" s="14"/>
      <c r="Q159" s="14"/>
      <c r="R159" s="14"/>
      <c r="S159" s="14"/>
      <c r="T159" s="14"/>
      <c r="AA159" s="199"/>
    </row>
    <row r="160" spans="1:36" s="191" customFormat="1" ht="20" hidden="1" customHeight="1">
      <c r="A160" s="187"/>
      <c r="B160" s="187"/>
      <c r="C160" s="187"/>
      <c r="D160" s="14"/>
      <c r="E160" s="14"/>
      <c r="F160" s="39"/>
      <c r="G160" s="14"/>
      <c r="H160" s="14"/>
      <c r="I160" s="39"/>
      <c r="J160" s="39"/>
      <c r="K160" s="14"/>
      <c r="L160" s="14"/>
      <c r="M160" s="39"/>
      <c r="N160" s="14"/>
      <c r="O160" s="39"/>
      <c r="P160" s="14"/>
      <c r="Q160" s="14"/>
      <c r="R160" s="14"/>
      <c r="S160" s="14"/>
      <c r="T160" s="14"/>
      <c r="AD160" s="199"/>
    </row>
    <row r="161" spans="1:33" s="191" customFormat="1" ht="20.149999999999999" customHeight="1">
      <c r="A161" s="187"/>
      <c r="B161" s="187"/>
      <c r="C161" s="187"/>
      <c r="D161" s="14"/>
      <c r="E161" s="249" t="s">
        <v>4240</v>
      </c>
      <c r="F161" s="14"/>
      <c r="G161" s="14"/>
      <c r="H161" s="14"/>
      <c r="I161" s="14"/>
      <c r="J161" s="14"/>
      <c r="K161" s="14"/>
      <c r="L161" s="14"/>
      <c r="M161" s="14"/>
      <c r="N161" s="14"/>
      <c r="O161" s="14"/>
      <c r="P161" s="14"/>
      <c r="Q161" s="14"/>
      <c r="R161" s="14"/>
      <c r="S161" s="14"/>
      <c r="T161" s="14"/>
      <c r="W161" s="282">
        <f>'R3'!$AB$5</f>
        <v>0</v>
      </c>
      <c r="AD161" s="199"/>
    </row>
    <row r="162" spans="1:33" ht="18" customHeight="1">
      <c r="D162" s="77"/>
      <c r="E162" s="745" t="s">
        <v>77</v>
      </c>
      <c r="F162" s="762" t="s">
        <v>78</v>
      </c>
      <c r="G162" s="792" t="s">
        <v>79</v>
      </c>
      <c r="H162" s="793"/>
      <c r="I162" s="793"/>
      <c r="J162" s="793"/>
      <c r="K162" s="793"/>
      <c r="L162" s="793"/>
      <c r="M162" s="794"/>
      <c r="N162" s="117" t="s">
        <v>4020</v>
      </c>
      <c r="O162" s="132"/>
      <c r="P162" s="132"/>
      <c r="Q162" s="136"/>
      <c r="R162" s="77"/>
      <c r="S162" s="77"/>
      <c r="T162" s="77"/>
      <c r="AA162" s="195"/>
      <c r="AB162" s="213" t="s">
        <v>4043</v>
      </c>
      <c r="AC162" s="213" t="s">
        <v>4044</v>
      </c>
      <c r="AD162" s="213"/>
      <c r="AE162" s="213" t="s">
        <v>4383</v>
      </c>
      <c r="AF162" s="195" t="s">
        <v>4384</v>
      </c>
    </row>
    <row r="163" spans="1:33" ht="18" customHeight="1">
      <c r="D163" s="77"/>
      <c r="E163" s="745"/>
      <c r="F163" s="763"/>
      <c r="G163" s="795"/>
      <c r="H163" s="796"/>
      <c r="I163" s="796"/>
      <c r="J163" s="796"/>
      <c r="K163" s="796"/>
      <c r="L163" s="796"/>
      <c r="M163" s="797"/>
      <c r="N163" s="119" t="s">
        <v>4016</v>
      </c>
      <c r="O163" s="119" t="s">
        <v>4009</v>
      </c>
      <c r="P163" s="119" t="s">
        <v>4014</v>
      </c>
      <c r="Q163" s="119" t="s">
        <v>4015</v>
      </c>
      <c r="R163" s="77"/>
      <c r="S163" s="77"/>
      <c r="T163" s="77"/>
      <c r="W163" s="214" t="str">
        <f>"第"&amp;W161&amp;"年度状況"</f>
        <v>第0年度状況</v>
      </c>
      <c r="X163" s="214" t="s">
        <v>4072</v>
      </c>
      <c r="Y163" s="215" t="s">
        <v>4073</v>
      </c>
      <c r="Z163" s="215"/>
      <c r="AA163" s="214" t="s">
        <v>4074</v>
      </c>
      <c r="AB163" s="214" t="s">
        <v>4072</v>
      </c>
      <c r="AC163" s="214" t="s">
        <v>4047</v>
      </c>
      <c r="AD163" s="214" t="s">
        <v>4058</v>
      </c>
      <c r="AE163" s="214" t="s">
        <v>4075</v>
      </c>
      <c r="AF163" s="214" t="s">
        <v>4385</v>
      </c>
      <c r="AG163" s="214" t="s">
        <v>4386</v>
      </c>
    </row>
    <row r="164" spans="1:33" ht="65.150000000000006" customHeight="1">
      <c r="D164" s="77"/>
      <c r="E164" s="122">
        <v>1</v>
      </c>
      <c r="F164" s="90" t="s">
        <v>3973</v>
      </c>
      <c r="G164" s="755" t="s">
        <v>4464</v>
      </c>
      <c r="H164" s="756"/>
      <c r="I164" s="756"/>
      <c r="J164" s="756"/>
      <c r="K164" s="756"/>
      <c r="L164" s="756"/>
      <c r="M164" s="757"/>
      <c r="N164" s="8" t="str">
        <f>IF('入力シート（計画書）'!N164="","",'入力シート（計画書）'!N164)</f>
        <v/>
      </c>
      <c r="O164" s="9" t="str">
        <f>IFERROR(IF(VLOOKUP(E164,'入力シート（第１年度報告書）'!$E$164:$O$193,11,0)="","未入力",VLOOKUP(E164,'入力シート（第１年度報告書）'!$E$164:$O$193,11,0)),"-------")</f>
        <v>未入力</v>
      </c>
      <c r="P164" s="9" t="str">
        <f>IFERROR(IF(VLOOKUP(E164,'入力シート（第２年度報告書）'!$E$164:$P$193,12,0)="","未入力",VLOOKUP(E164,'入力シート（第２年度報告書）'!$E$164:$P$193,12,0)),"-------")</f>
        <v>未入力</v>
      </c>
      <c r="Q164" s="1"/>
      <c r="R164" s="77"/>
      <c r="S164" s="77"/>
      <c r="T164" s="77"/>
      <c r="W164" s="216" t="s">
        <v>4047</v>
      </c>
      <c r="X164" s="216" t="str">
        <f>IFERROR(CHOOSE($W$161,COUNTIFS($O$164:$O$186,$W164),COUNTIFS($P$164:$P$186,$W164),COUNTIFS($Q$164:$Q$186,$W164)),"------")</f>
        <v>------</v>
      </c>
      <c r="Y164" s="213">
        <v>5</v>
      </c>
      <c r="AA164" s="217" t="s">
        <v>4071</v>
      </c>
      <c r="AB164" s="217">
        <f>MAX('入力シート（第１年度報告書）'!$E$164:$E$186)</f>
        <v>18</v>
      </c>
      <c r="AC164" s="217" t="str">
        <f>IF($W$161&gt;0,COUNTIFS($O$164:$O$193,AC$163),"")</f>
        <v/>
      </c>
      <c r="AD164" s="218" t="str">
        <f>IF($W$161&gt;0,COUNTIFS($O$164:$O$193,AD$163),"")</f>
        <v/>
      </c>
      <c r="AE164" s="217" t="str">
        <f>IF($W$161&gt;0,COUNTIFS($O$164:$O$193,AE$163),"")</f>
        <v/>
      </c>
      <c r="AF164" s="217">
        <f>IFERROR(IF(AB164="","",AC164/(AB164-AE164)),0)</f>
        <v>0</v>
      </c>
      <c r="AG164" s="219">
        <f>IF(AB164="","",ROUNDUP($AF164*$Y$167,0))</f>
        <v>0</v>
      </c>
    </row>
    <row r="165" spans="1:33" ht="65.150000000000006" customHeight="1">
      <c r="D165" s="77"/>
      <c r="E165" s="122">
        <v>2</v>
      </c>
      <c r="F165" s="90" t="s">
        <v>3975</v>
      </c>
      <c r="G165" s="755" t="s">
        <v>4474</v>
      </c>
      <c r="H165" s="756"/>
      <c r="I165" s="756"/>
      <c r="J165" s="756"/>
      <c r="K165" s="756"/>
      <c r="L165" s="756"/>
      <c r="M165" s="757"/>
      <c r="N165" s="8" t="str">
        <f>IF('入力シート（計画書）'!N165="","",'入力シート（計画書）'!N165)</f>
        <v/>
      </c>
      <c r="O165" s="9" t="str">
        <f>IFERROR(IF(VLOOKUP(E165,'入力シート（第１年度報告書）'!$E$164:$O$193,11,0)="","未入力",VLOOKUP(E165,'入力シート（第１年度報告書）'!$E$164:$O$193,11,0)),"-------")</f>
        <v>未入力</v>
      </c>
      <c r="P165" s="9" t="str">
        <f>IFERROR(IF(VLOOKUP(E165,'入力シート（第２年度報告書）'!$E$164:$P$193,12,0)="","未入力",VLOOKUP(E165,'入力シート（第２年度報告書）'!$E$164:$P$193,12,0)),"-------")</f>
        <v>未入力</v>
      </c>
      <c r="Q165" s="1"/>
      <c r="R165" s="77"/>
      <c r="S165" s="77"/>
      <c r="T165" s="77"/>
      <c r="W165" s="216" t="s">
        <v>4058</v>
      </c>
      <c r="X165" s="216" t="str">
        <f>IFERROR(CHOOSE($W$161,COUNTIFS($O$164:$O$186,$W165),COUNTIFS($P$164:$P$186,$W165),COUNTIFS($Q$164:$Q$186,$W165)),"------")</f>
        <v>------</v>
      </c>
      <c r="Y165" s="213">
        <v>0</v>
      </c>
      <c r="AA165" s="217" t="s">
        <v>4065</v>
      </c>
      <c r="AB165" s="217">
        <f>MAX('入力シート（第２年度報告書）'!$E$164:$E$186)</f>
        <v>18</v>
      </c>
      <c r="AC165" s="217" t="str">
        <f>IF($W$161&gt;1,COUNTIFS($P$164:$P$193,AC$163),"")</f>
        <v/>
      </c>
      <c r="AD165" s="218" t="str">
        <f>IF($W$161&gt;1,COUNTIFS($P$164:$P$193,AD$163),"")</f>
        <v/>
      </c>
      <c r="AE165" s="217" t="str">
        <f>IF($W$161&gt;1,COUNTIFS($P$164:$P$193,AE$163),"")</f>
        <v/>
      </c>
      <c r="AF165" s="217">
        <f>IFERROR(IF(AB165="","",AC165/(AB165-AE165)),0)</f>
        <v>0</v>
      </c>
      <c r="AG165" s="219">
        <f>IF(AB165="","",ROUNDUP($AF165*$Y$167,0))</f>
        <v>0</v>
      </c>
    </row>
    <row r="166" spans="1:33" ht="65.150000000000006" customHeight="1">
      <c r="D166" s="77"/>
      <c r="E166" s="122">
        <v>3</v>
      </c>
      <c r="F166" s="90" t="s">
        <v>3974</v>
      </c>
      <c r="G166" s="755" t="s">
        <v>4465</v>
      </c>
      <c r="H166" s="756"/>
      <c r="I166" s="756"/>
      <c r="J166" s="756"/>
      <c r="K166" s="756"/>
      <c r="L166" s="756"/>
      <c r="M166" s="757"/>
      <c r="N166" s="8" t="str">
        <f>IF('入力シート（計画書）'!N166="","",'入力シート（計画書）'!N166)</f>
        <v/>
      </c>
      <c r="O166" s="9" t="str">
        <f>IFERROR(IF(VLOOKUP(E166,'入力シート（第１年度報告書）'!$E$164:$O$193,11,0)="","未入力",VLOOKUP(E166,'入力シート（第１年度報告書）'!$E$164:$O$193,11,0)),"-------")</f>
        <v>未入力</v>
      </c>
      <c r="P166" s="9" t="str">
        <f>IFERROR(IF(VLOOKUP(E166,'入力シート（第２年度報告書）'!$E$164:$P$193,12,0)="","未入力",VLOOKUP(E166,'入力シート（第２年度報告書）'!$E$164:$P$193,12,0)),"-------")</f>
        <v>未入力</v>
      </c>
      <c r="Q166" s="1"/>
      <c r="R166" s="77"/>
      <c r="S166" s="77"/>
      <c r="T166" s="77"/>
      <c r="W166" s="216" t="s">
        <v>4075</v>
      </c>
      <c r="X166" s="216" t="str">
        <f>IFERROR(CHOOSE($W$161,COUNTIFS($O$164:$O$186,$W166),COUNTIFS($P$164:$P$186,$W166),COUNTIFS($Q$164:$Q$186,$W166)),"------")</f>
        <v>------</v>
      </c>
      <c r="Y166" s="220" t="s">
        <v>4387</v>
      </c>
      <c r="AA166" s="217" t="s">
        <v>4066</v>
      </c>
      <c r="AB166" s="217">
        <f>MAX('入力シート（第３年度報告書）'!$E$164:$E$186)</f>
        <v>18</v>
      </c>
      <c r="AC166" s="217" t="str">
        <f>IF($W$161&gt;2,COUNTIFS($Q$164:$Q$193,AC$163),"")</f>
        <v/>
      </c>
      <c r="AD166" s="218" t="str">
        <f>IF($W$161&gt;2,COUNTIFS($Q$164:$Q$193,AD$163),"")</f>
        <v/>
      </c>
      <c r="AE166" s="217" t="str">
        <f>IF($W$161&gt;2,COUNTIFS($Q$164:$Q$193,AE$163),"")</f>
        <v/>
      </c>
      <c r="AF166" s="217">
        <f>IFERROR(IF(AB166="","",AC166/(AB166-AE166)),0)</f>
        <v>0</v>
      </c>
      <c r="AG166" s="219">
        <f>IF(AB166="","",ROUNDUP($AF166*$Y$167,0))</f>
        <v>0</v>
      </c>
    </row>
    <row r="167" spans="1:33" ht="65.150000000000006" customHeight="1">
      <c r="D167" s="77"/>
      <c r="E167" s="122">
        <v>4</v>
      </c>
      <c r="F167" s="90" t="s">
        <v>4466</v>
      </c>
      <c r="G167" s="755" t="s">
        <v>4467</v>
      </c>
      <c r="H167" s="756"/>
      <c r="I167" s="756"/>
      <c r="J167" s="756"/>
      <c r="K167" s="756"/>
      <c r="L167" s="756"/>
      <c r="M167" s="757"/>
      <c r="N167" s="8" t="str">
        <f>IF('入力シート（計画書）'!N167="","",'入力シート（計画書）'!N167)</f>
        <v/>
      </c>
      <c r="O167" s="9" t="str">
        <f>IFERROR(IF(VLOOKUP(E167,'入力シート（第１年度報告書）'!$E$164:$O$193,11,0)="","未入力",VLOOKUP(E167,'入力シート（第１年度報告書）'!$E$164:$O$193,11,0)),"-------")</f>
        <v>未入力</v>
      </c>
      <c r="P167" s="9" t="str">
        <f>IFERROR(IF(VLOOKUP(E167,'入力シート（第２年度報告書）'!$E$164:$P$193,12,0)="","未入力",VLOOKUP(E167,'入力シート（第２年度報告書）'!$E$164:$P$193,12,0)),"-------")</f>
        <v>未入力</v>
      </c>
      <c r="Q167" s="1"/>
      <c r="R167" s="77"/>
      <c r="S167" s="77"/>
      <c r="T167" s="77"/>
      <c r="W167" s="216" t="s">
        <v>4076</v>
      </c>
      <c r="X167" s="216">
        <f>E181</f>
        <v>18</v>
      </c>
      <c r="Y167" s="213">
        <v>50</v>
      </c>
      <c r="AA167" s="217" t="s">
        <v>4077</v>
      </c>
      <c r="AB167" s="217">
        <f>IFERROR(ROUNDUP(AVERAGE(AB164:AB166),0),"")</f>
        <v>18</v>
      </c>
      <c r="AC167" s="217" t="str">
        <f>IFERROR(ROUNDUP(AVERAGE(AC164:AC166),0),"")</f>
        <v/>
      </c>
      <c r="AD167" s="218" t="str">
        <f>IFERROR(ROUNDUP(AVERAGE(AD164:AD166),0),"")</f>
        <v/>
      </c>
      <c r="AE167" s="217" t="str">
        <f>IFERROR(ROUNDUP(AVERAGE(AE164:AE166),0),"")</f>
        <v/>
      </c>
      <c r="AF167" s="217">
        <f>IFERROR(AVERAGE(AF164:AF166),"")</f>
        <v>0</v>
      </c>
      <c r="AG167" s="216">
        <f>IFERROR(ROUNDUP(AVERAGE(AG164:AG166),0),"")</f>
        <v>0</v>
      </c>
    </row>
    <row r="168" spans="1:33" ht="65.150000000000006" customHeight="1">
      <c r="D168" s="77"/>
      <c r="E168" s="122">
        <v>5</v>
      </c>
      <c r="F168" s="90" t="s">
        <v>4442</v>
      </c>
      <c r="G168" s="755" t="s">
        <v>4443</v>
      </c>
      <c r="H168" s="756"/>
      <c r="I168" s="756"/>
      <c r="J168" s="756"/>
      <c r="K168" s="756"/>
      <c r="L168" s="756"/>
      <c r="M168" s="757"/>
      <c r="N168" s="8" t="str">
        <f>IF('入力シート（計画書）'!N168="","",'入力シート（計画書）'!N168)</f>
        <v/>
      </c>
      <c r="O168" s="9" t="str">
        <f>IFERROR(IF(VLOOKUP(E168,'入力シート（第１年度報告書）'!$E$164:$O$193,11,0)="","未入力",VLOOKUP(E168,'入力シート（第１年度報告書）'!$E$164:$O$193,11,0)),"-------")</f>
        <v>未入力</v>
      </c>
      <c r="P168" s="9" t="str">
        <f>IFERROR(IF(VLOOKUP(E168,'入力シート（第２年度報告書）'!$E$164:$P$193,12,0)="","未入力",VLOOKUP(E168,'入力シート（第２年度報告書）'!$E$164:$P$193,12,0)),"-------")</f>
        <v>未入力</v>
      </c>
      <c r="Q168" s="1"/>
      <c r="R168" s="77"/>
      <c r="S168" s="77"/>
      <c r="T168" s="77"/>
      <c r="W168" s="195" t="s">
        <v>4079</v>
      </c>
      <c r="X168" s="195" t="str">
        <f>IF(W161&gt;0,ROUNDUP(X164/(X167-X166)*Y167,0),"-----")</f>
        <v>-----</v>
      </c>
      <c r="AA168" s="195"/>
      <c r="AD168" s="196"/>
    </row>
    <row r="169" spans="1:33" ht="65.150000000000006" customHeight="1">
      <c r="D169" s="77"/>
      <c r="E169" s="122">
        <v>6</v>
      </c>
      <c r="F169" s="90" t="s">
        <v>4444</v>
      </c>
      <c r="G169" s="755" t="s">
        <v>4468</v>
      </c>
      <c r="H169" s="756"/>
      <c r="I169" s="756"/>
      <c r="J169" s="756"/>
      <c r="K169" s="756"/>
      <c r="L169" s="756"/>
      <c r="M169" s="757"/>
      <c r="N169" s="8" t="str">
        <f>IF('入力シート（計画書）'!N169="","",'入力シート（計画書）'!N169)</f>
        <v/>
      </c>
      <c r="O169" s="9" t="str">
        <f>IFERROR(IF(VLOOKUP(E169,'入力シート（第１年度報告書）'!$E$164:$O$193,11,0)="","未入力",VLOOKUP(E169,'入力シート（第１年度報告書）'!$E$164:$O$193,11,0)),"-------")</f>
        <v>未入力</v>
      </c>
      <c r="P169" s="9" t="str">
        <f>IFERROR(IF(VLOOKUP(E169,'入力シート（第２年度報告書）'!$E$164:$P$193,12,0)="","未入力",VLOOKUP(E169,'入力シート（第２年度報告書）'!$E$164:$P$193,12,0)),"-------")</f>
        <v>未入力</v>
      </c>
      <c r="Q169" s="1"/>
      <c r="R169" s="77"/>
      <c r="S169" s="77"/>
      <c r="T169" s="77"/>
      <c r="AA169" s="195"/>
      <c r="AD169" s="196"/>
    </row>
    <row r="170" spans="1:33" ht="65.150000000000006" customHeight="1">
      <c r="D170" s="77"/>
      <c r="E170" s="122">
        <v>7</v>
      </c>
      <c r="F170" s="90" t="s">
        <v>3977</v>
      </c>
      <c r="G170" s="755" t="s">
        <v>4475</v>
      </c>
      <c r="H170" s="756"/>
      <c r="I170" s="756"/>
      <c r="J170" s="756"/>
      <c r="K170" s="756"/>
      <c r="L170" s="756"/>
      <c r="M170" s="757"/>
      <c r="N170" s="8" t="str">
        <f>IF('入力シート（計画書）'!N170="","",'入力シート（計画書）'!N170)</f>
        <v/>
      </c>
      <c r="O170" s="9" t="str">
        <f>IFERROR(IF(VLOOKUP(E170,'入力シート（第１年度報告書）'!$E$164:$O$193,11,0)="","未入力",VLOOKUP(E170,'入力シート（第１年度報告書）'!$E$164:$O$193,11,0)),"-------")</f>
        <v>未入力</v>
      </c>
      <c r="P170" s="9" t="str">
        <f>IFERROR(IF(VLOOKUP(E170,'入力シート（第２年度報告書）'!$E$164:$P$193,12,0)="","未入力",VLOOKUP(E170,'入力シート（第２年度報告書）'!$E$164:$P$193,12,0)),"-------")</f>
        <v>未入力</v>
      </c>
      <c r="Q170" s="1"/>
      <c r="R170" s="77"/>
      <c r="S170" s="77"/>
      <c r="T170" s="77"/>
      <c r="AA170" s="195"/>
      <c r="AD170" s="196"/>
    </row>
    <row r="171" spans="1:33" ht="65.150000000000006" customHeight="1">
      <c r="D171" s="77"/>
      <c r="E171" s="122">
        <v>8</v>
      </c>
      <c r="F171" s="90" t="s">
        <v>4469</v>
      </c>
      <c r="G171" s="755" t="s">
        <v>4470</v>
      </c>
      <c r="H171" s="756"/>
      <c r="I171" s="756"/>
      <c r="J171" s="756"/>
      <c r="K171" s="756"/>
      <c r="L171" s="756"/>
      <c r="M171" s="757"/>
      <c r="N171" s="8" t="str">
        <f>IF('入力シート（計画書）'!N171="","",'入力シート（計画書）'!N171)</f>
        <v/>
      </c>
      <c r="O171" s="9" t="str">
        <f>IFERROR(IF(VLOOKUP(E171,'入力シート（第１年度報告書）'!$E$164:$O$193,11,0)="","未入力",VLOOKUP(E171,'入力シート（第１年度報告書）'!$E$164:$O$193,11,0)),"-------")</f>
        <v>未入力</v>
      </c>
      <c r="P171" s="9" t="str">
        <f>IFERROR(IF(VLOOKUP(E171,'入力シート（第２年度報告書）'!$E$164:$P$193,12,0)="","未入力",VLOOKUP(E171,'入力シート（第２年度報告書）'!$E$164:$P$193,12,0)),"-------")</f>
        <v>未入力</v>
      </c>
      <c r="Q171" s="1"/>
      <c r="R171" s="77"/>
      <c r="S171" s="77"/>
      <c r="T171" s="77"/>
      <c r="AA171" s="195"/>
      <c r="AD171" s="196"/>
    </row>
    <row r="172" spans="1:33" ht="65.150000000000006" customHeight="1">
      <c r="D172" s="77"/>
      <c r="E172" s="122">
        <v>9</v>
      </c>
      <c r="F172" s="90" t="s">
        <v>4461</v>
      </c>
      <c r="G172" s="755" t="s">
        <v>4462</v>
      </c>
      <c r="H172" s="756"/>
      <c r="I172" s="756"/>
      <c r="J172" s="756"/>
      <c r="K172" s="756"/>
      <c r="L172" s="756"/>
      <c r="M172" s="757"/>
      <c r="N172" s="8" t="str">
        <f>IF('入力シート（計画書）'!N172="","",'入力シート（計画書）'!N172)</f>
        <v/>
      </c>
      <c r="O172" s="9" t="str">
        <f>IFERROR(IF(VLOOKUP(E172,'入力シート（第１年度報告書）'!$E$164:$O$193,11,0)="","未入力",VLOOKUP(E172,'入力シート（第１年度報告書）'!$E$164:$O$193,11,0)),"-------")</f>
        <v>未入力</v>
      </c>
      <c r="P172" s="9" t="str">
        <f>IFERROR(IF(VLOOKUP(E172,'入力シート（第２年度報告書）'!$E$164:$P$193,12,0)="","未入力",VLOOKUP(E172,'入力シート（第２年度報告書）'!$E$164:$P$193,12,0)),"-------")</f>
        <v>未入力</v>
      </c>
      <c r="Q172" s="1"/>
      <c r="R172" s="77"/>
      <c r="S172" s="77"/>
      <c r="T172" s="77"/>
      <c r="AA172" s="195"/>
      <c r="AD172" s="196"/>
    </row>
    <row r="173" spans="1:33" ht="65.150000000000006" customHeight="1">
      <c r="D173" s="77"/>
      <c r="E173" s="122">
        <v>10</v>
      </c>
      <c r="F173" s="90" t="s">
        <v>4476</v>
      </c>
      <c r="G173" s="755" t="s">
        <v>4445</v>
      </c>
      <c r="H173" s="756"/>
      <c r="I173" s="756"/>
      <c r="J173" s="756"/>
      <c r="K173" s="756"/>
      <c r="L173" s="756"/>
      <c r="M173" s="757"/>
      <c r="N173" s="8" t="str">
        <f>IF('入力シート（計画書）'!N173="","",'入力シート（計画書）'!N173)</f>
        <v/>
      </c>
      <c r="O173" s="9" t="str">
        <f>IFERROR(IF(VLOOKUP(E173,'入力シート（第１年度報告書）'!$E$164:$O$193,11,0)="","未入力",VLOOKUP(E173,'入力シート（第１年度報告書）'!$E$164:$O$193,11,0)),"-------")</f>
        <v>未入力</v>
      </c>
      <c r="P173" s="9" t="str">
        <f>IFERROR(IF(VLOOKUP(E173,'入力シート（第２年度報告書）'!$E$164:$P$193,12,0)="","未入力",VLOOKUP(E173,'入力シート（第２年度報告書）'!$E$164:$P$193,12,0)),"-------")</f>
        <v>未入力</v>
      </c>
      <c r="Q173" s="1"/>
      <c r="R173" s="77"/>
      <c r="S173" s="77"/>
      <c r="T173" s="77"/>
      <c r="AA173" s="195"/>
      <c r="AD173" s="196"/>
    </row>
    <row r="174" spans="1:33" ht="65.150000000000006" customHeight="1">
      <c r="D174" s="77"/>
      <c r="E174" s="122">
        <v>11</v>
      </c>
      <c r="F174" s="90" t="s">
        <v>4477</v>
      </c>
      <c r="G174" s="755" t="s">
        <v>4446</v>
      </c>
      <c r="H174" s="756"/>
      <c r="I174" s="756"/>
      <c r="J174" s="756"/>
      <c r="K174" s="756"/>
      <c r="L174" s="756"/>
      <c r="M174" s="757"/>
      <c r="N174" s="8" t="str">
        <f>IF('入力シート（計画書）'!N174="","",'入力シート（計画書）'!N174)</f>
        <v/>
      </c>
      <c r="O174" s="9" t="str">
        <f>IFERROR(IF(VLOOKUP(E174,'入力シート（第１年度報告書）'!$E$164:$O$193,11,0)="","未入力",VLOOKUP(E174,'入力シート（第１年度報告書）'!$E$164:$O$193,11,0)),"-------")</f>
        <v>未入力</v>
      </c>
      <c r="P174" s="9" t="str">
        <f>IFERROR(IF(VLOOKUP(E174,'入力シート（第２年度報告書）'!$E$164:$P$193,12,0)="","未入力",VLOOKUP(E174,'入力シート（第２年度報告書）'!$E$164:$P$193,12,0)),"-------")</f>
        <v>未入力</v>
      </c>
      <c r="Q174" s="1"/>
      <c r="R174" s="77"/>
      <c r="S174" s="77"/>
      <c r="T174" s="77"/>
      <c r="AA174" s="195"/>
      <c r="AD174" s="196"/>
    </row>
    <row r="175" spans="1:33" ht="65.150000000000006" customHeight="1">
      <c r="D175" s="77"/>
      <c r="E175" s="122">
        <v>12</v>
      </c>
      <c r="F175" s="90" t="s">
        <v>4447</v>
      </c>
      <c r="G175" s="755" t="s">
        <v>4448</v>
      </c>
      <c r="H175" s="756"/>
      <c r="I175" s="756"/>
      <c r="J175" s="756"/>
      <c r="K175" s="756"/>
      <c r="L175" s="756"/>
      <c r="M175" s="757"/>
      <c r="N175" s="8" t="str">
        <f>IF('入力シート（計画書）'!N175="","",'入力シート（計画書）'!N175)</f>
        <v/>
      </c>
      <c r="O175" s="9" t="str">
        <f>IFERROR(IF(VLOOKUP(E175,'入力シート（第１年度報告書）'!$E$164:$O$193,11,0)="","未入力",VLOOKUP(E175,'入力シート（第１年度報告書）'!$E$164:$O$193,11,0)),"-------")</f>
        <v>未入力</v>
      </c>
      <c r="P175" s="9" t="str">
        <f>IFERROR(IF(VLOOKUP(E175,'入力シート（第２年度報告書）'!$E$164:$P$193,12,0)="","未入力",VLOOKUP(E175,'入力シート（第２年度報告書）'!$E$164:$P$193,12,0)),"-------")</f>
        <v>未入力</v>
      </c>
      <c r="Q175" s="1"/>
      <c r="R175" s="77"/>
      <c r="S175" s="77"/>
      <c r="T175" s="77"/>
      <c r="AA175" s="195"/>
      <c r="AD175" s="196"/>
    </row>
    <row r="176" spans="1:33" ht="65.150000000000006" customHeight="1">
      <c r="D176" s="77"/>
      <c r="E176" s="122">
        <v>13</v>
      </c>
      <c r="F176" s="90" t="s">
        <v>4478</v>
      </c>
      <c r="G176" s="755" t="s">
        <v>4479</v>
      </c>
      <c r="H176" s="756"/>
      <c r="I176" s="756"/>
      <c r="J176" s="756"/>
      <c r="K176" s="756"/>
      <c r="L176" s="756"/>
      <c r="M176" s="757"/>
      <c r="N176" s="8" t="str">
        <f>IF('入力シート（計画書）'!N176="","",'入力シート（計画書）'!N176)</f>
        <v/>
      </c>
      <c r="O176" s="9" t="str">
        <f>IFERROR(IF(VLOOKUP(E176,'入力シート（第１年度報告書）'!$E$164:$O$193,11,0)="","未入力",VLOOKUP(E176,'入力シート（第１年度報告書）'!$E$164:$O$193,11,0)),"-------")</f>
        <v>未入力</v>
      </c>
      <c r="P176" s="9" t="str">
        <f>IFERROR(IF(VLOOKUP(E176,'入力シート（第２年度報告書）'!$E$164:$P$193,12,0)="","未入力",VLOOKUP(E176,'入力シート（第２年度報告書）'!$E$164:$P$193,12,0)),"-------")</f>
        <v>未入力</v>
      </c>
      <c r="Q176" s="1"/>
      <c r="R176" s="77"/>
      <c r="S176" s="77"/>
      <c r="T176" s="77"/>
      <c r="AA176" s="195"/>
      <c r="AD176" s="196"/>
    </row>
    <row r="177" spans="4:30" ht="65.150000000000006" customHeight="1">
      <c r="D177" s="77"/>
      <c r="E177" s="122">
        <v>14</v>
      </c>
      <c r="F177" s="90" t="s">
        <v>4451</v>
      </c>
      <c r="G177" s="755" t="s">
        <v>4452</v>
      </c>
      <c r="H177" s="756"/>
      <c r="I177" s="756"/>
      <c r="J177" s="756"/>
      <c r="K177" s="756"/>
      <c r="L177" s="756"/>
      <c r="M177" s="757"/>
      <c r="N177" s="8" t="str">
        <f>IF('入力シート（計画書）'!N177="","",'入力シート（計画書）'!N177)</f>
        <v/>
      </c>
      <c r="O177" s="9" t="str">
        <f>IFERROR(IF(VLOOKUP(E177,'入力シート（第１年度報告書）'!$E$164:$O$193,11,0)="","未入力",VLOOKUP(E177,'入力シート（第１年度報告書）'!$E$164:$O$193,11,0)),"-------")</f>
        <v>未入力</v>
      </c>
      <c r="P177" s="9" t="str">
        <f>IFERROR(IF(VLOOKUP(E177,'入力シート（第２年度報告書）'!$E$164:$P$193,12,0)="","未入力",VLOOKUP(E177,'入力シート（第２年度報告書）'!$E$164:$P$193,12,0)),"-------")</f>
        <v>未入力</v>
      </c>
      <c r="Q177" s="1"/>
      <c r="R177" s="77"/>
      <c r="S177" s="77"/>
      <c r="T177" s="77"/>
      <c r="AA177" s="195"/>
      <c r="AD177" s="196"/>
    </row>
    <row r="178" spans="4:30" ht="65.150000000000006" customHeight="1">
      <c r="D178" s="77"/>
      <c r="E178" s="122">
        <v>15</v>
      </c>
      <c r="F178" s="90" t="s">
        <v>4450</v>
      </c>
      <c r="G178" s="755" t="s">
        <v>4471</v>
      </c>
      <c r="H178" s="756"/>
      <c r="I178" s="756"/>
      <c r="J178" s="756"/>
      <c r="K178" s="756"/>
      <c r="L178" s="756"/>
      <c r="M178" s="757"/>
      <c r="N178" s="8" t="str">
        <f>IF('入力シート（計画書）'!N178="","",'入力シート（計画書）'!N178)</f>
        <v/>
      </c>
      <c r="O178" s="9" t="str">
        <f>IFERROR(IF(VLOOKUP(E178,'入力シート（第１年度報告書）'!$E$164:$O$193,11,0)="","未入力",VLOOKUP(E178,'入力シート（第１年度報告書）'!$E$164:$O$193,11,0)),"-------")</f>
        <v>未入力</v>
      </c>
      <c r="P178" s="9" t="str">
        <f>IFERROR(IF(VLOOKUP(E178,'入力シート（第２年度報告書）'!$E$164:$P$193,12,0)="","未入力",VLOOKUP(E178,'入力シート（第２年度報告書）'!$E$164:$P$193,12,0)),"-------")</f>
        <v>未入力</v>
      </c>
      <c r="Q178" s="1"/>
      <c r="R178" s="77"/>
      <c r="S178" s="77"/>
      <c r="T178" s="77"/>
      <c r="AA178" s="195"/>
      <c r="AD178" s="196"/>
    </row>
    <row r="179" spans="4:30" ht="65.150000000000006" customHeight="1">
      <c r="D179" s="77"/>
      <c r="E179" s="122">
        <v>16</v>
      </c>
      <c r="F179" s="90" t="s">
        <v>3976</v>
      </c>
      <c r="G179" s="755" t="s">
        <v>4472</v>
      </c>
      <c r="H179" s="756"/>
      <c r="I179" s="756"/>
      <c r="J179" s="756"/>
      <c r="K179" s="756"/>
      <c r="L179" s="756"/>
      <c r="M179" s="757"/>
      <c r="N179" s="8" t="str">
        <f>IF('入力シート（計画書）'!N179="","",'入力シート（計画書）'!N179)</f>
        <v/>
      </c>
      <c r="O179" s="9" t="str">
        <f>IFERROR(IF(VLOOKUP(E179,'入力シート（第１年度報告書）'!$E$164:$O$193,11,0)="","未入力",VLOOKUP(E179,'入力シート（第１年度報告書）'!$E$164:$O$193,11,0)),"-------")</f>
        <v>未入力</v>
      </c>
      <c r="P179" s="9" t="str">
        <f>IFERROR(IF(VLOOKUP(E179,'入力シート（第２年度報告書）'!$E$164:$P$193,12,0)="","未入力",VLOOKUP(E179,'入力シート（第２年度報告書）'!$E$164:$P$193,12,0)),"-------")</f>
        <v>未入力</v>
      </c>
      <c r="Q179" s="1"/>
      <c r="R179" s="77"/>
      <c r="S179" s="77"/>
      <c r="T179" s="77"/>
      <c r="AA179" s="195"/>
      <c r="AD179" s="196"/>
    </row>
    <row r="180" spans="4:30" ht="65.150000000000006" customHeight="1">
      <c r="D180" s="77"/>
      <c r="E180" s="122">
        <v>17</v>
      </c>
      <c r="F180" s="90" t="s">
        <v>4449</v>
      </c>
      <c r="G180" s="755" t="s">
        <v>4480</v>
      </c>
      <c r="H180" s="756"/>
      <c r="I180" s="756"/>
      <c r="J180" s="756"/>
      <c r="K180" s="756"/>
      <c r="L180" s="756"/>
      <c r="M180" s="757"/>
      <c r="N180" s="8" t="str">
        <f>IF('入力シート（計画書）'!N180="","",'入力シート（計画書）'!N180)</f>
        <v/>
      </c>
      <c r="O180" s="9" t="str">
        <f>IFERROR(IF(VLOOKUP(E180,'入力シート（第１年度報告書）'!$E$164:$O$193,11,0)="","未入力",VLOOKUP(E180,'入力シート（第１年度報告書）'!$E$164:$O$193,11,0)),"-------")</f>
        <v>未入力</v>
      </c>
      <c r="P180" s="9" t="str">
        <f>IFERROR(IF(VLOOKUP(E180,'入力シート（第２年度報告書）'!$E$164:$P$193,12,0)="","未入力",VLOOKUP(E180,'入力シート（第２年度報告書）'!$E$164:$P$193,12,0)),"-------")</f>
        <v>未入力</v>
      </c>
      <c r="Q180" s="1"/>
      <c r="R180" s="77"/>
      <c r="S180" s="77"/>
      <c r="T180" s="77"/>
      <c r="AA180" s="195"/>
      <c r="AD180" s="196"/>
    </row>
    <row r="181" spans="4:30" ht="65.150000000000006" customHeight="1">
      <c r="D181" s="77"/>
      <c r="E181" s="122">
        <v>18</v>
      </c>
      <c r="F181" s="90" t="s">
        <v>4342</v>
      </c>
      <c r="G181" s="755" t="s">
        <v>4473</v>
      </c>
      <c r="H181" s="756"/>
      <c r="I181" s="756"/>
      <c r="J181" s="756"/>
      <c r="K181" s="756"/>
      <c r="L181" s="756"/>
      <c r="M181" s="757"/>
      <c r="N181" s="8" t="str">
        <f>IF('入力シート（計画書）'!N181="","",'入力シート（計画書）'!N181)</f>
        <v/>
      </c>
      <c r="O181" s="9" t="str">
        <f>IFERROR(IF(VLOOKUP(E181,'入力シート（第１年度報告書）'!$E$164:$O$193,11,0)="","未入力",VLOOKUP(E181,'入力シート（第１年度報告書）'!$E$164:$O$193,11,0)),"-------")</f>
        <v>未入力</v>
      </c>
      <c r="P181" s="9" t="str">
        <f>IFERROR(IF(VLOOKUP(E181,'入力シート（第２年度報告書）'!$E$164:$P$193,12,0)="","未入力",VLOOKUP(E181,'入力シート（第２年度報告書）'!$E$164:$P$193,12,0)),"-------")</f>
        <v>未入力</v>
      </c>
      <c r="Q181" s="1"/>
      <c r="R181" s="77"/>
      <c r="S181" s="77"/>
      <c r="T181" s="77"/>
      <c r="AA181" s="195"/>
      <c r="AD181" s="196"/>
    </row>
    <row r="182" spans="4:30" ht="65.150000000000006" hidden="1" customHeight="1">
      <c r="D182" s="77"/>
      <c r="E182" s="13"/>
      <c r="F182" s="13"/>
      <c r="G182" s="13"/>
      <c r="H182" s="13"/>
      <c r="I182" s="13"/>
      <c r="J182" s="13"/>
      <c r="K182" s="13"/>
      <c r="L182" s="13"/>
      <c r="M182" s="13"/>
      <c r="N182" s="13"/>
      <c r="O182" s="13"/>
      <c r="P182" s="13"/>
      <c r="Q182" s="13"/>
      <c r="R182" s="13"/>
      <c r="S182" s="77"/>
      <c r="T182" s="77"/>
      <c r="AA182" s="195"/>
      <c r="AD182" s="196"/>
    </row>
    <row r="183" spans="4:30" ht="65.150000000000006" hidden="1" customHeight="1">
      <c r="D183" s="77"/>
      <c r="E183" s="13"/>
      <c r="F183" s="13"/>
      <c r="G183" s="13"/>
      <c r="H183" s="13"/>
      <c r="I183" s="13"/>
      <c r="J183" s="13"/>
      <c r="K183" s="13"/>
      <c r="L183" s="13"/>
      <c r="M183" s="13"/>
      <c r="N183" s="13"/>
      <c r="O183" s="13"/>
      <c r="P183" s="13"/>
      <c r="Q183" s="13"/>
      <c r="R183" s="13"/>
      <c r="S183" s="77"/>
      <c r="T183" s="77"/>
      <c r="AA183" s="195"/>
      <c r="AD183" s="196"/>
    </row>
    <row r="184" spans="4:30" ht="65.150000000000006" hidden="1" customHeight="1">
      <c r="D184" s="77"/>
      <c r="E184" s="13"/>
      <c r="F184" s="13"/>
      <c r="G184" s="13"/>
      <c r="H184" s="13"/>
      <c r="I184" s="13"/>
      <c r="J184" s="13"/>
      <c r="K184" s="13"/>
      <c r="L184" s="13"/>
      <c r="M184" s="13"/>
      <c r="N184" s="13"/>
      <c r="O184" s="13"/>
      <c r="P184" s="13"/>
      <c r="Q184" s="13"/>
      <c r="R184" s="13"/>
      <c r="S184" s="77"/>
      <c r="T184" s="77"/>
      <c r="AA184" s="195"/>
      <c r="AD184" s="196"/>
    </row>
    <row r="185" spans="4:30" ht="65.150000000000006" hidden="1" customHeight="1">
      <c r="D185" s="77"/>
      <c r="E185" s="13"/>
      <c r="F185" s="13"/>
      <c r="G185" s="13"/>
      <c r="H185" s="13"/>
      <c r="I185" s="13"/>
      <c r="J185" s="13"/>
      <c r="K185" s="13"/>
      <c r="L185" s="13"/>
      <c r="M185" s="13"/>
      <c r="N185" s="13"/>
      <c r="O185" s="13"/>
      <c r="P185" s="13"/>
      <c r="Q185" s="13"/>
      <c r="R185" s="13"/>
      <c r="S185" s="77"/>
      <c r="T185" s="77"/>
      <c r="AA185" s="195"/>
      <c r="AD185" s="196"/>
    </row>
    <row r="186" spans="4:30" ht="65.150000000000006" hidden="1" customHeight="1">
      <c r="D186" s="77"/>
      <c r="E186" s="13"/>
      <c r="F186" s="13"/>
      <c r="G186" s="13"/>
      <c r="H186" s="13"/>
      <c r="I186" s="13"/>
      <c r="J186" s="13"/>
      <c r="K186" s="13"/>
      <c r="L186" s="13"/>
      <c r="M186" s="13"/>
      <c r="N186" s="13"/>
      <c r="O186" s="13"/>
      <c r="P186" s="13"/>
      <c r="Q186" s="13"/>
      <c r="R186" s="13"/>
      <c r="S186" s="77"/>
      <c r="T186" s="77"/>
      <c r="AA186" s="195"/>
      <c r="AD186" s="196"/>
    </row>
    <row r="187" spans="4:30" ht="65" hidden="1" customHeight="1">
      <c r="D187" s="77"/>
      <c r="E187" s="28"/>
      <c r="F187" s="28"/>
      <c r="G187" s="28"/>
      <c r="H187" s="28"/>
      <c r="I187" s="28"/>
      <c r="J187" s="28"/>
      <c r="K187" s="28"/>
      <c r="L187" s="28"/>
      <c r="M187" s="28"/>
      <c r="N187" s="28"/>
      <c r="O187" s="28"/>
      <c r="P187" s="28"/>
      <c r="Q187" s="28"/>
      <c r="R187" s="28"/>
      <c r="S187" s="28"/>
      <c r="T187" s="28"/>
      <c r="Y187" s="191"/>
      <c r="AA187" s="195"/>
      <c r="AD187" s="196"/>
    </row>
    <row r="188" spans="4:30" ht="65" hidden="1" customHeight="1">
      <c r="D188" s="77"/>
      <c r="E188" s="28"/>
      <c r="F188" s="28"/>
      <c r="G188" s="28"/>
      <c r="H188" s="28"/>
      <c r="I188" s="28"/>
      <c r="J188" s="28"/>
      <c r="K188" s="28"/>
      <c r="L188" s="28"/>
      <c r="M188" s="28"/>
      <c r="N188" s="28"/>
      <c r="O188" s="28"/>
      <c r="P188" s="28"/>
      <c r="Q188" s="28"/>
      <c r="R188" s="28"/>
      <c r="S188" s="28"/>
      <c r="T188" s="28"/>
      <c r="Y188" s="191"/>
      <c r="AA188" s="195"/>
      <c r="AD188" s="196"/>
    </row>
    <row r="189" spans="4:30" ht="65" hidden="1" customHeight="1">
      <c r="D189" s="77"/>
      <c r="E189" s="28"/>
      <c r="F189" s="28"/>
      <c r="G189" s="28"/>
      <c r="H189" s="28"/>
      <c r="I189" s="28"/>
      <c r="J189" s="28"/>
      <c r="K189" s="28"/>
      <c r="L189" s="28"/>
      <c r="M189" s="28"/>
      <c r="N189" s="28"/>
      <c r="O189" s="28"/>
      <c r="P189" s="28"/>
      <c r="Q189" s="28"/>
      <c r="R189" s="28"/>
      <c r="S189" s="28"/>
      <c r="T189" s="28"/>
      <c r="Y189" s="191"/>
      <c r="AA189" s="195"/>
      <c r="AD189" s="196"/>
    </row>
    <row r="190" spans="4:30" ht="65" hidden="1" customHeight="1">
      <c r="D190" s="77"/>
      <c r="E190" s="28"/>
      <c r="F190" s="28"/>
      <c r="G190" s="28"/>
      <c r="H190" s="28"/>
      <c r="I190" s="28"/>
      <c r="J190" s="28"/>
      <c r="K190" s="28"/>
      <c r="L190" s="28"/>
      <c r="M190" s="28"/>
      <c r="N190" s="28"/>
      <c r="O190" s="28"/>
      <c r="P190" s="28"/>
      <c r="Q190" s="28"/>
      <c r="R190" s="28"/>
      <c r="S190" s="28"/>
      <c r="T190" s="28"/>
      <c r="AA190" s="195"/>
      <c r="AD190" s="196"/>
    </row>
    <row r="191" spans="4:30" ht="65" hidden="1" customHeight="1">
      <c r="D191" s="77"/>
      <c r="E191" s="28"/>
      <c r="F191" s="28"/>
      <c r="G191" s="28"/>
      <c r="H191" s="28"/>
      <c r="I191" s="28"/>
      <c r="J191" s="28"/>
      <c r="K191" s="28"/>
      <c r="L191" s="28"/>
      <c r="M191" s="28"/>
      <c r="N191" s="28"/>
      <c r="O191" s="28"/>
      <c r="P191" s="28"/>
      <c r="Q191" s="28"/>
      <c r="R191" s="28"/>
      <c r="S191" s="28"/>
      <c r="T191" s="28"/>
      <c r="AA191" s="195"/>
      <c r="AD191" s="196"/>
    </row>
    <row r="192" spans="4:30" ht="65" hidden="1" customHeight="1">
      <c r="D192" s="77"/>
      <c r="E192" s="28"/>
      <c r="F192" s="28"/>
      <c r="G192" s="28"/>
      <c r="H192" s="28"/>
      <c r="I192" s="28"/>
      <c r="J192" s="28"/>
      <c r="K192" s="28"/>
      <c r="L192" s="28"/>
      <c r="M192" s="28"/>
      <c r="N192" s="28"/>
      <c r="O192" s="28"/>
      <c r="P192" s="28"/>
      <c r="Q192" s="28"/>
      <c r="R192" s="28"/>
      <c r="S192" s="28"/>
      <c r="T192" s="28"/>
      <c r="AA192" s="195"/>
      <c r="AD192" s="196"/>
    </row>
    <row r="193" spans="1:32" ht="65" hidden="1" customHeight="1">
      <c r="D193" s="77"/>
      <c r="E193" s="28"/>
      <c r="F193" s="28"/>
      <c r="G193" s="28"/>
      <c r="H193" s="28"/>
      <c r="I193" s="28"/>
      <c r="J193" s="28"/>
      <c r="K193" s="28"/>
      <c r="L193" s="28"/>
      <c r="M193" s="28"/>
      <c r="N193" s="28"/>
      <c r="O193" s="28"/>
      <c r="P193" s="28"/>
      <c r="Q193" s="28"/>
      <c r="R193" s="28"/>
      <c r="S193" s="28"/>
      <c r="T193" s="28"/>
      <c r="AA193" s="195"/>
      <c r="AD193" s="196"/>
    </row>
    <row r="194" spans="1:32" ht="18" customHeight="1">
      <c r="D194" s="77"/>
      <c r="E194" s="77"/>
      <c r="F194" s="77"/>
      <c r="G194" s="77"/>
      <c r="H194" s="77"/>
      <c r="I194" s="77"/>
      <c r="J194" s="77"/>
      <c r="K194" s="77"/>
      <c r="L194" s="77"/>
      <c r="M194" s="77"/>
      <c r="N194" s="77"/>
      <c r="O194" s="77"/>
      <c r="P194" s="77"/>
      <c r="Q194" s="77"/>
      <c r="R194" s="77"/>
      <c r="S194" s="77"/>
      <c r="T194" s="77"/>
      <c r="AA194" s="195"/>
      <c r="AD194" s="196"/>
    </row>
    <row r="195" spans="1:32" s="191" customFormat="1" ht="18" customHeight="1">
      <c r="A195" s="187"/>
      <c r="B195" s="187"/>
      <c r="C195" s="187"/>
      <c r="D195" s="32"/>
      <c r="E195" s="16" t="str">
        <f>"８-２．【選択対策】基本対策に加えて、計画期間中に積極的に実施することが望ましい取組み"</f>
        <v>８-２．【選択対策】基本対策に加えて、計画期間中に積極的に実施することが望ましい取組み</v>
      </c>
      <c r="F195" s="14"/>
      <c r="G195" s="14"/>
      <c r="H195" s="14"/>
      <c r="I195" s="14"/>
      <c r="J195" s="14"/>
      <c r="K195" s="14"/>
      <c r="L195" s="14"/>
      <c r="M195" s="14"/>
      <c r="N195" s="79"/>
      <c r="O195" s="14"/>
      <c r="P195" s="14"/>
      <c r="Q195" s="14"/>
      <c r="R195" s="14"/>
      <c r="S195" s="14"/>
      <c r="T195" s="14"/>
      <c r="AD195" s="199"/>
    </row>
    <row r="196" spans="1:32" s="191" customFormat="1" ht="20.149999999999999" customHeight="1">
      <c r="A196" s="187"/>
      <c r="B196" s="187"/>
      <c r="C196" s="187"/>
      <c r="D196" s="14"/>
      <c r="E196" s="120"/>
      <c r="F196" s="24" t="str">
        <f>$AB$1+3&amp;"年度（第３年度）における実施状況をプルダウンから選択してください。"</f>
        <v>3年度（第３年度）における実施状況をプルダウンから選択してください。</v>
      </c>
      <c r="G196" s="14"/>
      <c r="H196" s="14"/>
      <c r="I196" s="14"/>
      <c r="J196" s="14"/>
      <c r="K196" s="14"/>
      <c r="L196" s="14"/>
      <c r="M196" s="14"/>
      <c r="N196" s="14"/>
      <c r="O196" s="97"/>
      <c r="P196" s="14"/>
      <c r="Q196" s="14"/>
      <c r="R196" s="14"/>
      <c r="S196" s="14"/>
      <c r="T196" s="14"/>
      <c r="X196" s="281"/>
      <c r="AD196" s="199"/>
    </row>
    <row r="197" spans="1:32" s="191" customFormat="1" ht="20.149999999999999" customHeight="1">
      <c r="A197" s="187"/>
      <c r="B197" s="187"/>
      <c r="C197" s="187"/>
      <c r="D197" s="14"/>
      <c r="E197" s="121"/>
      <c r="F197" s="37" t="str">
        <f>"　項目の追加："&amp;$AB$1+3&amp;"年度（第３年度）に開始した取組み、期間中に実施予定の取組は、『選択対策 項目追加する場合はこちら』ボタンを押下し移動後、"</f>
        <v>　項目の追加：3年度（第３年度）に開始した取組み、期間中に実施予定の取組は、『選択対策 項目追加する場合はこちら』ボタンを押下し移動後、</v>
      </c>
      <c r="G197" s="14"/>
      <c r="H197" s="14"/>
      <c r="I197" s="14"/>
      <c r="J197" s="14"/>
      <c r="K197" s="14"/>
      <c r="L197" s="14"/>
      <c r="M197" s="14"/>
      <c r="N197" s="14"/>
      <c r="O197" s="97"/>
      <c r="P197" s="14"/>
      <c r="Q197" s="14"/>
      <c r="R197" s="14"/>
      <c r="S197" s="14"/>
      <c r="T197" s="14"/>
      <c r="X197" s="281"/>
      <c r="AD197" s="199"/>
    </row>
    <row r="198" spans="1:32" s="191" customFormat="1" ht="25.4" customHeight="1">
      <c r="A198" s="187"/>
      <c r="B198" s="187"/>
      <c r="C198" s="187"/>
      <c r="D198" s="14"/>
      <c r="E198" s="121"/>
      <c r="F198" s="37" t="s">
        <v>4542</v>
      </c>
      <c r="G198" s="14"/>
      <c r="H198" s="14"/>
      <c r="I198" s="14"/>
      <c r="J198" s="14"/>
      <c r="K198" s="14"/>
      <c r="L198" s="14"/>
      <c r="M198" s="14"/>
      <c r="N198" s="14"/>
      <c r="O198" s="97"/>
      <c r="P198" s="14"/>
      <c r="Q198" s="14"/>
      <c r="R198" s="14"/>
      <c r="S198" s="14"/>
      <c r="T198" s="14"/>
      <c r="X198" s="281"/>
      <c r="AD198" s="199"/>
    </row>
    <row r="199" spans="1:32" s="191" customFormat="1" ht="20.149999999999999" customHeight="1">
      <c r="A199" s="187"/>
      <c r="B199" s="187"/>
      <c r="C199" s="187"/>
      <c r="D199" s="14"/>
      <c r="E199" s="28"/>
      <c r="F199" s="37" t="s">
        <v>4549</v>
      </c>
      <c r="G199" s="28"/>
      <c r="H199" s="28"/>
      <c r="I199" s="28"/>
      <c r="J199" s="28"/>
      <c r="K199" s="28"/>
      <c r="L199" s="28"/>
      <c r="M199" s="28"/>
      <c r="N199" s="28"/>
      <c r="O199" s="28"/>
      <c r="P199" s="28"/>
      <c r="Q199" s="28"/>
      <c r="R199" s="14"/>
      <c r="S199" s="14"/>
      <c r="T199" s="14"/>
      <c r="X199" s="281"/>
      <c r="AD199" s="199"/>
    </row>
    <row r="200" spans="1:32" s="191" customFormat="1" ht="20.149999999999999" customHeight="1">
      <c r="A200" s="187"/>
      <c r="B200" s="187"/>
      <c r="C200" s="187"/>
      <c r="D200" s="14"/>
      <c r="E200" s="250" t="s">
        <v>4241</v>
      </c>
      <c r="F200" s="14"/>
      <c r="G200" s="14"/>
      <c r="H200" s="14"/>
      <c r="I200" s="14"/>
      <c r="J200" s="14"/>
      <c r="K200" s="14"/>
      <c r="L200" s="14"/>
      <c r="M200" s="14"/>
      <c r="N200" s="14"/>
      <c r="O200" s="14"/>
      <c r="P200" s="14"/>
      <c r="Q200" s="14"/>
      <c r="R200" s="14"/>
      <c r="S200" s="14"/>
      <c r="T200" s="14"/>
      <c r="W200" s="282">
        <f>'R3'!$AB$5</f>
        <v>0</v>
      </c>
      <c r="X200" s="281"/>
      <c r="AD200" s="199"/>
    </row>
    <row r="201" spans="1:32" ht="18" customHeight="1">
      <c r="D201" s="77"/>
      <c r="E201" s="745" t="s">
        <v>77</v>
      </c>
      <c r="F201" s="762" t="s">
        <v>78</v>
      </c>
      <c r="G201" s="792" t="s">
        <v>79</v>
      </c>
      <c r="H201" s="793"/>
      <c r="I201" s="793"/>
      <c r="J201" s="793"/>
      <c r="K201" s="793"/>
      <c r="L201" s="793"/>
      <c r="M201" s="794"/>
      <c r="N201" s="117" t="s">
        <v>4020</v>
      </c>
      <c r="O201" s="132"/>
      <c r="P201" s="132"/>
      <c r="Q201" s="136"/>
      <c r="R201" s="77"/>
      <c r="S201" s="77"/>
      <c r="T201" s="77"/>
      <c r="AA201" s="195"/>
      <c r="AD201" s="196"/>
    </row>
    <row r="202" spans="1:32" ht="18" customHeight="1">
      <c r="D202" s="77"/>
      <c r="E202" s="745"/>
      <c r="F202" s="763"/>
      <c r="G202" s="795"/>
      <c r="H202" s="796"/>
      <c r="I202" s="796"/>
      <c r="J202" s="796"/>
      <c r="K202" s="796"/>
      <c r="L202" s="796"/>
      <c r="M202" s="797"/>
      <c r="N202" s="119" t="s">
        <v>4016</v>
      </c>
      <c r="O202" s="119" t="s">
        <v>4009</v>
      </c>
      <c r="P202" s="119" t="s">
        <v>4014</v>
      </c>
      <c r="Q202" s="119" t="s">
        <v>4015</v>
      </c>
      <c r="R202" s="77"/>
      <c r="S202" s="77"/>
      <c r="T202" s="77"/>
      <c r="W202" s="214" t="str">
        <f>"第"&amp;W200&amp;"年度状況"</f>
        <v>第0年度状況</v>
      </c>
      <c r="X202" s="222" t="s">
        <v>4072</v>
      </c>
      <c r="Y202" s="213" t="s">
        <v>4073</v>
      </c>
      <c r="AA202" s="223" t="s">
        <v>4074</v>
      </c>
      <c r="AB202" s="222" t="s">
        <v>4072</v>
      </c>
      <c r="AC202" s="222" t="s">
        <v>4047</v>
      </c>
      <c r="AD202" s="222" t="s">
        <v>4057</v>
      </c>
      <c r="AE202" s="222" t="s">
        <v>4058</v>
      </c>
      <c r="AF202" s="222" t="s">
        <v>4078</v>
      </c>
    </row>
    <row r="203" spans="1:32" ht="70.400000000000006" customHeight="1">
      <c r="D203" s="77"/>
      <c r="E203" s="122">
        <v>1</v>
      </c>
      <c r="F203" s="11" t="str">
        <f>対策リスト!AW2&amp;""</f>
        <v/>
      </c>
      <c r="G203" s="755" t="str">
        <f t="shared" ref="G203:G211" si="0">IFERROR(VLOOKUP(F203,選択対策,2,0),"")</f>
        <v/>
      </c>
      <c r="H203" s="756"/>
      <c r="I203" s="756"/>
      <c r="J203" s="756"/>
      <c r="K203" s="756"/>
      <c r="L203" s="756"/>
      <c r="M203" s="757"/>
      <c r="N203" s="8" t="str">
        <f>IF(F203="","",IFERROR(IF(VLOOKUP(F203,'入力シート（第２年度報告書）'!$F$203:$P$211,9,0)="","未入力",VLOOKUP(F203,'入力シート（第２年度報告書）'!$F$203:$P$211,9,0)),"-------"))</f>
        <v/>
      </c>
      <c r="O203" s="9" t="str">
        <f>IF(F203="","",IFERROR(IF(VLOOKUP(F203,'入力シート（第２年度報告書）'!$F$203:$P$211,10,0)="","未入力",VLOOKUP(F203,'入力シート（第２年度報告書）'!$F$203:$P$211,10,0)),"-------"))</f>
        <v/>
      </c>
      <c r="P203" s="9" t="str">
        <f>IF(F203="","",IFERROR(IF(VLOOKUP(F203,'入力シート（第２年度報告書）'!$F$203:$P$211,11,0)="","未入力",VLOOKUP(F203,'入力シート（第２年度報告書）'!$F$203:$P$211,11,0)),"-------"))</f>
        <v/>
      </c>
      <c r="Q203" s="1"/>
      <c r="R203" s="77"/>
      <c r="S203" s="77"/>
      <c r="T203" s="77"/>
      <c r="W203" s="222" t="s">
        <v>4047</v>
      </c>
      <c r="X203" s="216" t="str">
        <f>IFERROR(CHOOSE($W$200,COUNTIFS($O$203:$O$211,$W203),COUNTIFS($P$203:$P$211,$W203),COUNTIFS($Q$203:$Q$211,$W203)),"------")</f>
        <v>------</v>
      </c>
      <c r="Y203" s="213">
        <v>5</v>
      </c>
      <c r="AA203" s="222" t="s">
        <v>4071</v>
      </c>
      <c r="AB203" s="223" t="str">
        <f>IF($W$200&gt;0,SUM(AC203:AE203),"")</f>
        <v/>
      </c>
      <c r="AC203" s="223" t="str">
        <f>IF($W$200&gt;0,COUNTIF($O$203:$O$211,AC$202),"")</f>
        <v/>
      </c>
      <c r="AD203" s="224" t="str">
        <f>IF($W$200&gt;0,COUNTIF($O$203:$O$211,AD$202),"")</f>
        <v/>
      </c>
      <c r="AE203" s="223" t="str">
        <f>IF($W$200&gt;0,COUNTIF($O$203:$O$211,AE$202),"")</f>
        <v/>
      </c>
      <c r="AF203" s="223" t="str">
        <f>IF($W$200&gt;0,AC203*$Y$203+AD203*$Y$204,"")</f>
        <v/>
      </c>
    </row>
    <row r="204" spans="1:32" ht="70.400000000000006" customHeight="1">
      <c r="D204" s="77"/>
      <c r="E204" s="122">
        <v>2</v>
      </c>
      <c r="F204" s="11" t="str">
        <f>対策リスト!AW3&amp;""</f>
        <v/>
      </c>
      <c r="G204" s="755" t="str">
        <f t="shared" si="0"/>
        <v/>
      </c>
      <c r="H204" s="756"/>
      <c r="I204" s="756"/>
      <c r="J204" s="756"/>
      <c r="K204" s="756"/>
      <c r="L204" s="756"/>
      <c r="M204" s="757"/>
      <c r="N204" s="8" t="str">
        <f>IF(F204="","",IFERROR(IF(VLOOKUP(F204,'入力シート（第２年度報告書）'!$F$203:$P$211,9,0)="","未入力",VLOOKUP(F204,'入力シート（第２年度報告書）'!$F$203:$P$211,9,0)),"-------"))</f>
        <v/>
      </c>
      <c r="O204" s="9" t="str">
        <f>IF(F204="","",IFERROR(IF(VLOOKUP(F204,'入力シート（第２年度報告書）'!$F$203:$P$211,10,0)="","未入力",VLOOKUP(F204,'入力シート（第２年度報告書）'!$F$203:$P$211,10,0)),"-------"))</f>
        <v/>
      </c>
      <c r="P204" s="9" t="str">
        <f>IF(F204="","",IFERROR(IF(VLOOKUP(F204,'入力シート（第２年度報告書）'!$F$203:$P$211,11,0)="","未入力",VLOOKUP(F204,'入力シート（第２年度報告書）'!$F$203:$P$211,11,0)),"-------"))</f>
        <v/>
      </c>
      <c r="Q204" s="1"/>
      <c r="R204" s="77"/>
      <c r="S204" s="77"/>
      <c r="T204" s="77"/>
      <c r="W204" s="222" t="s">
        <v>4057</v>
      </c>
      <c r="X204" s="216" t="str">
        <f>IFERROR(CHOOSE($W$200,COUNTIFS($O$203:$O$211,$W204),COUNTIFS($P$203:$P$211,$W204),COUNTIFS($Q$203:$Q$211,$W204)),"------")</f>
        <v>------</v>
      </c>
      <c r="Y204" s="213">
        <v>3</v>
      </c>
      <c r="AA204" s="222" t="s">
        <v>4065</v>
      </c>
      <c r="AB204" s="223" t="str">
        <f>IF($W$200&gt;1,SUM(AC204:AE204),"")</f>
        <v/>
      </c>
      <c r="AC204" s="223" t="str">
        <f>IF($W$200&gt;1,COUNTIF($P$203:$P$211,AC$202),"")</f>
        <v/>
      </c>
      <c r="AD204" s="224" t="str">
        <f>IF($W$200&gt;1,COUNTIF($P$203:$P$211,AD$202),"")</f>
        <v/>
      </c>
      <c r="AE204" s="223" t="str">
        <f>IF($W$200&gt;1,COUNTIF($P$203:$P$211,AE$202),"")</f>
        <v/>
      </c>
      <c r="AF204" s="223" t="str">
        <f>IF($W$200&gt;1,AC204*$Y$203+AD204*$Y$204,"")</f>
        <v/>
      </c>
    </row>
    <row r="205" spans="1:32" ht="70.400000000000006" customHeight="1">
      <c r="D205" s="77"/>
      <c r="E205" s="122">
        <v>3</v>
      </c>
      <c r="F205" s="11" t="str">
        <f>対策リスト!AW4&amp;""</f>
        <v/>
      </c>
      <c r="G205" s="755" t="str">
        <f t="shared" si="0"/>
        <v/>
      </c>
      <c r="H205" s="756"/>
      <c r="I205" s="756"/>
      <c r="J205" s="756"/>
      <c r="K205" s="756"/>
      <c r="L205" s="756"/>
      <c r="M205" s="757"/>
      <c r="N205" s="8" t="str">
        <f>IF(F205="","",IFERROR(IF(VLOOKUP(F205,'入力シート（第２年度報告書）'!$F$203:$P$211,9,0)="","未入力",VLOOKUP(F205,'入力シート（第２年度報告書）'!$F$203:$P$211,9,0)),"-------"))</f>
        <v/>
      </c>
      <c r="O205" s="9" t="str">
        <f>IF(F205="","",IFERROR(IF(VLOOKUP(F205,'入力シート（第２年度報告書）'!$F$203:$P$211,10,0)="","未入力",VLOOKUP(F205,'入力シート（第２年度報告書）'!$F$203:$P$211,10,0)),"-------"))</f>
        <v/>
      </c>
      <c r="P205" s="9" t="str">
        <f>IF(F205="","",IFERROR(IF(VLOOKUP(F205,'入力シート（第２年度報告書）'!$F$203:$P$211,11,0)="","未入力",VLOOKUP(F205,'入力シート（第２年度報告書）'!$F$203:$P$211,11,0)),"-------"))</f>
        <v/>
      </c>
      <c r="Q205" s="1"/>
      <c r="R205" s="77"/>
      <c r="S205" s="77"/>
      <c r="T205" s="77"/>
      <c r="W205" s="222" t="s">
        <v>4058</v>
      </c>
      <c r="X205" s="216" t="str">
        <f>IFERROR(CHOOSE($W$200,COUNTIFS($O$203:$O$211,$W205),COUNTIFS($P$203:$P$211,$W205),COUNTIFS($Q$203:$Q$211,$W205)),"------")</f>
        <v>------</v>
      </c>
      <c r="Y205" s="213">
        <v>0</v>
      </c>
      <c r="AA205" s="222" t="s">
        <v>4066</v>
      </c>
      <c r="AB205" s="223" t="str">
        <f>IF($W$200&gt;2,SUM(AC205:AE205),"")</f>
        <v/>
      </c>
      <c r="AC205" s="223" t="str">
        <f>IF($W$200&gt;2,COUNTIF($Q$203:$Q$211,AC$202),"")</f>
        <v/>
      </c>
      <c r="AD205" s="224" t="str">
        <f>IF($W$200&gt;2,COUNTIF($Q$203:$Q$211,AD$202),"")</f>
        <v/>
      </c>
      <c r="AE205" s="223" t="str">
        <f>IF($W$200&gt;2,COUNTIF($Q$203:$Q$211,AE$202),"")</f>
        <v/>
      </c>
      <c r="AF205" s="223" t="str">
        <f>IF($W$200&gt;2,AC205*$Y$203+AD205*$Y$204,"")</f>
        <v/>
      </c>
    </row>
    <row r="206" spans="1:32" ht="70.400000000000006" customHeight="1">
      <c r="D206" s="77"/>
      <c r="E206" s="122">
        <v>4</v>
      </c>
      <c r="F206" s="11" t="str">
        <f>対策リスト!AW5&amp;""</f>
        <v/>
      </c>
      <c r="G206" s="755" t="str">
        <f t="shared" si="0"/>
        <v/>
      </c>
      <c r="H206" s="756"/>
      <c r="I206" s="756"/>
      <c r="J206" s="756"/>
      <c r="K206" s="756"/>
      <c r="L206" s="756"/>
      <c r="M206" s="757"/>
      <c r="N206" s="8" t="str">
        <f>IF(F206="","",IFERROR(IF(VLOOKUP(F206,'入力シート（第２年度報告書）'!$F$203:$P$211,9,0)="","未入力",VLOOKUP(F206,'入力シート（第２年度報告書）'!$F$203:$P$211,9,0)),"-------"))</f>
        <v/>
      </c>
      <c r="O206" s="9" t="str">
        <f>IF(F206="","",IFERROR(IF(VLOOKUP(F206,'入力シート（第２年度報告書）'!$F$203:$P$211,10,0)="","未入力",VLOOKUP(F206,'入力シート（第２年度報告書）'!$F$203:$P$211,10,0)),"-------"))</f>
        <v/>
      </c>
      <c r="P206" s="9" t="str">
        <f>IF(F206="","",IFERROR(IF(VLOOKUP(F206,'入力シート（第２年度報告書）'!$F$203:$P$211,11,0)="","未入力",VLOOKUP(F206,'入力シート（第２年度報告書）'!$F$203:$P$211,11,0)),"-------"))</f>
        <v/>
      </c>
      <c r="Q206" s="1"/>
      <c r="R206" s="77"/>
      <c r="S206" s="77"/>
      <c r="T206" s="77"/>
      <c r="W206" s="222" t="s">
        <v>4076</v>
      </c>
      <c r="X206" s="222">
        <f>SUM(X203:X205)</f>
        <v>0</v>
      </c>
      <c r="Y206" s="213">
        <v>50</v>
      </c>
      <c r="AA206" s="222" t="s">
        <v>4077</v>
      </c>
      <c r="AB206" s="223" t="str">
        <f>IFERROR(ROUNDUP(AVERAGE(AB203:AB205),0),"")</f>
        <v/>
      </c>
      <c r="AC206" s="223" t="str">
        <f>IFERROR(ROUNDUP(AVERAGE(AC203:AC205),0),"")</f>
        <v/>
      </c>
      <c r="AD206" s="224" t="str">
        <f>IFERROR(ROUNDUP(AVERAGE(AD203:AD205),0),"")</f>
        <v/>
      </c>
      <c r="AE206" s="223" t="str">
        <f>IFERROR(ROUNDUP(AVERAGE(AE203:AE205),0),"")</f>
        <v/>
      </c>
      <c r="AF206" s="223" t="str">
        <f>IFERROR(ROUNDUP(AVERAGE(AF203:AF205),0),"")</f>
        <v/>
      </c>
    </row>
    <row r="207" spans="1:32" ht="70.400000000000006" customHeight="1">
      <c r="D207" s="77"/>
      <c r="E207" s="122">
        <v>5</v>
      </c>
      <c r="F207" s="11" t="str">
        <f>対策リスト!AW6&amp;""</f>
        <v/>
      </c>
      <c r="G207" s="755" t="str">
        <f t="shared" si="0"/>
        <v/>
      </c>
      <c r="H207" s="756"/>
      <c r="I207" s="756"/>
      <c r="J207" s="756"/>
      <c r="K207" s="756"/>
      <c r="L207" s="756"/>
      <c r="M207" s="757"/>
      <c r="N207" s="8" t="str">
        <f>IF(F207="","",IFERROR(IF(VLOOKUP(F207,'入力シート（第２年度報告書）'!$F$203:$P$211,9,0)="","未入力",VLOOKUP(F207,'入力シート（第２年度報告書）'!$F$203:$P$211,9,0)),"-------"))</f>
        <v/>
      </c>
      <c r="O207" s="9" t="str">
        <f>IF(F207="","",IFERROR(IF(VLOOKUP(F207,'入力シート（第２年度報告書）'!$F$203:$P$211,10,0)="","未入力",VLOOKUP(F207,'入力シート（第２年度報告書）'!$F$203:$P$211,10,0)),"-------"))</f>
        <v/>
      </c>
      <c r="P207" s="9" t="str">
        <f>IF(F207="","",IFERROR(IF(VLOOKUP(F207,'入力シート（第２年度報告書）'!$F$203:$P$211,11,0)="","未入力",VLOOKUP(F207,'入力シート（第２年度報告書）'!$F$203:$P$211,11,0)),"-------"))</f>
        <v/>
      </c>
      <c r="Q207" s="1"/>
      <c r="R207" s="77"/>
      <c r="S207" s="77"/>
      <c r="T207" s="77"/>
      <c r="W207" s="195" t="s">
        <v>4079</v>
      </c>
      <c r="X207" s="195" t="str">
        <f>IF($W$200&gt;0,IF(X203*Y203+X204*Y204&gt;Y206,Y206,X203*Y203+X204*Y204),"-----")</f>
        <v>-----</v>
      </c>
      <c r="AA207" s="195"/>
      <c r="AD207" s="196"/>
    </row>
    <row r="208" spans="1:32" ht="70.400000000000006" customHeight="1">
      <c r="D208" s="77"/>
      <c r="E208" s="122">
        <v>6</v>
      </c>
      <c r="F208" s="11" t="str">
        <f>対策リスト!AW7&amp;""</f>
        <v/>
      </c>
      <c r="G208" s="755" t="str">
        <f t="shared" si="0"/>
        <v/>
      </c>
      <c r="H208" s="756"/>
      <c r="I208" s="756"/>
      <c r="J208" s="756"/>
      <c r="K208" s="756"/>
      <c r="L208" s="756"/>
      <c r="M208" s="757"/>
      <c r="N208" s="8" t="str">
        <f>IF(F208="","",IFERROR(IF(VLOOKUP(F208,'入力シート（第２年度報告書）'!$F$203:$P$211,9,0)="","未入力",VLOOKUP(F208,'入力シート（第２年度報告書）'!$F$203:$P$211,9,0)),"-------"))</f>
        <v/>
      </c>
      <c r="O208" s="9" t="str">
        <f>IF(F208="","",IFERROR(IF(VLOOKUP(F208,'入力シート（第２年度報告書）'!$F$203:$P$211,10,0)="","未入力",VLOOKUP(F208,'入力シート（第２年度報告書）'!$F$203:$P$211,10,0)),"-------"))</f>
        <v/>
      </c>
      <c r="P208" s="9" t="str">
        <f>IF(F208="","",IFERROR(IF(VLOOKUP(F208,'入力シート（第２年度報告書）'!$F$203:$P$211,11,0)="","未入力",VLOOKUP(F208,'入力シート（第２年度報告書）'!$F$203:$P$211,11,0)),"-------"))</f>
        <v/>
      </c>
      <c r="Q208" s="1"/>
      <c r="R208" s="77"/>
      <c r="S208" s="77"/>
      <c r="T208" s="77"/>
      <c r="AA208" s="195"/>
      <c r="AD208" s="196"/>
    </row>
    <row r="209" spans="1:31" ht="70.400000000000006" customHeight="1">
      <c r="D209" s="77"/>
      <c r="E209" s="122">
        <v>7</v>
      </c>
      <c r="F209" s="11" t="str">
        <f>対策リスト!AW8&amp;""</f>
        <v/>
      </c>
      <c r="G209" s="755" t="str">
        <f t="shared" si="0"/>
        <v/>
      </c>
      <c r="H209" s="756"/>
      <c r="I209" s="756"/>
      <c r="J209" s="756"/>
      <c r="K209" s="756"/>
      <c r="L209" s="756"/>
      <c r="M209" s="757"/>
      <c r="N209" s="8" t="str">
        <f>IF(F209="","",IFERROR(IF(VLOOKUP(F209,'入力シート（第２年度報告書）'!$F$203:$P$211,9,0)="","未入力",VLOOKUP(F209,'入力シート（第２年度報告書）'!$F$203:$P$211,9,0)),"-------"))</f>
        <v/>
      </c>
      <c r="O209" s="9" t="str">
        <f>IF(F209="","",IFERROR(IF(VLOOKUP(F209,'入力シート（第２年度報告書）'!$F$203:$P$211,10,0)="","未入力",VLOOKUP(F209,'入力シート（第２年度報告書）'!$F$203:$P$211,10,0)),"-------"))</f>
        <v/>
      </c>
      <c r="P209" s="9" t="str">
        <f>IF(F209="","",IFERROR(IF(VLOOKUP(F209,'入力シート（第２年度報告書）'!$F$203:$P$211,11,0)="","未入力",VLOOKUP(F209,'入力シート（第２年度報告書）'!$F$203:$P$211,11,0)),"-------"))</f>
        <v/>
      </c>
      <c r="Q209" s="1"/>
      <c r="R209" s="77"/>
      <c r="S209" s="77"/>
      <c r="T209" s="77"/>
      <c r="AA209" s="195"/>
      <c r="AD209" s="196"/>
    </row>
    <row r="210" spans="1:31" ht="70.400000000000006" customHeight="1">
      <c r="D210" s="77"/>
      <c r="E210" s="122">
        <v>8</v>
      </c>
      <c r="F210" s="11" t="str">
        <f>対策リスト!AW9&amp;""</f>
        <v/>
      </c>
      <c r="G210" s="755" t="str">
        <f t="shared" si="0"/>
        <v/>
      </c>
      <c r="H210" s="756"/>
      <c r="I210" s="756"/>
      <c r="J210" s="756"/>
      <c r="K210" s="756"/>
      <c r="L210" s="756"/>
      <c r="M210" s="757"/>
      <c r="N210" s="8" t="str">
        <f>IF(F210="","",IFERROR(IF(VLOOKUP(F210,'入力シート（第２年度報告書）'!$F$203:$P$211,9,0)="","未入力",VLOOKUP(F210,'入力シート（第２年度報告書）'!$F$203:$P$211,9,0)),"-------"))</f>
        <v/>
      </c>
      <c r="O210" s="9" t="str">
        <f>IF(F210="","",IFERROR(IF(VLOOKUP(F210,'入力シート（第２年度報告書）'!$F$203:$P$211,10,0)="","未入力",VLOOKUP(F210,'入力シート（第２年度報告書）'!$F$203:$P$211,10,0)),"-------"))</f>
        <v/>
      </c>
      <c r="P210" s="9" t="str">
        <f>IF(F210="","",IFERROR(IF(VLOOKUP(F210,'入力シート（第２年度報告書）'!$F$203:$P$211,11,0)="","未入力",VLOOKUP(F210,'入力シート（第２年度報告書）'!$F$203:$P$211,11,0)),"-------"))</f>
        <v/>
      </c>
      <c r="Q210" s="1"/>
      <c r="R210" s="77"/>
      <c r="S210" s="77"/>
      <c r="T210" s="77"/>
      <c r="AA210" s="195"/>
      <c r="AD210" s="196"/>
    </row>
    <row r="211" spans="1:31" ht="70.400000000000006" customHeight="1">
      <c r="D211" s="77"/>
      <c r="E211" s="122">
        <v>9</v>
      </c>
      <c r="F211" s="11" t="str">
        <f>対策リスト!AW10&amp;""</f>
        <v/>
      </c>
      <c r="G211" s="755" t="str">
        <f t="shared" si="0"/>
        <v/>
      </c>
      <c r="H211" s="756"/>
      <c r="I211" s="756"/>
      <c r="J211" s="756"/>
      <c r="K211" s="756"/>
      <c r="L211" s="756"/>
      <c r="M211" s="757"/>
      <c r="N211" s="8" t="str">
        <f>IF(F211="","",IFERROR(IF(VLOOKUP(F211,'入力シート（第２年度報告書）'!$F$203:$P$211,9,0)="","未入力",VLOOKUP(F211,'入力シート（第２年度報告書）'!$F$203:$P$211,9,0)),"-------"))</f>
        <v/>
      </c>
      <c r="O211" s="9" t="str">
        <f>IF(F211="","",IFERROR(IF(VLOOKUP(F211,'入力シート（第２年度報告書）'!$F$203:$P$211,10,0)="","未入力",VLOOKUP(F211,'入力シート（第２年度報告書）'!$F$203:$P$211,10,0)),"-------"))</f>
        <v/>
      </c>
      <c r="P211" s="9" t="str">
        <f>IF(F211="","",IFERROR(IF(VLOOKUP(F211,'入力シート（第２年度報告書）'!$F$203:$P$211,11,0)="","未入力",VLOOKUP(F211,'入力シート（第２年度報告書）'!$F$203:$P$211,11,0)),"-------"))</f>
        <v/>
      </c>
      <c r="Q211" s="1"/>
      <c r="R211" s="77"/>
      <c r="S211" s="77"/>
      <c r="T211" s="77"/>
      <c r="AA211" s="195"/>
      <c r="AD211" s="196"/>
    </row>
    <row r="212" spans="1:31" ht="18" customHeight="1">
      <c r="D212" s="77"/>
      <c r="E212" s="77"/>
      <c r="F212" s="77"/>
      <c r="G212" s="77"/>
      <c r="H212" s="77"/>
      <c r="I212" s="77"/>
      <c r="J212" s="77"/>
      <c r="K212" s="77"/>
      <c r="L212" s="77"/>
      <c r="M212" s="77"/>
      <c r="N212" s="77"/>
      <c r="O212" s="77"/>
      <c r="P212" s="77"/>
      <c r="Q212" s="77"/>
      <c r="R212" s="77"/>
      <c r="S212" s="77"/>
      <c r="T212" s="77"/>
      <c r="AA212" s="195"/>
      <c r="AD212" s="196"/>
    </row>
    <row r="213" spans="1:31" ht="18" customHeight="1">
      <c r="D213" s="32"/>
      <c r="E213" s="16" t="str">
        <f>"８-３．【その他の対策】基本対策と選択対策どちらにも該当しない独自の取組み"</f>
        <v>８-３．【その他の対策】基本対策と選択対策どちらにも該当しない独自の取組み</v>
      </c>
      <c r="F213" s="14"/>
      <c r="G213" s="77"/>
      <c r="H213" s="77"/>
      <c r="I213" s="77"/>
      <c r="J213" s="77"/>
      <c r="K213" s="77"/>
      <c r="L213" s="77"/>
      <c r="M213" s="77"/>
      <c r="N213" s="77"/>
      <c r="O213" s="77"/>
      <c r="P213" s="77"/>
      <c r="Q213" s="77"/>
      <c r="R213" s="77"/>
      <c r="S213" s="77"/>
      <c r="T213" s="77"/>
      <c r="AA213" s="195"/>
      <c r="AD213" s="196"/>
    </row>
    <row r="214" spans="1:31" s="191" customFormat="1" ht="20.149999999999999" customHeight="1">
      <c r="A214" s="187"/>
      <c r="B214" s="187"/>
      <c r="C214" s="187"/>
      <c r="D214" s="14"/>
      <c r="E214" s="14"/>
      <c r="F214" s="14" t="str">
        <f>$AB$1+3&amp;"年度（第３年度）における実施状況をプルダウンから選択してください。"</f>
        <v>3年度（第３年度）における実施状況をプルダウンから選択してください。</v>
      </c>
      <c r="G214" s="14"/>
      <c r="H214" s="14"/>
      <c r="I214" s="14"/>
      <c r="J214" s="14"/>
      <c r="K214" s="14"/>
      <c r="L214" s="14"/>
      <c r="M214" s="14"/>
      <c r="N214" s="14"/>
      <c r="O214" s="14"/>
      <c r="P214" s="14"/>
      <c r="Q214" s="14"/>
      <c r="R214" s="14"/>
      <c r="S214" s="14"/>
      <c r="T214" s="14"/>
      <c r="AD214" s="199"/>
    </row>
    <row r="215" spans="1:31" s="191" customFormat="1" ht="20.149999999999999" customHeight="1">
      <c r="A215" s="187"/>
      <c r="B215" s="187"/>
      <c r="C215" s="187"/>
      <c r="D215" s="14"/>
      <c r="E215" s="14"/>
      <c r="F215" s="37" t="str">
        <f>"　項目の追加："&amp;$AB$1+3&amp;"年度（第３年度）に開始した取組み、期間中に実施予定の取組は、『その他の対策 項目追加する場合はこちら』ボタンを押下し移動後、"</f>
        <v>　項目の追加：3年度（第３年度）に開始した取組み、期間中に実施予定の取組は、『その他の対策 項目追加する場合はこちら』ボタンを押下し移動後、</v>
      </c>
      <c r="G215" s="14"/>
      <c r="H215" s="14"/>
      <c r="I215" s="14"/>
      <c r="J215" s="14"/>
      <c r="K215" s="14"/>
      <c r="L215" s="14"/>
      <c r="M215" s="14"/>
      <c r="N215" s="14"/>
      <c r="O215" s="14"/>
      <c r="P215" s="14"/>
      <c r="Q215" s="14"/>
      <c r="R215" s="14"/>
      <c r="S215" s="14"/>
      <c r="T215" s="14"/>
      <c r="AD215" s="199"/>
    </row>
    <row r="216" spans="1:31" s="191" customFormat="1" ht="20.149999999999999" customHeight="1">
      <c r="A216" s="187"/>
      <c r="B216" s="187"/>
      <c r="C216" s="187"/>
      <c r="D216" s="14"/>
      <c r="E216" s="120"/>
      <c r="F216" s="37" t="s">
        <v>4542</v>
      </c>
      <c r="G216" s="14"/>
      <c r="H216" s="14"/>
      <c r="I216" s="14"/>
      <c r="J216" s="14"/>
      <c r="K216" s="14"/>
      <c r="L216" s="14"/>
      <c r="M216" s="14"/>
      <c r="N216" s="14"/>
      <c r="O216" s="14"/>
      <c r="P216" s="14"/>
      <c r="Q216" s="14"/>
      <c r="R216" s="14"/>
      <c r="S216" s="14"/>
      <c r="T216" s="14"/>
      <c r="AD216" s="199"/>
    </row>
    <row r="217" spans="1:31" s="191" customFormat="1" ht="18" customHeight="1">
      <c r="A217" s="187"/>
      <c r="B217" s="187"/>
      <c r="C217" s="187"/>
      <c r="D217" s="14"/>
      <c r="E217" s="133"/>
      <c r="F217" s="37" t="s">
        <v>4550</v>
      </c>
      <c r="G217" s="14"/>
      <c r="H217" s="14"/>
      <c r="I217" s="14"/>
      <c r="J217" s="14"/>
      <c r="K217" s="14"/>
      <c r="L217" s="14"/>
      <c r="M217" s="14"/>
      <c r="N217" s="97"/>
      <c r="O217" s="14"/>
      <c r="P217" s="14"/>
      <c r="Q217" s="14"/>
      <c r="R217" s="14"/>
      <c r="S217" s="14"/>
      <c r="T217" s="14"/>
      <c r="V217" s="281"/>
      <c r="W217" s="281"/>
      <c r="AD217" s="199"/>
    </row>
    <row r="218" spans="1:31" s="191" customFormat="1" ht="18" customHeight="1">
      <c r="A218" s="187"/>
      <c r="B218" s="187"/>
      <c r="C218" s="187"/>
      <c r="D218" s="14"/>
      <c r="E218" s="14"/>
      <c r="F218" s="37" t="s">
        <v>4543</v>
      </c>
      <c r="G218" s="14"/>
      <c r="H218" s="14"/>
      <c r="I218" s="14"/>
      <c r="J218" s="14"/>
      <c r="K218" s="14"/>
      <c r="L218" s="14"/>
      <c r="M218" s="14"/>
      <c r="N218" s="14"/>
      <c r="O218" s="97"/>
      <c r="P218" s="14"/>
      <c r="Q218" s="14"/>
      <c r="R218" s="14"/>
      <c r="S218" s="14"/>
      <c r="T218" s="14"/>
      <c r="AD218" s="199"/>
    </row>
    <row r="219" spans="1:31" s="191" customFormat="1" ht="18" hidden="1" customHeight="1">
      <c r="A219" s="187"/>
      <c r="B219" s="187"/>
      <c r="C219" s="187"/>
      <c r="D219" s="14"/>
      <c r="E219" s="14"/>
      <c r="F219" s="124"/>
      <c r="G219" s="14"/>
      <c r="H219" s="14"/>
      <c r="I219" s="14"/>
      <c r="J219" s="14"/>
      <c r="K219" s="14"/>
      <c r="L219" s="14"/>
      <c r="M219" s="14"/>
      <c r="N219" s="14"/>
      <c r="O219" s="97"/>
      <c r="P219" s="14"/>
      <c r="Q219" s="14"/>
      <c r="R219" s="14"/>
      <c r="S219" s="14"/>
      <c r="T219" s="14"/>
      <c r="AD219" s="199"/>
    </row>
    <row r="220" spans="1:31" s="191" customFormat="1" ht="20.149999999999999" customHeight="1">
      <c r="A220" s="187"/>
      <c r="B220" s="187"/>
      <c r="C220" s="187"/>
      <c r="D220" s="14"/>
      <c r="E220" s="249" t="s">
        <v>4243</v>
      </c>
      <c r="F220" s="14"/>
      <c r="G220" s="14"/>
      <c r="H220" s="14"/>
      <c r="I220" s="14"/>
      <c r="J220" s="14"/>
      <c r="K220" s="14"/>
      <c r="L220" s="14"/>
      <c r="M220" s="14"/>
      <c r="N220" s="14"/>
      <c r="O220" s="14"/>
      <c r="P220" s="14"/>
      <c r="Q220" s="14"/>
      <c r="R220" s="14"/>
      <c r="S220" s="14"/>
      <c r="T220" s="14"/>
      <c r="W220" s="282">
        <f>'R3'!$AB$5</f>
        <v>0</v>
      </c>
      <c r="X220" s="183"/>
      <c r="AD220" s="199"/>
    </row>
    <row r="221" spans="1:31" ht="18" customHeight="1">
      <c r="D221" s="77"/>
      <c r="E221" s="745" t="s">
        <v>77</v>
      </c>
      <c r="F221" s="762" t="s">
        <v>78</v>
      </c>
      <c r="G221" s="792" t="s">
        <v>79</v>
      </c>
      <c r="H221" s="793"/>
      <c r="I221" s="793"/>
      <c r="J221" s="793"/>
      <c r="K221" s="793"/>
      <c r="L221" s="793"/>
      <c r="M221" s="794"/>
      <c r="N221" s="117" t="s">
        <v>4020</v>
      </c>
      <c r="O221" s="132"/>
      <c r="P221" s="132"/>
      <c r="Q221" s="136"/>
      <c r="R221" s="77"/>
      <c r="S221" s="77"/>
      <c r="T221" s="77"/>
      <c r="AA221" s="195"/>
      <c r="AD221" s="196"/>
    </row>
    <row r="222" spans="1:31" ht="18" customHeight="1">
      <c r="D222" s="77"/>
      <c r="E222" s="745"/>
      <c r="F222" s="763"/>
      <c r="G222" s="795"/>
      <c r="H222" s="796"/>
      <c r="I222" s="796"/>
      <c r="J222" s="796"/>
      <c r="K222" s="796"/>
      <c r="L222" s="796"/>
      <c r="M222" s="797"/>
      <c r="N222" s="119" t="s">
        <v>4016</v>
      </c>
      <c r="O222" s="119" t="s">
        <v>4009</v>
      </c>
      <c r="P222" s="119" t="s">
        <v>4014</v>
      </c>
      <c r="Q222" s="119" t="s">
        <v>4015</v>
      </c>
      <c r="R222" s="77"/>
      <c r="S222" s="77"/>
      <c r="T222" s="77"/>
      <c r="W222" s="214" t="str">
        <f>"第"&amp;W220&amp;"年度状況"</f>
        <v>第0年度状況</v>
      </c>
      <c r="X222" s="222" t="s">
        <v>4072</v>
      </c>
      <c r="Y222" s="213" t="s">
        <v>4073</v>
      </c>
      <c r="AA222" s="222" t="s">
        <v>4074</v>
      </c>
      <c r="AB222" s="222" t="s">
        <v>4072</v>
      </c>
      <c r="AC222" s="222" t="s">
        <v>4047</v>
      </c>
      <c r="AD222" s="222" t="s">
        <v>4058</v>
      </c>
      <c r="AE222" s="222" t="s">
        <v>4078</v>
      </c>
    </row>
    <row r="223" spans="1:31" ht="90" customHeight="1">
      <c r="D223" s="77"/>
      <c r="E223" s="122">
        <v>1</v>
      </c>
      <c r="F223" s="11" t="str">
        <f>対策リスト!BW2&amp;""</f>
        <v/>
      </c>
      <c r="G223" s="922" t="str">
        <f>IF(対策リスト!BZ2=0,"",対策リスト!BZ2&amp;"")</f>
        <v/>
      </c>
      <c r="H223" s="923"/>
      <c r="I223" s="923"/>
      <c r="J223" s="923"/>
      <c r="K223" s="923"/>
      <c r="L223" s="923"/>
      <c r="M223" s="924"/>
      <c r="N223" s="8" t="str">
        <f>IF(F223="","",IF(対策リスト!CG2="","-------",対策リスト!CG2))</f>
        <v/>
      </c>
      <c r="O223" s="9" t="str">
        <f>IF(F223="","",IF(対策リスト!CF2="","-------",対策リスト!CF2))</f>
        <v/>
      </c>
      <c r="P223" s="9" t="str">
        <f>IF(F223="","",IF(対策リスト!CE2="","-------",対策リスト!CE2))</f>
        <v/>
      </c>
      <c r="Q223" s="1"/>
      <c r="R223" s="77"/>
      <c r="S223" s="77"/>
      <c r="T223" s="77"/>
      <c r="W223" s="222" t="s">
        <v>4047</v>
      </c>
      <c r="X223" s="216" t="str">
        <f>IFERROR(CHOOSE($W$220,COUNTIFS($O$223:$O$232,$W223),COUNTIFS($P$223:$P$232,$W223),COUNTIFS($Q$223:$Q$232,$W223)),"------")</f>
        <v>------</v>
      </c>
      <c r="Y223" s="213">
        <v>5</v>
      </c>
      <c r="AA223" s="222" t="s">
        <v>4071</v>
      </c>
      <c r="AB223" s="223" t="str">
        <f>IF($W$220&gt;0,SUM(AC223:AD223),"")</f>
        <v/>
      </c>
      <c r="AC223" s="223" t="str">
        <f>IF($W$220&gt;0,COUNTIF($O$223:$O$232,AC$222),"")</f>
        <v/>
      </c>
      <c r="AD223" s="223" t="str">
        <f>IF($W$220&gt;0,COUNTIF($O$223:$O$232,AD$222),"")</f>
        <v/>
      </c>
      <c r="AE223" s="223" t="str">
        <f>IF($W$220&gt;0,AC223*$Y$223,"")</f>
        <v/>
      </c>
    </row>
    <row r="224" spans="1:31" ht="90" customHeight="1">
      <c r="D224" s="77"/>
      <c r="E224" s="122">
        <v>2</v>
      </c>
      <c r="F224" s="11" t="str">
        <f>対策リスト!BW3&amp;""</f>
        <v/>
      </c>
      <c r="G224" s="922" t="str">
        <f>IF(対策リスト!BZ3=0,"",対策リスト!BZ3&amp;"")</f>
        <v/>
      </c>
      <c r="H224" s="923"/>
      <c r="I224" s="923"/>
      <c r="J224" s="923"/>
      <c r="K224" s="923"/>
      <c r="L224" s="923"/>
      <c r="M224" s="924"/>
      <c r="N224" s="8" t="str">
        <f>IF(F224="","",IF(対策リスト!CG3="","-------",対策リスト!CG3))</f>
        <v/>
      </c>
      <c r="O224" s="9" t="str">
        <f>IF(F224="","",IF(対策リスト!CF3="","-------",対策リスト!CF3))</f>
        <v/>
      </c>
      <c r="P224" s="9" t="str">
        <f>IF(F224="","",IF(対策リスト!CE3="","-------",対策リスト!CE3))</f>
        <v/>
      </c>
      <c r="Q224" s="1"/>
      <c r="R224" s="77"/>
      <c r="S224" s="77"/>
      <c r="T224" s="77"/>
      <c r="W224" s="222" t="s">
        <v>4058</v>
      </c>
      <c r="X224" s="216" t="str">
        <f>IFERROR(CHOOSE($W$220,COUNTIFS($O$223:$O$232,$W224),COUNTIFS($P$223:$P$232,$W224),COUNTIFS($Q$223:$Q$232,$W224)),"------")</f>
        <v>------</v>
      </c>
      <c r="Y224" s="213">
        <v>0</v>
      </c>
      <c r="AA224" s="222" t="s">
        <v>4065</v>
      </c>
      <c r="AB224" s="223" t="str">
        <f>IF($W$220&gt;1,SUM(AC224:AD224),"")</f>
        <v/>
      </c>
      <c r="AC224" s="223" t="str">
        <f>IF($W$220&gt;1,COUNTIF($P$223:$P$232,AC$222),"")</f>
        <v/>
      </c>
      <c r="AD224" s="223" t="str">
        <f>IF($W$220&gt;1,COUNTIF($P$223:$P$232,AD$222),"")</f>
        <v/>
      </c>
      <c r="AE224" s="223" t="str">
        <f>IF($W$220&gt;1,AC224*$Y$223,"")</f>
        <v/>
      </c>
    </row>
    <row r="225" spans="1:42" ht="90" customHeight="1">
      <c r="D225" s="77"/>
      <c r="E225" s="122">
        <v>3</v>
      </c>
      <c r="F225" s="11" t="str">
        <f>対策リスト!BW4&amp;""</f>
        <v/>
      </c>
      <c r="G225" s="922" t="str">
        <f>IF(対策リスト!BZ4=0,"",対策リスト!BZ4&amp;"")</f>
        <v/>
      </c>
      <c r="H225" s="923"/>
      <c r="I225" s="923"/>
      <c r="J225" s="923"/>
      <c r="K225" s="923"/>
      <c r="L225" s="923"/>
      <c r="M225" s="924"/>
      <c r="N225" s="8" t="str">
        <f>IF(F225="","",IF(対策リスト!CG4="","-------",対策リスト!CG4))</f>
        <v/>
      </c>
      <c r="O225" s="9" t="str">
        <f>IF(F225="","",IF(対策リスト!CF4="","-------",対策リスト!CF4))</f>
        <v/>
      </c>
      <c r="P225" s="9" t="str">
        <f>IF(F225="","",IF(対策リスト!CE4="","-------",対策リスト!CE4))</f>
        <v/>
      </c>
      <c r="Q225" s="1"/>
      <c r="R225" s="77"/>
      <c r="S225" s="77"/>
      <c r="T225" s="77"/>
      <c r="W225" s="222" t="s">
        <v>4076</v>
      </c>
      <c r="X225" s="222">
        <f>SUM(X223:X224)</f>
        <v>0</v>
      </c>
      <c r="Y225" s="213">
        <v>25</v>
      </c>
      <c r="AA225" s="222" t="s">
        <v>4066</v>
      </c>
      <c r="AB225" s="223" t="str">
        <f>IF($W$220&gt;2,SUM(AC225:AD225),"")</f>
        <v/>
      </c>
      <c r="AC225" s="223" t="str">
        <f>IF($W$220&gt;2,COUNTIF($Q$223:$Q$232,AC$222),"")</f>
        <v/>
      </c>
      <c r="AD225" s="223" t="str">
        <f>IF($W$220&gt;2,COUNTIF($Q$223:$Q$232,AD$222),"")</f>
        <v/>
      </c>
      <c r="AE225" s="223" t="str">
        <f>IF($W$220&gt;2,AC225*$Y$223,"")</f>
        <v/>
      </c>
    </row>
    <row r="226" spans="1:42" ht="90" customHeight="1">
      <c r="D226" s="77"/>
      <c r="E226" s="122">
        <v>4</v>
      </c>
      <c r="F226" s="11" t="str">
        <f>対策リスト!BW5&amp;""</f>
        <v/>
      </c>
      <c r="G226" s="922" t="str">
        <f>IF(対策リスト!BZ5=0,"",対策リスト!BZ5&amp;"")</f>
        <v/>
      </c>
      <c r="H226" s="923"/>
      <c r="I226" s="923"/>
      <c r="J226" s="923"/>
      <c r="K226" s="923"/>
      <c r="L226" s="923"/>
      <c r="M226" s="924"/>
      <c r="N226" s="8" t="str">
        <f>IF(F226="","",IF(対策リスト!CG5="","-------",対策リスト!CG5))</f>
        <v/>
      </c>
      <c r="O226" s="9" t="str">
        <f>IF(F226="","",IF(対策リスト!CF5="","-------",対策リスト!CF5))</f>
        <v/>
      </c>
      <c r="P226" s="9" t="str">
        <f>IF(F226="","",IF(対策リスト!CE5="","-------",対策リスト!CE5))</f>
        <v/>
      </c>
      <c r="Q226" s="1"/>
      <c r="R226" s="77"/>
      <c r="S226" s="77"/>
      <c r="T226" s="77"/>
      <c r="W226" s="195" t="s">
        <v>4079</v>
      </c>
      <c r="X226" s="195" t="str">
        <f>IF($W$220&gt;0,IF(X223*Y223&gt;Y225,Y225,X223*Y223),"-----")</f>
        <v>-----</v>
      </c>
      <c r="AA226" s="222" t="s">
        <v>4077</v>
      </c>
      <c r="AB226" s="223" t="str">
        <f>IFERROR(ROUNDUP(AVERAGE(AB223:AB225),0),"")</f>
        <v/>
      </c>
      <c r="AC226" s="223" t="str">
        <f>IFERROR(ROUNDUP(AVERAGE(AC223:AC225),0),"")</f>
        <v/>
      </c>
      <c r="AD226" s="224" t="str">
        <f>IFERROR(ROUNDUP(AVERAGE(AD223:AD225),0),"")</f>
        <v/>
      </c>
      <c r="AE226" s="223" t="str">
        <f>IFERROR(ROUNDUP(AVERAGE(AE223:AE225),0),"")</f>
        <v/>
      </c>
    </row>
    <row r="227" spans="1:42" ht="90" customHeight="1">
      <c r="D227" s="77"/>
      <c r="E227" s="122">
        <v>5</v>
      </c>
      <c r="F227" s="11" t="str">
        <f>対策リスト!BW6&amp;""</f>
        <v/>
      </c>
      <c r="G227" s="922" t="str">
        <f>IF(対策リスト!BZ6=0,"",対策リスト!BZ6&amp;"")</f>
        <v/>
      </c>
      <c r="H227" s="923"/>
      <c r="I227" s="923"/>
      <c r="J227" s="923"/>
      <c r="K227" s="923"/>
      <c r="L227" s="923"/>
      <c r="M227" s="924"/>
      <c r="N227" s="8" t="str">
        <f>IF(F227="","",IF(対策リスト!CG6="","-------",対策リスト!CG6))</f>
        <v/>
      </c>
      <c r="O227" s="9" t="str">
        <f>IF(F227="","",IF(対策リスト!CF6="","-------",対策リスト!CF6))</f>
        <v/>
      </c>
      <c r="P227" s="9" t="str">
        <f>IF(F227="","",IF(対策リスト!CE6="","-------",対策リスト!CE6))</f>
        <v/>
      </c>
      <c r="Q227" s="1"/>
      <c r="R227" s="77"/>
      <c r="S227" s="77"/>
      <c r="T227" s="77"/>
      <c r="AA227" s="195"/>
      <c r="AD227" s="196"/>
    </row>
    <row r="228" spans="1:42" ht="90" customHeight="1">
      <c r="D228" s="77"/>
      <c r="E228" s="122">
        <v>6</v>
      </c>
      <c r="F228" s="11" t="str">
        <f>対策リスト!BW7&amp;""</f>
        <v/>
      </c>
      <c r="G228" s="922" t="str">
        <f>IF(対策リスト!BZ7=0,"",対策リスト!BZ7&amp;"")</f>
        <v/>
      </c>
      <c r="H228" s="923"/>
      <c r="I228" s="923"/>
      <c r="J228" s="923"/>
      <c r="K228" s="923"/>
      <c r="L228" s="923"/>
      <c r="M228" s="924"/>
      <c r="N228" s="8" t="str">
        <f>IF(F228="","",IF(対策リスト!CG7="","-------",対策リスト!CG7))</f>
        <v/>
      </c>
      <c r="O228" s="9" t="str">
        <f>IF(F228="","",IF(対策リスト!CF7="","-------",対策リスト!CF7))</f>
        <v/>
      </c>
      <c r="P228" s="9" t="str">
        <f>IF(F228="","",IF(対策リスト!CE7="","-------",対策リスト!CE7))</f>
        <v/>
      </c>
      <c r="Q228" s="1"/>
      <c r="R228" s="77"/>
      <c r="S228" s="77"/>
      <c r="T228" s="77"/>
      <c r="AA228" s="195"/>
      <c r="AD228" s="196"/>
    </row>
    <row r="229" spans="1:42" ht="90" customHeight="1">
      <c r="D229" s="77"/>
      <c r="E229" s="122">
        <v>7</v>
      </c>
      <c r="F229" s="11" t="str">
        <f>対策リスト!BW8&amp;""</f>
        <v/>
      </c>
      <c r="G229" s="922" t="str">
        <f>IF(対策リスト!BZ8=0,"",対策リスト!BZ8&amp;"")</f>
        <v/>
      </c>
      <c r="H229" s="923"/>
      <c r="I229" s="923"/>
      <c r="J229" s="923"/>
      <c r="K229" s="923"/>
      <c r="L229" s="923"/>
      <c r="M229" s="924"/>
      <c r="N229" s="8" t="str">
        <f>IF(F229="","",IF(対策リスト!CG8="","-------",対策リスト!CG8))</f>
        <v/>
      </c>
      <c r="O229" s="9" t="str">
        <f>IF(F229="","",IF(対策リスト!CF8="","-------",対策リスト!CF8))</f>
        <v/>
      </c>
      <c r="P229" s="9" t="str">
        <f>IF(F229="","",IF(対策リスト!CE8="","-------",対策リスト!CE8))</f>
        <v/>
      </c>
      <c r="Q229" s="1"/>
      <c r="R229" s="77"/>
      <c r="S229" s="77"/>
      <c r="T229" s="77"/>
      <c r="AA229" s="195"/>
      <c r="AD229" s="196"/>
    </row>
    <row r="230" spans="1:42" ht="90" customHeight="1">
      <c r="D230" s="77"/>
      <c r="E230" s="122">
        <v>8</v>
      </c>
      <c r="F230" s="11" t="str">
        <f>対策リスト!BW9&amp;""</f>
        <v/>
      </c>
      <c r="G230" s="922" t="str">
        <f>IF(対策リスト!BZ9=0,"",対策リスト!BZ9&amp;"")</f>
        <v/>
      </c>
      <c r="H230" s="923"/>
      <c r="I230" s="923"/>
      <c r="J230" s="923"/>
      <c r="K230" s="923"/>
      <c r="L230" s="923"/>
      <c r="M230" s="924"/>
      <c r="N230" s="8" t="str">
        <f>IF(F230="","",IF(対策リスト!CG9="","-------",対策リスト!CG9))</f>
        <v/>
      </c>
      <c r="O230" s="9" t="str">
        <f>IF(F230="","",IF(対策リスト!CF9="","-------",対策リスト!CF9))</f>
        <v/>
      </c>
      <c r="P230" s="9" t="str">
        <f>IF(F230="","",IF(対策リスト!CE9="","-------",対策リスト!CE9))</f>
        <v/>
      </c>
      <c r="Q230" s="1"/>
      <c r="R230" s="77"/>
      <c r="S230" s="77"/>
      <c r="T230" s="77"/>
      <c r="AA230" s="195"/>
      <c r="AD230" s="196"/>
    </row>
    <row r="231" spans="1:42" ht="90" customHeight="1">
      <c r="D231" s="77"/>
      <c r="E231" s="122">
        <v>9</v>
      </c>
      <c r="F231" s="11" t="str">
        <f>対策リスト!BW10&amp;""</f>
        <v/>
      </c>
      <c r="G231" s="922" t="str">
        <f>IF(対策リスト!BZ10=0,"",対策リスト!BZ10&amp;"")</f>
        <v/>
      </c>
      <c r="H231" s="923"/>
      <c r="I231" s="923"/>
      <c r="J231" s="923"/>
      <c r="K231" s="923"/>
      <c r="L231" s="923"/>
      <c r="M231" s="924"/>
      <c r="N231" s="8" t="str">
        <f>IF(F231="","",IF(対策リスト!CG10="","-------",対策リスト!CG10))</f>
        <v/>
      </c>
      <c r="O231" s="9" t="str">
        <f>IF(F231="","",IF(対策リスト!CF10="","-------",対策リスト!CF10))</f>
        <v/>
      </c>
      <c r="P231" s="9" t="str">
        <f>IF(F231="","",IF(対策リスト!CE10="","-------",対策リスト!CE10))</f>
        <v/>
      </c>
      <c r="Q231" s="1"/>
      <c r="R231" s="77"/>
      <c r="S231" s="77"/>
      <c r="T231" s="77"/>
      <c r="AA231" s="195"/>
      <c r="AD231" s="196"/>
    </row>
    <row r="232" spans="1:42" ht="90" customHeight="1">
      <c r="D232" s="77"/>
      <c r="E232" s="122">
        <v>10</v>
      </c>
      <c r="F232" s="11" t="str">
        <f>対策リスト!BW11&amp;""</f>
        <v/>
      </c>
      <c r="G232" s="922" t="str">
        <f>IF(対策リスト!BZ11=0,"",対策リスト!BZ11&amp;"")</f>
        <v/>
      </c>
      <c r="H232" s="923"/>
      <c r="I232" s="923"/>
      <c r="J232" s="923"/>
      <c r="K232" s="923"/>
      <c r="L232" s="923"/>
      <c r="M232" s="924"/>
      <c r="N232" s="8" t="str">
        <f>IF(F232="","",IF(対策リスト!CG11="","-------",対策リスト!CG11))</f>
        <v/>
      </c>
      <c r="O232" s="9" t="str">
        <f>IF(F232="","",IF(対策リスト!CF11="","-------",対策リスト!CF11))</f>
        <v/>
      </c>
      <c r="P232" s="9" t="str">
        <f>IF(F232="","",IF(対策リスト!CE11="","-------",対策リスト!CE11))</f>
        <v/>
      </c>
      <c r="Q232" s="1"/>
      <c r="R232" s="77"/>
      <c r="S232" s="77"/>
      <c r="T232" s="77"/>
      <c r="AA232" s="195"/>
      <c r="AD232" s="196"/>
    </row>
    <row r="233" spans="1:42" ht="18" customHeight="1">
      <c r="D233" s="77"/>
      <c r="E233" s="77"/>
      <c r="F233" s="77"/>
      <c r="G233" s="77"/>
      <c r="H233" s="77"/>
      <c r="I233" s="77"/>
      <c r="J233" s="77"/>
      <c r="K233" s="77"/>
      <c r="L233" s="77"/>
      <c r="M233" s="77"/>
      <c r="N233" s="77"/>
      <c r="O233" s="77"/>
      <c r="P233" s="77"/>
      <c r="Q233" s="77"/>
      <c r="R233" s="77"/>
      <c r="S233" s="77"/>
      <c r="T233" s="77"/>
    </row>
    <row r="234" spans="1:42" ht="18" customHeight="1">
      <c r="D234" s="77"/>
      <c r="E234" s="77"/>
      <c r="F234" s="77"/>
      <c r="G234" s="77"/>
      <c r="H234" s="77"/>
      <c r="I234" s="77"/>
      <c r="J234" s="77"/>
      <c r="K234" s="77"/>
      <c r="L234" s="77"/>
      <c r="M234" s="77"/>
      <c r="N234" s="77"/>
      <c r="O234" s="77"/>
      <c r="P234" s="77"/>
      <c r="Q234" s="77"/>
      <c r="R234" s="77"/>
      <c r="S234" s="77"/>
      <c r="T234" s="77"/>
    </row>
    <row r="235" spans="1:42" ht="18" customHeight="1">
      <c r="C235" s="187"/>
      <c r="D235" s="34" t="s">
        <v>4438</v>
      </c>
      <c r="E235" s="14"/>
      <c r="F235" s="77"/>
      <c r="G235" s="77"/>
      <c r="H235" s="77"/>
      <c r="I235" s="77"/>
      <c r="J235" s="77"/>
      <c r="K235" s="77"/>
      <c r="L235" s="77"/>
      <c r="M235" s="77"/>
      <c r="N235" s="77"/>
      <c r="O235" s="77"/>
      <c r="P235" s="77"/>
      <c r="Q235" s="77"/>
      <c r="R235" s="28"/>
      <c r="S235" s="28"/>
      <c r="T235" s="14"/>
      <c r="U235" s="191"/>
      <c r="V235" s="191"/>
      <c r="W235" s="191"/>
      <c r="X235" s="191"/>
      <c r="Y235" s="191"/>
      <c r="Z235" s="191"/>
      <c r="AA235" s="199"/>
      <c r="AB235" s="191"/>
      <c r="AC235" s="191"/>
      <c r="AD235" s="191"/>
      <c r="AE235" s="191"/>
      <c r="AF235" s="191"/>
      <c r="AG235" s="191"/>
      <c r="AH235" s="191"/>
      <c r="AI235" s="197"/>
      <c r="AJ235" s="197"/>
      <c r="AK235" s="197"/>
      <c r="AL235" s="197"/>
      <c r="AM235" s="197"/>
      <c r="AN235" s="197"/>
    </row>
    <row r="236" spans="1:42" ht="18" customHeight="1">
      <c r="C236" s="187"/>
      <c r="D236" s="32"/>
      <c r="E236" s="16" t="s">
        <v>4441</v>
      </c>
      <c r="F236" s="14"/>
      <c r="G236" s="14"/>
      <c r="H236" s="14"/>
      <c r="I236" s="14"/>
      <c r="J236" s="14"/>
      <c r="K236" s="14"/>
      <c r="L236" s="14"/>
      <c r="M236" s="14"/>
      <c r="N236" s="14"/>
      <c r="O236" s="14"/>
      <c r="P236" s="77"/>
      <c r="Q236" s="77"/>
      <c r="R236" s="28"/>
      <c r="S236" s="28"/>
      <c r="T236" s="14"/>
      <c r="U236" s="191"/>
      <c r="V236" s="191"/>
      <c r="W236" s="191"/>
      <c r="X236" s="191"/>
      <c r="Y236" s="191"/>
      <c r="Z236" s="191"/>
      <c r="AA236" s="199"/>
      <c r="AB236" s="191"/>
      <c r="AC236" s="191"/>
      <c r="AD236" s="191"/>
      <c r="AE236" s="191"/>
      <c r="AF236" s="191"/>
      <c r="AG236" s="191"/>
      <c r="AH236" s="191"/>
      <c r="AI236" s="197"/>
      <c r="AJ236" s="197"/>
      <c r="AK236" s="197"/>
      <c r="AL236" s="197"/>
      <c r="AM236" s="197"/>
      <c r="AN236" s="197"/>
    </row>
    <row r="237" spans="1:42" s="191" customFormat="1" ht="56.4" customHeight="1">
      <c r="A237" s="187"/>
      <c r="B237" s="187"/>
      <c r="C237" s="187"/>
      <c r="D237" s="14"/>
      <c r="E237" s="751" t="s">
        <v>4551</v>
      </c>
      <c r="F237" s="751"/>
      <c r="G237" s="751"/>
      <c r="H237" s="751"/>
      <c r="I237" s="751"/>
      <c r="J237" s="751"/>
      <c r="K237" s="751"/>
      <c r="L237" s="751"/>
      <c r="M237" s="751"/>
      <c r="N237" s="751"/>
      <c r="O237" s="751"/>
      <c r="P237" s="751"/>
      <c r="Q237" s="751"/>
      <c r="R237" s="28"/>
      <c r="S237" s="28"/>
      <c r="T237" s="14"/>
      <c r="AA237" s="199"/>
      <c r="AI237" s="197"/>
      <c r="AJ237" s="197"/>
      <c r="AK237" s="197"/>
      <c r="AL237" s="197"/>
      <c r="AM237" s="197"/>
      <c r="AN237" s="197"/>
    </row>
    <row r="238" spans="1:42" ht="400" customHeight="1">
      <c r="D238" s="32"/>
      <c r="E238" s="752" t="str">
        <f>IF('入力シート（第２年度報告書）'!E238="","",'入力シート（第２年度報告書）'!E238)</f>
        <v/>
      </c>
      <c r="F238" s="753"/>
      <c r="G238" s="753"/>
      <c r="H238" s="753"/>
      <c r="I238" s="753"/>
      <c r="J238" s="753"/>
      <c r="K238" s="753"/>
      <c r="L238" s="753"/>
      <c r="M238" s="753"/>
      <c r="N238" s="753"/>
      <c r="O238" s="753"/>
      <c r="P238" s="753"/>
      <c r="Q238" s="754"/>
      <c r="R238" s="77"/>
      <c r="S238" s="77"/>
      <c r="T238" s="28"/>
      <c r="U238" s="197"/>
      <c r="V238" s="191"/>
      <c r="W238" s="191"/>
      <c r="X238" s="191"/>
      <c r="Y238" s="191"/>
      <c r="Z238" s="191"/>
      <c r="AA238" s="191"/>
      <c r="AB238" s="191"/>
      <c r="AC238" s="199"/>
      <c r="AD238" s="191"/>
      <c r="AE238" s="191"/>
      <c r="AF238" s="191"/>
      <c r="AG238" s="191"/>
      <c r="AH238" s="191"/>
      <c r="AI238" s="191"/>
      <c r="AJ238" s="191"/>
      <c r="AK238" s="197"/>
      <c r="AL238" s="197"/>
      <c r="AM238" s="197"/>
      <c r="AN238" s="197"/>
      <c r="AO238" s="197"/>
      <c r="AP238" s="197"/>
    </row>
    <row r="239" spans="1:42" ht="18" hidden="1" customHeight="1">
      <c r="D239" s="77"/>
      <c r="E239" s="77"/>
      <c r="F239" s="77"/>
      <c r="G239" s="77"/>
      <c r="H239" s="77"/>
      <c r="I239" s="77"/>
      <c r="J239" s="77"/>
      <c r="K239" s="77"/>
      <c r="L239" s="77"/>
      <c r="M239" s="77"/>
      <c r="N239" s="77"/>
      <c r="O239" s="77"/>
      <c r="P239" s="77"/>
      <c r="Q239" s="77"/>
      <c r="R239" s="77"/>
      <c r="S239" s="77"/>
      <c r="T239" s="77"/>
    </row>
    <row r="240" spans="1:42" ht="18" hidden="1" customHeight="1">
      <c r="D240" s="77"/>
      <c r="E240" s="77"/>
      <c r="F240" s="77"/>
      <c r="G240" s="77"/>
      <c r="H240" s="77"/>
      <c r="I240" s="77"/>
      <c r="J240" s="77"/>
      <c r="K240" s="77"/>
      <c r="L240" s="77"/>
      <c r="M240" s="77"/>
      <c r="N240" s="77"/>
      <c r="O240" s="77"/>
      <c r="P240" s="77"/>
      <c r="Q240" s="77"/>
      <c r="R240" s="77"/>
      <c r="S240" s="77"/>
      <c r="T240" s="77"/>
    </row>
    <row r="241" spans="4:49" ht="18" hidden="1" customHeight="1">
      <c r="D241" s="77"/>
      <c r="E241" s="77"/>
      <c r="F241" s="77"/>
      <c r="G241" s="77"/>
      <c r="H241" s="77"/>
      <c r="I241" s="77"/>
      <c r="J241" s="77"/>
      <c r="K241" s="77"/>
      <c r="L241" s="77"/>
      <c r="M241" s="77"/>
      <c r="N241" s="77"/>
      <c r="O241" s="77"/>
      <c r="P241" s="77"/>
      <c r="Q241" s="77"/>
      <c r="R241" s="77"/>
      <c r="S241" s="77"/>
      <c r="T241" s="77"/>
    </row>
    <row r="242" spans="4:49" ht="18" customHeight="1">
      <c r="D242" s="77"/>
      <c r="E242" s="77"/>
      <c r="F242" s="77"/>
      <c r="G242" s="77"/>
      <c r="H242" s="77"/>
      <c r="I242" s="77"/>
      <c r="J242" s="77"/>
      <c r="K242" s="77"/>
      <c r="L242" s="77"/>
      <c r="M242" s="77"/>
      <c r="N242" s="77"/>
      <c r="O242" s="77"/>
      <c r="P242" s="77"/>
      <c r="Q242" s="77"/>
      <c r="R242" s="77"/>
      <c r="S242" s="77"/>
      <c r="T242" s="77"/>
    </row>
    <row r="243" spans="4:49" ht="18" customHeight="1">
      <c r="D243" s="77"/>
      <c r="E243" s="77"/>
      <c r="F243" s="77"/>
      <c r="G243" s="77"/>
      <c r="H243" s="77"/>
      <c r="I243" s="77"/>
      <c r="J243" s="77"/>
      <c r="K243" s="77"/>
      <c r="L243" s="77"/>
      <c r="M243" s="77"/>
      <c r="N243" s="77"/>
      <c r="O243" s="77"/>
      <c r="P243" s="77"/>
      <c r="Q243" s="77"/>
      <c r="R243" s="77"/>
      <c r="S243" s="77"/>
      <c r="T243" s="77"/>
    </row>
    <row r="244" spans="4:49" ht="18" customHeight="1">
      <c r="D244" s="77"/>
      <c r="E244" s="77"/>
      <c r="F244" s="77" t="s">
        <v>4405</v>
      </c>
      <c r="G244" s="77"/>
      <c r="H244" s="77"/>
      <c r="I244" s="77"/>
      <c r="J244" s="77"/>
      <c r="K244" s="77"/>
      <c r="L244" s="77"/>
      <c r="M244" s="77"/>
      <c r="N244" s="77"/>
      <c r="O244" s="77"/>
      <c r="P244" s="77"/>
      <c r="Q244" s="77"/>
      <c r="R244" s="77"/>
      <c r="S244" s="77"/>
      <c r="T244" s="77"/>
      <c r="AW244" s="189"/>
    </row>
    <row r="245" spans="4:49" ht="16.5" customHeight="1">
      <c r="D245" s="77"/>
      <c r="E245" s="10"/>
      <c r="F245" s="125" t="s">
        <v>4063</v>
      </c>
      <c r="G245" s="77"/>
      <c r="H245" s="77"/>
      <c r="I245" s="77"/>
      <c r="J245" s="77"/>
      <c r="K245" s="77"/>
      <c r="L245" s="77"/>
      <c r="M245" s="77"/>
      <c r="N245" s="77"/>
      <c r="O245" s="77"/>
      <c r="P245" s="803"/>
      <c r="Q245" s="803"/>
      <c r="R245" s="803"/>
      <c r="S245" s="803"/>
      <c r="T245" s="803"/>
    </row>
    <row r="246" spans="4:49" ht="87" customHeight="1">
      <c r="D246" s="77"/>
      <c r="E246" s="125">
        <v>1</v>
      </c>
      <c r="F246" s="12"/>
      <c r="G246" s="28"/>
      <c r="H246" s="28"/>
      <c r="I246" s="28"/>
      <c r="J246" s="77"/>
      <c r="K246" s="77"/>
      <c r="L246" s="77"/>
      <c r="M246" s="77"/>
      <c r="N246" s="77"/>
      <c r="O246" s="77"/>
      <c r="P246" s="77"/>
      <c r="Q246" s="77"/>
      <c r="R246" s="77"/>
      <c r="S246" s="77"/>
      <c r="T246" s="77"/>
      <c r="AF246" s="194"/>
    </row>
    <row r="247" spans="4:49" ht="87" customHeight="1">
      <c r="D247" s="77"/>
      <c r="E247" s="125">
        <v>2</v>
      </c>
      <c r="F247" s="12"/>
      <c r="G247" s="28"/>
      <c r="H247" s="28"/>
      <c r="I247" s="28"/>
      <c r="J247" s="77"/>
      <c r="K247" s="77"/>
      <c r="L247" s="77"/>
      <c r="M247" s="77"/>
      <c r="N247" s="77"/>
      <c r="O247" s="77"/>
      <c r="P247" s="77"/>
      <c r="Q247" s="77"/>
      <c r="R247" s="77"/>
      <c r="S247" s="77"/>
      <c r="T247" s="77"/>
    </row>
    <row r="248" spans="4:49" ht="87" customHeight="1">
      <c r="D248" s="77"/>
      <c r="E248" s="125">
        <v>3</v>
      </c>
      <c r="F248" s="12"/>
      <c r="G248" s="28"/>
      <c r="H248" s="28"/>
      <c r="I248" s="28"/>
      <c r="J248" s="77"/>
      <c r="K248" s="77"/>
      <c r="L248" s="77"/>
      <c r="M248" s="77"/>
      <c r="N248" s="77"/>
      <c r="O248" s="77"/>
      <c r="P248" s="77"/>
      <c r="Q248" s="77"/>
      <c r="R248" s="77"/>
      <c r="S248" s="77"/>
      <c r="T248" s="77"/>
    </row>
    <row r="249" spans="4:49" ht="87" customHeight="1">
      <c r="D249" s="77"/>
      <c r="E249" s="125">
        <v>4</v>
      </c>
      <c r="F249" s="12"/>
      <c r="G249" s="28"/>
      <c r="H249" s="28"/>
      <c r="I249" s="28"/>
      <c r="J249" s="77"/>
      <c r="K249" s="77"/>
      <c r="L249" s="77"/>
      <c r="M249" s="77"/>
      <c r="N249" s="77"/>
      <c r="O249" s="77"/>
      <c r="P249" s="77"/>
      <c r="Q249" s="77"/>
      <c r="R249" s="77"/>
      <c r="S249" s="77"/>
      <c r="T249" s="77"/>
    </row>
    <row r="250" spans="4:49" ht="87" customHeight="1">
      <c r="D250" s="77"/>
      <c r="E250" s="125">
        <v>5</v>
      </c>
      <c r="F250" s="12"/>
      <c r="G250" s="28"/>
      <c r="H250" s="28"/>
      <c r="I250" s="28"/>
      <c r="J250" s="77"/>
      <c r="K250" s="77"/>
      <c r="L250" s="77"/>
      <c r="M250" s="77"/>
      <c r="N250" s="77"/>
      <c r="O250" s="77"/>
      <c r="P250" s="77"/>
      <c r="Q250" s="77"/>
      <c r="R250" s="77"/>
      <c r="S250" s="77"/>
      <c r="T250" s="77"/>
    </row>
    <row r="251" spans="4:49" ht="87" customHeight="1">
      <c r="D251" s="77"/>
      <c r="E251" s="125">
        <v>6</v>
      </c>
      <c r="F251" s="12"/>
      <c r="G251" s="28"/>
      <c r="H251" s="28"/>
      <c r="I251" s="28"/>
      <c r="J251" s="77"/>
      <c r="K251" s="77"/>
      <c r="L251" s="77"/>
      <c r="M251" s="77"/>
      <c r="N251" s="77"/>
      <c r="O251" s="77"/>
      <c r="P251" s="77"/>
      <c r="Q251" s="77"/>
      <c r="R251" s="77"/>
      <c r="S251" s="77"/>
      <c r="T251" s="77"/>
    </row>
    <row r="252" spans="4:49" ht="87" customHeight="1">
      <c r="D252" s="77"/>
      <c r="E252" s="125">
        <v>7</v>
      </c>
      <c r="F252" s="12"/>
      <c r="G252" s="28"/>
      <c r="H252" s="28"/>
      <c r="I252" s="28"/>
      <c r="J252" s="77"/>
      <c r="K252" s="77"/>
      <c r="L252" s="77"/>
      <c r="M252" s="77"/>
      <c r="N252" s="77"/>
      <c r="O252" s="77"/>
      <c r="P252" s="77"/>
      <c r="Q252" s="77"/>
      <c r="R252" s="77"/>
      <c r="S252" s="77"/>
      <c r="T252" s="77"/>
    </row>
    <row r="253" spans="4:49" ht="87" customHeight="1">
      <c r="D253" s="77"/>
      <c r="E253" s="125">
        <v>8</v>
      </c>
      <c r="F253" s="12"/>
      <c r="G253" s="28"/>
      <c r="H253" s="28"/>
      <c r="I253" s="28"/>
      <c r="J253" s="77"/>
      <c r="K253" s="77"/>
      <c r="L253" s="77"/>
      <c r="M253" s="77"/>
      <c r="N253" s="77"/>
      <c r="O253" s="77"/>
      <c r="P253" s="77"/>
      <c r="Q253" s="77"/>
      <c r="R253" s="77"/>
      <c r="S253" s="77"/>
      <c r="T253" s="77"/>
    </row>
    <row r="254" spans="4:49" ht="87" customHeight="1">
      <c r="D254" s="77"/>
      <c r="E254" s="125">
        <v>9</v>
      </c>
      <c r="F254" s="12"/>
      <c r="G254" s="28"/>
      <c r="H254" s="28"/>
      <c r="I254" s="28"/>
      <c r="J254" s="77"/>
      <c r="K254" s="77"/>
      <c r="L254" s="77"/>
      <c r="M254" s="77"/>
      <c r="N254" s="77"/>
      <c r="O254" s="77"/>
      <c r="P254" s="77"/>
      <c r="Q254" s="77"/>
      <c r="R254" s="77"/>
      <c r="S254" s="77"/>
      <c r="T254" s="77"/>
    </row>
    <row r="255" spans="4:49" ht="18" customHeight="1">
      <c r="D255" s="77"/>
      <c r="E255" s="77"/>
      <c r="F255" s="77"/>
      <c r="G255" s="77"/>
      <c r="H255" s="77"/>
      <c r="I255" s="77"/>
      <c r="J255" s="77"/>
      <c r="K255" s="77"/>
      <c r="L255" s="77"/>
      <c r="M255" s="77"/>
      <c r="N255" s="77"/>
      <c r="O255" s="77"/>
      <c r="P255" s="77"/>
      <c r="Q255" s="77"/>
      <c r="R255" s="77"/>
      <c r="S255" s="77"/>
      <c r="T255" s="77"/>
    </row>
    <row r="256" spans="4:49" ht="54.65" customHeight="1">
      <c r="D256" s="77"/>
      <c r="E256" s="77"/>
      <c r="F256" s="925" t="s">
        <v>4407</v>
      </c>
      <c r="G256" s="925"/>
      <c r="H256" s="925"/>
      <c r="I256" s="925"/>
      <c r="J256" s="925"/>
      <c r="K256" s="925"/>
      <c r="L256" s="925"/>
      <c r="M256" s="925"/>
      <c r="N256" s="925"/>
      <c r="O256" s="925"/>
      <c r="P256" s="77"/>
      <c r="Q256" s="77"/>
      <c r="R256" s="77"/>
      <c r="S256" s="77"/>
      <c r="T256" s="77"/>
    </row>
    <row r="257" spans="4:49" ht="18" customHeight="1">
      <c r="D257" s="77"/>
      <c r="E257" s="10"/>
      <c r="F257" s="801" t="s">
        <v>4064</v>
      </c>
      <c r="G257" s="926"/>
      <c r="H257" s="802"/>
      <c r="I257" s="801" t="s">
        <v>4094</v>
      </c>
      <c r="J257" s="926"/>
      <c r="K257" s="926"/>
      <c r="L257" s="926"/>
      <c r="M257" s="926"/>
      <c r="N257" s="802"/>
      <c r="O257" s="696"/>
      <c r="P257" s="696"/>
      <c r="Q257" s="696"/>
      <c r="R257" s="696"/>
      <c r="S257" s="696"/>
      <c r="T257" s="77"/>
      <c r="AA257" s="195"/>
      <c r="AD257" s="196"/>
      <c r="AF257" s="194"/>
      <c r="AW257" s="189"/>
    </row>
    <row r="258" spans="4:49" ht="80.150000000000006" customHeight="1">
      <c r="D258" s="77"/>
      <c r="E258" s="126">
        <v>1</v>
      </c>
      <c r="F258" s="919"/>
      <c r="G258" s="920"/>
      <c r="H258" s="921"/>
      <c r="I258" s="752"/>
      <c r="J258" s="753"/>
      <c r="K258" s="753"/>
      <c r="L258" s="753"/>
      <c r="M258" s="753"/>
      <c r="N258" s="754"/>
      <c r="O258" s="153"/>
      <c r="P258" s="77"/>
      <c r="Q258" s="77"/>
      <c r="R258" s="77"/>
      <c r="S258" s="77"/>
      <c r="T258" s="77"/>
      <c r="AA258" s="195"/>
      <c r="AD258" s="196"/>
    </row>
    <row r="259" spans="4:49" ht="80.150000000000006" customHeight="1">
      <c r="D259" s="77"/>
      <c r="E259" s="126">
        <v>2</v>
      </c>
      <c r="F259" s="919"/>
      <c r="G259" s="920"/>
      <c r="H259" s="921"/>
      <c r="I259" s="752"/>
      <c r="J259" s="753"/>
      <c r="K259" s="753"/>
      <c r="L259" s="753"/>
      <c r="M259" s="753"/>
      <c r="N259" s="754"/>
      <c r="O259" s="153"/>
      <c r="P259" s="77"/>
      <c r="Q259" s="77"/>
      <c r="R259" s="77"/>
      <c r="S259" s="77"/>
      <c r="T259" s="77"/>
      <c r="AA259" s="195"/>
      <c r="AD259" s="196"/>
    </row>
    <row r="260" spans="4:49" ht="80.150000000000006" customHeight="1">
      <c r="D260" s="77"/>
      <c r="E260" s="126">
        <v>3</v>
      </c>
      <c r="F260" s="919"/>
      <c r="G260" s="920"/>
      <c r="H260" s="921"/>
      <c r="I260" s="752"/>
      <c r="J260" s="753"/>
      <c r="K260" s="753"/>
      <c r="L260" s="753"/>
      <c r="M260" s="753"/>
      <c r="N260" s="754"/>
      <c r="O260" s="153"/>
      <c r="P260" s="77"/>
      <c r="Q260" s="77"/>
      <c r="R260" s="77"/>
      <c r="S260" s="77"/>
      <c r="T260" s="77"/>
      <c r="AA260" s="195"/>
      <c r="AD260" s="196"/>
    </row>
    <row r="261" spans="4:49" ht="80.150000000000006" customHeight="1">
      <c r="D261" s="77"/>
      <c r="E261" s="126">
        <v>4</v>
      </c>
      <c r="F261" s="919"/>
      <c r="G261" s="920"/>
      <c r="H261" s="921"/>
      <c r="I261" s="752"/>
      <c r="J261" s="753"/>
      <c r="K261" s="753"/>
      <c r="L261" s="753"/>
      <c r="M261" s="753"/>
      <c r="N261" s="754"/>
      <c r="O261" s="153"/>
      <c r="P261" s="77"/>
      <c r="Q261" s="77"/>
      <c r="R261" s="77"/>
      <c r="S261" s="77"/>
      <c r="T261" s="77"/>
      <c r="AA261" s="195"/>
      <c r="AD261" s="196"/>
    </row>
    <row r="262" spans="4:49" ht="80.150000000000006" customHeight="1">
      <c r="D262" s="77"/>
      <c r="E262" s="126">
        <v>5</v>
      </c>
      <c r="F262" s="919"/>
      <c r="G262" s="920"/>
      <c r="H262" s="921"/>
      <c r="I262" s="752"/>
      <c r="J262" s="753"/>
      <c r="K262" s="753"/>
      <c r="L262" s="753"/>
      <c r="M262" s="753"/>
      <c r="N262" s="754"/>
      <c r="O262" s="153"/>
      <c r="P262" s="77"/>
      <c r="Q262" s="77"/>
      <c r="R262" s="77"/>
      <c r="S262" s="77"/>
      <c r="T262" s="77"/>
      <c r="AA262" s="195"/>
      <c r="AD262" s="196"/>
    </row>
    <row r="263" spans="4:49" ht="80.150000000000006" customHeight="1">
      <c r="D263" s="77"/>
      <c r="E263" s="126">
        <v>6</v>
      </c>
      <c r="F263" s="919"/>
      <c r="G263" s="920"/>
      <c r="H263" s="921"/>
      <c r="I263" s="752"/>
      <c r="J263" s="753"/>
      <c r="K263" s="753"/>
      <c r="L263" s="753"/>
      <c r="M263" s="753"/>
      <c r="N263" s="754"/>
      <c r="O263" s="153"/>
      <c r="P263" s="77"/>
      <c r="Q263" s="77"/>
      <c r="R263" s="77"/>
      <c r="S263" s="77"/>
      <c r="T263" s="77"/>
      <c r="AA263" s="195"/>
      <c r="AD263" s="196"/>
    </row>
    <row r="264" spans="4:49" ht="80.150000000000006" customHeight="1">
      <c r="D264" s="77"/>
      <c r="E264" s="126">
        <v>7</v>
      </c>
      <c r="F264" s="919"/>
      <c r="G264" s="920"/>
      <c r="H264" s="921"/>
      <c r="I264" s="752"/>
      <c r="J264" s="753"/>
      <c r="K264" s="753"/>
      <c r="L264" s="753"/>
      <c r="M264" s="753"/>
      <c r="N264" s="754"/>
      <c r="O264" s="153"/>
      <c r="P264" s="77"/>
      <c r="Q264" s="77"/>
      <c r="R264" s="77"/>
      <c r="S264" s="77"/>
      <c r="T264" s="77"/>
      <c r="AA264" s="195"/>
      <c r="AD264" s="196"/>
    </row>
    <row r="265" spans="4:49" ht="80.150000000000006" customHeight="1">
      <c r="D265" s="77"/>
      <c r="E265" s="126">
        <v>8</v>
      </c>
      <c r="F265" s="919"/>
      <c r="G265" s="920"/>
      <c r="H265" s="921"/>
      <c r="I265" s="752"/>
      <c r="J265" s="753"/>
      <c r="K265" s="753"/>
      <c r="L265" s="753"/>
      <c r="M265" s="753"/>
      <c r="N265" s="754"/>
      <c r="O265" s="153"/>
      <c r="P265" s="77"/>
      <c r="Q265" s="77"/>
      <c r="R265" s="77"/>
      <c r="S265" s="77"/>
      <c r="T265" s="77"/>
      <c r="AA265" s="195"/>
      <c r="AD265" s="196"/>
    </row>
    <row r="266" spans="4:49" ht="80.150000000000006" customHeight="1">
      <c r="D266" s="77"/>
      <c r="E266" s="126">
        <v>9</v>
      </c>
      <c r="F266" s="919"/>
      <c r="G266" s="920"/>
      <c r="H266" s="921"/>
      <c r="I266" s="752"/>
      <c r="J266" s="753"/>
      <c r="K266" s="753"/>
      <c r="L266" s="753"/>
      <c r="M266" s="753"/>
      <c r="N266" s="754"/>
      <c r="O266" s="153"/>
      <c r="P266" s="77"/>
      <c r="Q266" s="77"/>
      <c r="R266" s="77"/>
      <c r="S266" s="77"/>
      <c r="T266" s="77"/>
      <c r="AA266" s="195"/>
      <c r="AD266" s="196"/>
    </row>
    <row r="267" spans="4:49" ht="80.150000000000006" customHeight="1">
      <c r="D267" s="77"/>
      <c r="E267" s="126">
        <v>10</v>
      </c>
      <c r="F267" s="919"/>
      <c r="G267" s="920"/>
      <c r="H267" s="921"/>
      <c r="I267" s="752"/>
      <c r="J267" s="753"/>
      <c r="K267" s="753"/>
      <c r="L267" s="753"/>
      <c r="M267" s="753"/>
      <c r="N267" s="754"/>
      <c r="O267" s="153"/>
      <c r="P267" s="77"/>
      <c r="Q267" s="77"/>
      <c r="R267" s="77"/>
      <c r="S267" s="77"/>
      <c r="T267" s="77"/>
      <c r="AA267" s="195"/>
      <c r="AD267" s="196"/>
    </row>
    <row r="268" spans="4:49" ht="18" customHeight="1">
      <c r="D268" s="77"/>
      <c r="E268" s="77"/>
      <c r="F268" s="77"/>
      <c r="G268" s="77"/>
      <c r="H268" s="77"/>
      <c r="I268" s="77"/>
      <c r="J268" s="77"/>
      <c r="K268" s="77"/>
      <c r="L268" s="77"/>
      <c r="M268" s="77"/>
      <c r="N268" s="77"/>
      <c r="O268" s="77"/>
      <c r="P268" s="77"/>
      <c r="Q268" s="77"/>
      <c r="R268" s="77"/>
      <c r="S268" s="77"/>
      <c r="T268" s="77"/>
    </row>
    <row r="269" spans="4:49" ht="18" customHeight="1">
      <c r="D269" s="77"/>
      <c r="E269" s="77"/>
      <c r="F269" s="77"/>
      <c r="G269" s="77"/>
      <c r="H269" s="77"/>
      <c r="I269" s="77"/>
      <c r="J269" s="77"/>
      <c r="K269" s="77"/>
      <c r="L269" s="77"/>
      <c r="M269" s="77"/>
      <c r="N269" s="77"/>
      <c r="O269" s="77"/>
      <c r="P269" s="77"/>
      <c r="Q269" s="77"/>
      <c r="R269" s="77"/>
      <c r="S269" s="77"/>
      <c r="T269" s="77"/>
    </row>
    <row r="270" spans="4:49" ht="16.5" hidden="1" customHeight="1">
      <c r="D270" s="77"/>
      <c r="E270" s="77"/>
      <c r="F270" s="77"/>
      <c r="G270" s="77"/>
      <c r="H270" s="77"/>
      <c r="I270" s="77"/>
      <c r="J270" s="77"/>
      <c r="K270" s="77"/>
      <c r="L270" s="77"/>
      <c r="M270" s="77"/>
      <c r="N270" s="77"/>
      <c r="O270" s="77"/>
      <c r="P270" s="77"/>
      <c r="Q270" s="77"/>
      <c r="R270" s="77"/>
      <c r="S270" s="77"/>
      <c r="T270" s="77"/>
    </row>
    <row r="271" spans="4:49" ht="18" customHeight="1"/>
    <row r="272" spans="4:49" ht="18" customHeight="1"/>
  </sheetData>
  <sheetProtection algorithmName="SHA-512" hashValue="XUT54sT3JUNBcacRO/8KY0x6uPYGCMXFdoesHewy+ucIL74vA+aPS3N5qYJQPok3egMn6FgaQJ+SzGfcgN37dA==" saltValue="I3VU/OoyJoQ9M1n1eLZJYg==" spinCount="100000" sheet="1" objects="1" scenarios="1" selectLockedCells="1"/>
  <mergeCells count="193">
    <mergeCell ref="M16:M17"/>
    <mergeCell ref="G173:M173"/>
    <mergeCell ref="R16:R17"/>
    <mergeCell ref="E130:F131"/>
    <mergeCell ref="E84:F84"/>
    <mergeCell ref="E85:F85"/>
    <mergeCell ref="E87:F87"/>
    <mergeCell ref="E82:K82"/>
    <mergeCell ref="E111:F112"/>
    <mergeCell ref="G111:H112"/>
    <mergeCell ref="I111:M112"/>
    <mergeCell ref="N111:N112"/>
    <mergeCell ref="E113:F115"/>
    <mergeCell ref="G113:H115"/>
    <mergeCell ref="E116:F118"/>
    <mergeCell ref="G116:H118"/>
    <mergeCell ref="G69:J69"/>
    <mergeCell ref="G68:J68"/>
    <mergeCell ref="P16:P17"/>
    <mergeCell ref="Q16:Q17"/>
    <mergeCell ref="E91:F91"/>
    <mergeCell ref="G26:L26"/>
    <mergeCell ref="I55:J55"/>
    <mergeCell ref="I56:J56"/>
    <mergeCell ref="F201:F202"/>
    <mergeCell ref="I140:L141"/>
    <mergeCell ref="G137:H139"/>
    <mergeCell ref="G140:H142"/>
    <mergeCell ref="I137:L138"/>
    <mergeCell ref="E137:F139"/>
    <mergeCell ref="E151:F151"/>
    <mergeCell ref="G151:O151"/>
    <mergeCell ref="G130:H131"/>
    <mergeCell ref="E134:F136"/>
    <mergeCell ref="E162:E163"/>
    <mergeCell ref="G134:H136"/>
    <mergeCell ref="E140:F142"/>
    <mergeCell ref="G179:M179"/>
    <mergeCell ref="G180:M180"/>
    <mergeCell ref="G181:M181"/>
    <mergeCell ref="I48:J48"/>
    <mergeCell ref="K68:M68"/>
    <mergeCell ref="K69:M69"/>
    <mergeCell ref="I134:L135"/>
    <mergeCell ref="I131:P131"/>
    <mergeCell ref="G150:R150"/>
    <mergeCell ref="G143:H145"/>
    <mergeCell ref="G164:M164"/>
    <mergeCell ref="G174:M174"/>
    <mergeCell ref="G165:M165"/>
    <mergeCell ref="G177:M177"/>
    <mergeCell ref="G74:J74"/>
    <mergeCell ref="N16:N17"/>
    <mergeCell ref="I57:J57"/>
    <mergeCell ref="G96:I96"/>
    <mergeCell ref="E21:L21"/>
    <mergeCell ref="E20:L20"/>
    <mergeCell ref="E19:L19"/>
    <mergeCell ref="E18:L18"/>
    <mergeCell ref="G91:I91"/>
    <mergeCell ref="E26:F26"/>
    <mergeCell ref="E25:L25"/>
    <mergeCell ref="E24:L24"/>
    <mergeCell ref="E23:L23"/>
    <mergeCell ref="E22:L22"/>
    <mergeCell ref="I59:J59"/>
    <mergeCell ref="I58:J58"/>
    <mergeCell ref="I44:J44"/>
    <mergeCell ref="I45:J45"/>
    <mergeCell ref="I46:J46"/>
    <mergeCell ref="G45:H45"/>
    <mergeCell ref="G44:H44"/>
    <mergeCell ref="I47:J47"/>
    <mergeCell ref="G58:H58"/>
    <mergeCell ref="G73:J73"/>
    <mergeCell ref="O16:O17"/>
    <mergeCell ref="O94:Q94"/>
    <mergeCell ref="N74:O74"/>
    <mergeCell ref="G87:I87"/>
    <mergeCell ref="H7:P7"/>
    <mergeCell ref="E221:E222"/>
    <mergeCell ref="E201:E202"/>
    <mergeCell ref="E152:F152"/>
    <mergeCell ref="E143:F145"/>
    <mergeCell ref="G221:M222"/>
    <mergeCell ref="E88:F88"/>
    <mergeCell ref="E89:F89"/>
    <mergeCell ref="E86:F86"/>
    <mergeCell ref="G152:R152"/>
    <mergeCell ref="F41:M41"/>
    <mergeCell ref="I130:L130"/>
    <mergeCell ref="G201:M202"/>
    <mergeCell ref="G170:M170"/>
    <mergeCell ref="G169:M169"/>
    <mergeCell ref="G168:M168"/>
    <mergeCell ref="G167:M167"/>
    <mergeCell ref="G166:M166"/>
    <mergeCell ref="G229:M229"/>
    <mergeCell ref="G84:I84"/>
    <mergeCell ref="E237:Q237"/>
    <mergeCell ref="N3:T3"/>
    <mergeCell ref="N68:O68"/>
    <mergeCell ref="N70:O70"/>
    <mergeCell ref="N71:O71"/>
    <mergeCell ref="N72:O72"/>
    <mergeCell ref="N73:O73"/>
    <mergeCell ref="G72:J72"/>
    <mergeCell ref="G71:J71"/>
    <mergeCell ref="G70:J70"/>
    <mergeCell ref="E16:L17"/>
    <mergeCell ref="G48:H48"/>
    <mergeCell ref="G47:H47"/>
    <mergeCell ref="G46:H46"/>
    <mergeCell ref="K72:M72"/>
    <mergeCell ref="N69:O69"/>
    <mergeCell ref="K70:M70"/>
    <mergeCell ref="K71:M71"/>
    <mergeCell ref="K73:M73"/>
    <mergeCell ref="G55:H55"/>
    <mergeCell ref="G56:H56"/>
    <mergeCell ref="G57:H57"/>
    <mergeCell ref="E150:F150"/>
    <mergeCell ref="G59:H59"/>
    <mergeCell ref="G207:M207"/>
    <mergeCell ref="G206:M206"/>
    <mergeCell ref="F267:H267"/>
    <mergeCell ref="I267:N267"/>
    <mergeCell ref="G227:M227"/>
    <mergeCell ref="G226:M226"/>
    <mergeCell ref="F262:H262"/>
    <mergeCell ref="I262:N262"/>
    <mergeCell ref="F264:H264"/>
    <mergeCell ref="I264:N264"/>
    <mergeCell ref="I258:N258"/>
    <mergeCell ref="F258:H258"/>
    <mergeCell ref="F259:H259"/>
    <mergeCell ref="I259:N259"/>
    <mergeCell ref="F260:H260"/>
    <mergeCell ref="I260:N260"/>
    <mergeCell ref="F261:H261"/>
    <mergeCell ref="I261:N261"/>
    <mergeCell ref="F263:H263"/>
    <mergeCell ref="I263:N263"/>
    <mergeCell ref="F265:H265"/>
    <mergeCell ref="I265:N265"/>
    <mergeCell ref="G171:M171"/>
    <mergeCell ref="G228:M228"/>
    <mergeCell ref="G210:M210"/>
    <mergeCell ref="G208:M208"/>
    <mergeCell ref="E90:F90"/>
    <mergeCell ref="K74:M74"/>
    <mergeCell ref="F266:H266"/>
    <mergeCell ref="I266:N266"/>
    <mergeCell ref="E238:Q238"/>
    <mergeCell ref="F256:O256"/>
    <mergeCell ref="F257:H257"/>
    <mergeCell ref="I257:N257"/>
    <mergeCell ref="P245:T245"/>
    <mergeCell ref="G86:I86"/>
    <mergeCell ref="G85:I85"/>
    <mergeCell ref="G205:M205"/>
    <mergeCell ref="E119:F120"/>
    <mergeCell ref="G119:H120"/>
    <mergeCell ref="I136:P136"/>
    <mergeCell ref="I139:P139"/>
    <mergeCell ref="I142:P142"/>
    <mergeCell ref="G162:M163"/>
    <mergeCell ref="F162:F163"/>
    <mergeCell ref="E149:F149"/>
    <mergeCell ref="G211:M211"/>
    <mergeCell ref="G178:M178"/>
    <mergeCell ref="E121:F121"/>
    <mergeCell ref="G121:H121"/>
    <mergeCell ref="F221:F222"/>
    <mergeCell ref="G232:M232"/>
    <mergeCell ref="G90:I90"/>
    <mergeCell ref="G89:I89"/>
    <mergeCell ref="G88:I88"/>
    <mergeCell ref="G231:M231"/>
    <mergeCell ref="G230:M230"/>
    <mergeCell ref="G98:I98"/>
    <mergeCell ref="G97:I97"/>
    <mergeCell ref="G225:M225"/>
    <mergeCell ref="G224:M224"/>
    <mergeCell ref="I145:P145"/>
    <mergeCell ref="G209:M209"/>
    <mergeCell ref="G175:M175"/>
    <mergeCell ref="I143:L144"/>
    <mergeCell ref="G172:M172"/>
    <mergeCell ref="G176:M176"/>
    <mergeCell ref="G223:M223"/>
    <mergeCell ref="G204:M204"/>
    <mergeCell ref="G203:M203"/>
  </mergeCells>
  <phoneticPr fontId="1"/>
  <conditionalFormatting sqref="D2">
    <cfRule type="expression" dxfId="62" priority="980">
      <formula>DAY(EOMONTH(DATE(G3,I3,K3),0))&lt;&gt;R3</formula>
    </cfRule>
  </conditionalFormatting>
  <conditionalFormatting sqref="E15:F15">
    <cfRule type="expression" dxfId="61" priority="939">
      <formula>$C14=1</formula>
    </cfRule>
  </conditionalFormatting>
  <conditionalFormatting sqref="E91:F91">
    <cfRule type="expression" dxfId="60" priority="148">
      <formula>$C$79=2</formula>
    </cfRule>
  </conditionalFormatting>
  <conditionalFormatting sqref="E84:I84">
    <cfRule type="expression" dxfId="59" priority="149">
      <formula>$C$79=2</formula>
    </cfRule>
  </conditionalFormatting>
  <conditionalFormatting sqref="E67:J74">
    <cfRule type="expression" dxfId="58" priority="282">
      <formula>$C$64=2</formula>
    </cfRule>
  </conditionalFormatting>
  <conditionalFormatting sqref="E50:Q53">
    <cfRule type="expression" dxfId="57" priority="37">
      <formula>$C$32=2</formula>
    </cfRule>
  </conditionalFormatting>
  <conditionalFormatting sqref="E16:R26">
    <cfRule type="expression" dxfId="56" priority="39">
      <formula>$C$12=2</formula>
    </cfRule>
  </conditionalFormatting>
  <conditionalFormatting sqref="E13:S15">
    <cfRule type="expression" dxfId="55" priority="1">
      <formula>$C$12=2</formula>
    </cfRule>
  </conditionalFormatting>
  <conditionalFormatting sqref="E35:T42">
    <cfRule type="expression" dxfId="54" priority="35">
      <formula>$C$32=2</formula>
    </cfRule>
  </conditionalFormatting>
  <conditionalFormatting sqref="E66:T66">
    <cfRule type="expression" dxfId="53" priority="440">
      <formula>$C$64=2</formula>
    </cfRule>
  </conditionalFormatting>
  <conditionalFormatting sqref="E81:T81 L82 N82:T82 E82:E83">
    <cfRule type="expression" dxfId="52" priority="441">
      <formula>$C$79=2</formula>
    </cfRule>
  </conditionalFormatting>
  <conditionalFormatting sqref="F12:F13">
    <cfRule type="expression" dxfId="51" priority="153">
      <formula>$C12=1</formula>
    </cfRule>
  </conditionalFormatting>
  <conditionalFormatting sqref="F36:F37 F51:F53 F64:F66 F79:F81 E82">
    <cfRule type="expression" dxfId="50" priority="538">
      <formula>$C36=1</formula>
    </cfRule>
  </conditionalFormatting>
  <conditionalFormatting sqref="F41">
    <cfRule type="expression" dxfId="49" priority="36">
      <formula>$C$36=2</formula>
    </cfRule>
  </conditionalFormatting>
  <conditionalFormatting sqref="F43:H43">
    <cfRule type="expression" dxfId="48" priority="6">
      <formula>$C$36=2</formula>
    </cfRule>
  </conditionalFormatting>
  <conditionalFormatting sqref="F43:H48">
    <cfRule type="expression" dxfId="47" priority="7">
      <formula>$C$36=2</formula>
    </cfRule>
  </conditionalFormatting>
  <conditionalFormatting sqref="F44:H48">
    <cfRule type="expression" dxfId="46" priority="28">
      <formula>$C$36=2</formula>
    </cfRule>
  </conditionalFormatting>
  <conditionalFormatting sqref="F43:J48">
    <cfRule type="expression" dxfId="45" priority="5">
      <formula>$C$32=2</formula>
    </cfRule>
  </conditionalFormatting>
  <conditionalFormatting sqref="F54:J59">
    <cfRule type="expression" dxfId="44" priority="3">
      <formula>$C$32=2</formula>
    </cfRule>
    <cfRule type="expression" dxfId="43" priority="4">
      <formula>$C$51=2</formula>
    </cfRule>
  </conditionalFormatting>
  <conditionalFormatting sqref="F55:J59">
    <cfRule type="expression" dxfId="42" priority="2">
      <formula>F55&lt;&gt;""</formula>
    </cfRule>
  </conditionalFormatting>
  <conditionalFormatting sqref="F53:M53">
    <cfRule type="expression" dxfId="41" priority="499">
      <formula>$C$51=2</formula>
    </cfRule>
  </conditionalFormatting>
  <conditionalFormatting sqref="F38:T40 N41:T41 F42:T42">
    <cfRule type="expression" dxfId="40" priority="436">
      <formula>$C$36=2</formula>
    </cfRule>
  </conditionalFormatting>
  <conditionalFormatting sqref="G3 I3">
    <cfRule type="expression" dxfId="39" priority="469">
      <formula>G3&lt;&gt;""</formula>
    </cfRule>
  </conditionalFormatting>
  <conditionalFormatting sqref="G5">
    <cfRule type="expression" dxfId="38" priority="981">
      <formula>DAY(EOMONTH(DATE(G3,I3,K3),0))&lt;&gt;R3</formula>
    </cfRule>
  </conditionalFormatting>
  <conditionalFormatting sqref="G68:G74">
    <cfRule type="expression" dxfId="37" priority="1190">
      <formula>$B$67=0</formula>
    </cfRule>
    <cfRule type="expression" dxfId="36" priority="1189">
      <formula>G68&lt;&gt;""</formula>
    </cfRule>
  </conditionalFormatting>
  <conditionalFormatting sqref="G84:G90 E84:E91 G91:I91">
    <cfRule type="expression" dxfId="35" priority="150">
      <formula>E84&lt;&gt;""</formula>
    </cfRule>
    <cfRule type="expression" dxfId="34" priority="151">
      <formula>$C$79=2</formula>
    </cfRule>
  </conditionalFormatting>
  <conditionalFormatting sqref="G98">
    <cfRule type="expression" dxfId="33" priority="277">
      <formula>G98&lt;&gt;""</formula>
    </cfRule>
  </conditionalFormatting>
  <conditionalFormatting sqref="G150">
    <cfRule type="expression" dxfId="32" priority="240">
      <formula>$G$150&lt;&gt;""</formula>
    </cfRule>
  </conditionalFormatting>
  <conditionalFormatting sqref="G113:H120">
    <cfRule type="expression" dxfId="31" priority="80">
      <formula>G113&lt;&gt;""</formula>
    </cfRule>
  </conditionalFormatting>
  <conditionalFormatting sqref="G84:I90 E84:F91">
    <cfRule type="expression" dxfId="30" priority="147">
      <formula>$C$79=2</formula>
    </cfRule>
  </conditionalFormatting>
  <conditionalFormatting sqref="G98:I98">
    <cfRule type="expression" dxfId="29" priority="101">
      <formula>MOD($G$98,1)&lt;&gt;0</formula>
    </cfRule>
  </conditionalFormatting>
  <conditionalFormatting sqref="G67:J67">
    <cfRule type="expression" dxfId="28" priority="1191">
      <formula>$B$67=0</formula>
    </cfRule>
  </conditionalFormatting>
  <conditionalFormatting sqref="G223:M232">
    <cfRule type="expression" dxfId="27" priority="176">
      <formula>G223="具体的な取組内容が入力されていません。"</formula>
    </cfRule>
  </conditionalFormatting>
  <conditionalFormatting sqref="G26:R26 F44:G48">
    <cfRule type="expression" dxfId="26" priority="27">
      <formula>F26&lt;&gt;""</formula>
    </cfRule>
  </conditionalFormatting>
  <conditionalFormatting sqref="I43:J48">
    <cfRule type="expression" dxfId="25" priority="9">
      <formula>$C$36=2</formula>
    </cfRule>
  </conditionalFormatting>
  <conditionalFormatting sqref="I44:J48">
    <cfRule type="expression" dxfId="24" priority="34">
      <formula>I44&lt;&gt;""</formula>
    </cfRule>
  </conditionalFormatting>
  <conditionalFormatting sqref="I113:N115">
    <cfRule type="expression" dxfId="23" priority="81">
      <formula>$G$113=""</formula>
    </cfRule>
  </conditionalFormatting>
  <conditionalFormatting sqref="I116:N118">
    <cfRule type="expression" dxfId="22" priority="83">
      <formula>$G$116=""</formula>
    </cfRule>
  </conditionalFormatting>
  <conditionalFormatting sqref="I119:N120">
    <cfRule type="expression" dxfId="21" priority="82">
      <formula>$G$119=""</formula>
    </cfRule>
  </conditionalFormatting>
  <conditionalFormatting sqref="I258:N267">
    <cfRule type="expression" dxfId="20" priority="215">
      <formula>I258&lt;&gt;""</formula>
    </cfRule>
  </conditionalFormatting>
  <conditionalFormatting sqref="J67">
    <cfRule type="expression" dxfId="19" priority="235">
      <formula>$C$64=2</formula>
    </cfRule>
  </conditionalFormatting>
  <conditionalFormatting sqref="K3">
    <cfRule type="expression" dxfId="18" priority="189">
      <formula>K3&lt;&gt;""</formula>
    </cfRule>
  </conditionalFormatting>
  <conditionalFormatting sqref="K67 K68:M74">
    <cfRule type="expression" dxfId="17" priority="1197">
      <formula>$B$67=0</formula>
    </cfRule>
  </conditionalFormatting>
  <conditionalFormatting sqref="K67 N67 P67:P74 K68:O74">
    <cfRule type="expression" dxfId="16" priority="1192">
      <formula>AND($C$64=2,$B$67=0)=TRUE</formula>
    </cfRule>
  </conditionalFormatting>
  <conditionalFormatting sqref="K67">
    <cfRule type="expression" dxfId="15" priority="143">
      <formula>$C$64=2</formula>
    </cfRule>
  </conditionalFormatting>
  <conditionalFormatting sqref="K67:M74">
    <cfRule type="expression" dxfId="14" priority="1196">
      <formula>$B$67=1</formula>
    </cfRule>
  </conditionalFormatting>
  <conditionalFormatting sqref="K68:M74">
    <cfRule type="expression" dxfId="13" priority="144">
      <formula>$C$64=2</formula>
    </cfRule>
  </conditionalFormatting>
  <conditionalFormatting sqref="K67:O67">
    <cfRule type="expression" dxfId="12" priority="1199">
      <formula>$B$67=1</formula>
    </cfRule>
  </conditionalFormatting>
  <conditionalFormatting sqref="K67:O74">
    <cfRule type="expression" dxfId="11" priority="1200">
      <formula>AND($C$64=2,$B$67=0)=TRUE</formula>
    </cfRule>
  </conditionalFormatting>
  <conditionalFormatting sqref="K68:O74">
    <cfRule type="expression" dxfId="10" priority="214">
      <formula>K68&lt;&gt;""</formula>
    </cfRule>
  </conditionalFormatting>
  <conditionalFormatting sqref="M18:M25">
    <cfRule type="expression" dxfId="9" priority="40">
      <formula>M18&lt;&gt;""</formula>
    </cfRule>
  </conditionalFormatting>
  <conditionalFormatting sqref="N3">
    <cfRule type="expression" dxfId="8" priority="472">
      <formula>DAY(EOMONTH(DATE(G5,H5,I5),0))&lt;&gt;J5</formula>
    </cfRule>
  </conditionalFormatting>
  <conditionalFormatting sqref="N113:N120">
    <cfRule type="expression" dxfId="7" priority="84">
      <formula>N113&lt;&gt;""</formula>
    </cfRule>
  </conditionalFormatting>
  <conditionalFormatting sqref="N130 Q130">
    <cfRule type="expression" dxfId="6" priority="158">
      <formula>N130&lt;&gt;""</formula>
    </cfRule>
  </conditionalFormatting>
  <conditionalFormatting sqref="N134:N135 Q134:Q135 N137:N138 Q137:Q138 N140:N141 Q140:Q141 N143:N144 Q143:Q144 E238">
    <cfRule type="expression" dxfId="5" priority="146">
      <formula>E134&lt;&gt;""</formula>
    </cfRule>
  </conditionalFormatting>
  <conditionalFormatting sqref="N67:O74">
    <cfRule type="expression" dxfId="4" priority="1201">
      <formula>$B$67=1</formula>
    </cfRule>
  </conditionalFormatting>
  <conditionalFormatting sqref="O75">
    <cfRule type="expression" dxfId="3" priority="1202">
      <formula>$B$67=1</formula>
    </cfRule>
    <cfRule type="expression" dxfId="2" priority="1203">
      <formula>AND($C$64=2,$B$67=0)=TRUE</formula>
    </cfRule>
  </conditionalFormatting>
  <conditionalFormatting sqref="Q164:Q181 Q203:Q211 Q223:Q232">
    <cfRule type="expression" dxfId="1" priority="216">
      <formula>Q164&lt;&gt;""</formula>
    </cfRule>
  </conditionalFormatting>
  <conditionalFormatting sqref="T1">
    <cfRule type="expression" dxfId="0" priority="86">
      <formula>$T$1="コメント表示なし"</formula>
    </cfRule>
  </conditionalFormatting>
  <dataValidations count="16">
    <dataValidation type="list" allowBlank="1" showInputMessage="1" showErrorMessage="1" sqref="Q164:Q181" xr:uid="{00000000-0002-0000-1000-000000000000}">
      <formula1>"実施済,未実施,非該当"</formula1>
    </dataValidation>
    <dataValidation type="list" allowBlank="1" showInputMessage="1" showErrorMessage="1" sqref="Q203:Q211" xr:uid="{00000000-0002-0000-1000-000001000000}">
      <formula1>"実施済,一部実施済,未実施"</formula1>
    </dataValidation>
    <dataValidation type="list" allowBlank="1" showInputMessage="1" showErrorMessage="1" sqref="Q223:Q232" xr:uid="{00000000-0002-0000-1000-000002000000}">
      <formula1>"実施済,未実施"</formula1>
    </dataValidation>
    <dataValidation imeMode="hiragana" allowBlank="1" showInputMessage="1" showErrorMessage="1" sqref="G150 E85:E91 E238 F44:F48 I258:I267 G26 F55:F59" xr:uid="{00000000-0002-0000-1000-000003000000}"/>
    <dataValidation type="list" allowBlank="1" showInputMessage="1" showErrorMessage="1" sqref="F258:F267" xr:uid="{00000000-0002-0000-1000-000004000000}">
      <formula1>その他対策</formula1>
    </dataValidation>
    <dataValidation imeMode="halfAlpha" allowBlank="1" showInputMessage="1" showErrorMessage="1" sqref="G68:G74 Q143:Q144 G98 K68:K74 G85:G91 N68:N74 N143:N144 I44:I48 G44:G48 G113:H120 N113:N120 Q134:Q135 N134:N135 Q137:Q138 N137:N138 Q140:Q141 N140:N141 I55:I59 G55:G59 R26" xr:uid="{0A644FB9-8B22-4657-9780-C185FEAC6872}"/>
    <dataValidation type="list" errorStyle="information" allowBlank="1" showInputMessage="1" showErrorMessage="1" sqref="AF4" xr:uid="{58EC7FFF-C288-4C51-82A8-97F4BFCFD40D}">
      <formula1>"0,365,730,1096,1461"</formula1>
    </dataValidation>
    <dataValidation imeMode="halfAlpha" allowBlank="1" showInputMessage="1" showErrorMessage="1" prompt="使用量" sqref="M18:M26" xr:uid="{615904FF-AF4A-43F3-982B-012024108314}"/>
    <dataValidation type="whole" errorStyle="warning" imeMode="halfAlpha" allowBlank="1" showInputMessage="1" showErrorMessage="1" error="4～8の数値（整数）を入力してください。" sqref="I3" xr:uid="{6D30E2E1-AEE0-4905-BB2F-CA23C9774C51}">
      <formula1>4</formula1>
      <formula2>8</formula2>
    </dataValidation>
    <dataValidation type="whole" errorStyle="warning" imeMode="halfAlpha" allowBlank="1" showInputMessage="1" showErrorMessage="1" error="2026から2030の数値（整数）を入力してください。" sqref="G3" xr:uid="{BBFE5DF7-6779-4BB5-A1D5-DC33D902EE43}">
      <formula1>2026</formula1>
      <formula2>2030</formula2>
    </dataValidation>
    <dataValidation imeMode="halfAlpha" allowBlank="1" showInputMessage="1" showErrorMessage="1" prompt="熱量(GJ)" sqref="Q26" xr:uid="{A7B8E43E-A3C7-4B35-849B-7F23D01F92E8}"/>
    <dataValidation imeMode="halfAlpha" allowBlank="1" showInputMessage="1" showErrorMessage="1" prompt="排出係数" sqref="P26" xr:uid="{436A7D69-3ABE-41AE-B542-DE612C73578F}"/>
    <dataValidation imeMode="halfAlpha" allowBlank="1" showInputMessage="1" showErrorMessage="1" prompt="換算係数" sqref="O26" xr:uid="{7E1B00CF-2189-479C-B404-9C8F51384B4A}"/>
    <dataValidation imeMode="halfAlpha" allowBlank="1" showInputMessage="1" showErrorMessage="1" prompt="単位" sqref="N26" xr:uid="{B877B0B7-20B0-4931-B5FE-D2925E8DA8C4}"/>
    <dataValidation type="whole" imeMode="halfAlpha" showInputMessage="1" showErrorMessage="1" error="入力値に誤りがあります。_x000a_" sqref="K3" xr:uid="{E4EFE94B-AB98-42D4-91C0-37372D2FEA7D}">
      <formula1>1</formula1>
      <formula2>IF(OR(G3="",I3=""),31,DAY(DATE(G3, I3 + 1, 0)))</formula2>
    </dataValidation>
    <dataValidation type="list" allowBlank="1" showInputMessage="1" showErrorMessage="1" sqref="Y190" xr:uid="{CDCF80EC-7A0D-4DAE-96F7-C3BF179C5243}">
      <formula1>"0,1,2,3"</formula1>
    </dataValidation>
  </dataValidations>
  <hyperlinks>
    <hyperlink ref="E82" r:id="rId1" xr:uid="{CA0DB76A-DA40-4430-8887-23F6D40B0216}"/>
    <hyperlink ref="F41" r:id="rId2" xr:uid="{8D449C5E-30C0-46D6-8188-EE6AB19E84BC}"/>
  </hyperlinks>
  <printOptions horizontalCentered="1"/>
  <pageMargins left="0.70866141732283472" right="0.55118110236220474" top="0.74803149606299213" bottom="0.39370078740157483" header="0.31496062992125984" footer="0.31496062992125984"/>
  <pageSetup paperSize="9" scale="45" fitToHeight="9" orientation="portrait" r:id="rId3"/>
  <headerFooter>
    <oddHeader>&amp;L&amp;"メイリオ,レギュラー"様式第２号</oddHeader>
    <oddFooter>&amp;R&amp;"メイリオ,レギュラー"&amp;8（特定事業者（運送事業者）用</oddFooter>
  </headerFooter>
  <rowBreaks count="6" manualBreakCount="6">
    <brk id="76" max="19" man="1"/>
    <brk id="154" max="19" man="1"/>
    <brk id="194" max="19" man="1"/>
    <brk id="212" max="19" man="1"/>
    <brk id="243" max="19" man="1"/>
    <brk id="254"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54544" r:id="rId6" name="Group Box_9">
              <controlPr defaultSize="0" autoFill="0" autoPict="0">
                <anchor moveWithCells="1">
                  <from>
                    <xdr:col>5</xdr:col>
                    <xdr:colOff>450850</xdr:colOff>
                    <xdr:row>77</xdr:row>
                    <xdr:rowOff>120650</xdr:rowOff>
                  </from>
                  <to>
                    <xdr:col>8</xdr:col>
                    <xdr:colOff>228600</xdr:colOff>
                    <xdr:row>80</xdr:row>
                    <xdr:rowOff>165100</xdr:rowOff>
                  </to>
                </anchor>
              </controlPr>
            </control>
          </mc:Choice>
        </mc:AlternateContent>
        <mc:AlternateContent xmlns:mc="http://schemas.openxmlformats.org/markup-compatibility/2006">
          <mc:Choice Requires="x14">
            <control shapeId="54545" r:id="rId7" name="Option Button_17">
              <controlPr defaultSize="0" autoFill="0" autoLine="0" autoPict="0">
                <anchor moveWithCells="1">
                  <from>
                    <xdr:col>5</xdr:col>
                    <xdr:colOff>698500</xdr:colOff>
                    <xdr:row>77</xdr:row>
                    <xdr:rowOff>266700</xdr:rowOff>
                  </from>
                  <to>
                    <xdr:col>5</xdr:col>
                    <xdr:colOff>1460500</xdr:colOff>
                    <xdr:row>78</xdr:row>
                    <xdr:rowOff>241300</xdr:rowOff>
                  </to>
                </anchor>
              </controlPr>
            </control>
          </mc:Choice>
        </mc:AlternateContent>
        <mc:AlternateContent xmlns:mc="http://schemas.openxmlformats.org/markup-compatibility/2006">
          <mc:Choice Requires="x14">
            <control shapeId="54546" r:id="rId8" name="Option Button_18">
              <controlPr defaultSize="0" autoFill="0" autoLine="0" autoPict="0">
                <anchor moveWithCells="1">
                  <from>
                    <xdr:col>5</xdr:col>
                    <xdr:colOff>2089150</xdr:colOff>
                    <xdr:row>77</xdr:row>
                    <xdr:rowOff>266700</xdr:rowOff>
                  </from>
                  <to>
                    <xdr:col>7</xdr:col>
                    <xdr:colOff>177800</xdr:colOff>
                    <xdr:row>78</xdr:row>
                    <xdr:rowOff>254000</xdr:rowOff>
                  </to>
                </anchor>
              </controlPr>
            </control>
          </mc:Choice>
        </mc:AlternateContent>
        <mc:AlternateContent xmlns:mc="http://schemas.openxmlformats.org/markup-compatibility/2006">
          <mc:Choice Requires="x14">
            <control shapeId="54520" r:id="rId9" name="Group Box_1">
              <controlPr defaultSize="0" autoFill="0" autoPict="0">
                <anchor moveWithCells="1">
                  <from>
                    <xdr:col>5</xdr:col>
                    <xdr:colOff>450850</xdr:colOff>
                    <xdr:row>34</xdr:row>
                    <xdr:rowOff>139700</xdr:rowOff>
                  </from>
                  <to>
                    <xdr:col>8</xdr:col>
                    <xdr:colOff>228600</xdr:colOff>
                    <xdr:row>38</xdr:row>
                    <xdr:rowOff>6350</xdr:rowOff>
                  </to>
                </anchor>
              </controlPr>
            </control>
          </mc:Choice>
        </mc:AlternateContent>
        <mc:AlternateContent xmlns:mc="http://schemas.openxmlformats.org/markup-compatibility/2006">
          <mc:Choice Requires="x14">
            <control shapeId="54521" r:id="rId10" name="Option Button_01">
              <controlPr defaultSize="0" autoFill="0" autoLine="0" autoPict="0">
                <anchor moveWithCells="1">
                  <from>
                    <xdr:col>5</xdr:col>
                    <xdr:colOff>698500</xdr:colOff>
                    <xdr:row>34</xdr:row>
                    <xdr:rowOff>203200</xdr:rowOff>
                  </from>
                  <to>
                    <xdr:col>5</xdr:col>
                    <xdr:colOff>1460500</xdr:colOff>
                    <xdr:row>35</xdr:row>
                    <xdr:rowOff>215900</xdr:rowOff>
                  </to>
                </anchor>
              </controlPr>
            </control>
          </mc:Choice>
        </mc:AlternateContent>
        <mc:AlternateContent xmlns:mc="http://schemas.openxmlformats.org/markup-compatibility/2006">
          <mc:Choice Requires="x14">
            <control shapeId="54522" r:id="rId11" name="Option Button_02">
              <controlPr defaultSize="0" autoFill="0" autoLine="0" autoPict="0">
                <anchor moveWithCells="1">
                  <from>
                    <xdr:col>5</xdr:col>
                    <xdr:colOff>2089150</xdr:colOff>
                    <xdr:row>34</xdr:row>
                    <xdr:rowOff>203200</xdr:rowOff>
                  </from>
                  <to>
                    <xdr:col>7</xdr:col>
                    <xdr:colOff>177800</xdr:colOff>
                    <xdr:row>35</xdr:row>
                    <xdr:rowOff>215900</xdr:rowOff>
                  </to>
                </anchor>
              </controlPr>
            </control>
          </mc:Choice>
        </mc:AlternateContent>
        <mc:AlternateContent xmlns:mc="http://schemas.openxmlformats.org/markup-compatibility/2006">
          <mc:Choice Requires="x14">
            <control shapeId="54523" r:id="rId12" name="Group Box_2">
              <controlPr defaultSize="0" autoFill="0" autoPict="0">
                <anchor moveWithCells="1">
                  <from>
                    <xdr:col>5</xdr:col>
                    <xdr:colOff>450850</xdr:colOff>
                    <xdr:row>49</xdr:row>
                    <xdr:rowOff>76200</xdr:rowOff>
                  </from>
                  <to>
                    <xdr:col>8</xdr:col>
                    <xdr:colOff>228600</xdr:colOff>
                    <xdr:row>52</xdr:row>
                    <xdr:rowOff>120650</xdr:rowOff>
                  </to>
                </anchor>
              </controlPr>
            </control>
          </mc:Choice>
        </mc:AlternateContent>
        <mc:AlternateContent xmlns:mc="http://schemas.openxmlformats.org/markup-compatibility/2006">
          <mc:Choice Requires="x14">
            <control shapeId="54524" r:id="rId13" name="Option Button_03">
              <controlPr defaultSize="0" autoFill="0" autoLine="0" autoPict="0">
                <anchor moveWithCells="1">
                  <from>
                    <xdr:col>5</xdr:col>
                    <xdr:colOff>698500</xdr:colOff>
                    <xdr:row>49</xdr:row>
                    <xdr:rowOff>273050</xdr:rowOff>
                  </from>
                  <to>
                    <xdr:col>5</xdr:col>
                    <xdr:colOff>1460500</xdr:colOff>
                    <xdr:row>50</xdr:row>
                    <xdr:rowOff>241300</xdr:rowOff>
                  </to>
                </anchor>
              </controlPr>
            </control>
          </mc:Choice>
        </mc:AlternateContent>
        <mc:AlternateContent xmlns:mc="http://schemas.openxmlformats.org/markup-compatibility/2006">
          <mc:Choice Requires="x14">
            <control shapeId="54525" r:id="rId14" name="Option Button_04">
              <controlPr defaultSize="0" autoFill="0" autoLine="0" autoPict="0">
                <anchor moveWithCells="1">
                  <from>
                    <xdr:col>5</xdr:col>
                    <xdr:colOff>2089150</xdr:colOff>
                    <xdr:row>49</xdr:row>
                    <xdr:rowOff>273050</xdr:rowOff>
                  </from>
                  <to>
                    <xdr:col>7</xdr:col>
                    <xdr:colOff>177800</xdr:colOff>
                    <xdr:row>50</xdr:row>
                    <xdr:rowOff>254000</xdr:rowOff>
                  </to>
                </anchor>
              </controlPr>
            </control>
          </mc:Choice>
        </mc:AlternateContent>
        <mc:AlternateContent xmlns:mc="http://schemas.openxmlformats.org/markup-compatibility/2006">
          <mc:Choice Requires="x14">
            <control shapeId="54526" r:id="rId15" name="Group Box_3">
              <controlPr defaultSize="0" autoFill="0" autoPict="0">
                <anchor moveWithCells="1">
                  <from>
                    <xdr:col>5</xdr:col>
                    <xdr:colOff>425450</xdr:colOff>
                    <xdr:row>30</xdr:row>
                    <xdr:rowOff>127000</xdr:rowOff>
                  </from>
                  <to>
                    <xdr:col>8</xdr:col>
                    <xdr:colOff>203200</xdr:colOff>
                    <xdr:row>34</xdr:row>
                    <xdr:rowOff>0</xdr:rowOff>
                  </to>
                </anchor>
              </controlPr>
            </control>
          </mc:Choice>
        </mc:AlternateContent>
        <mc:AlternateContent xmlns:mc="http://schemas.openxmlformats.org/markup-compatibility/2006">
          <mc:Choice Requires="x14">
            <control shapeId="54527" r:id="rId16" name="Option Button_05">
              <controlPr defaultSize="0" autoFill="0" autoLine="0" autoPict="0">
                <anchor moveWithCells="1">
                  <from>
                    <xdr:col>5</xdr:col>
                    <xdr:colOff>698500</xdr:colOff>
                    <xdr:row>30</xdr:row>
                    <xdr:rowOff>203200</xdr:rowOff>
                  </from>
                  <to>
                    <xdr:col>5</xdr:col>
                    <xdr:colOff>1460500</xdr:colOff>
                    <xdr:row>32</xdr:row>
                    <xdr:rowOff>0</xdr:rowOff>
                  </to>
                </anchor>
              </controlPr>
            </control>
          </mc:Choice>
        </mc:AlternateContent>
        <mc:AlternateContent xmlns:mc="http://schemas.openxmlformats.org/markup-compatibility/2006">
          <mc:Choice Requires="x14">
            <control shapeId="54528" r:id="rId17" name="Option Button_06">
              <controlPr defaultSize="0" autoFill="0" autoLine="0" autoPict="0">
                <anchor moveWithCells="1">
                  <from>
                    <xdr:col>5</xdr:col>
                    <xdr:colOff>2089150</xdr:colOff>
                    <xdr:row>30</xdr:row>
                    <xdr:rowOff>203200</xdr:rowOff>
                  </from>
                  <to>
                    <xdr:col>7</xdr:col>
                    <xdr:colOff>177800</xdr:colOff>
                    <xdr:row>32</xdr:row>
                    <xdr:rowOff>0</xdr:rowOff>
                  </to>
                </anchor>
              </controlPr>
            </control>
          </mc:Choice>
        </mc:AlternateContent>
        <mc:AlternateContent xmlns:mc="http://schemas.openxmlformats.org/markup-compatibility/2006">
          <mc:Choice Requires="x14">
            <control shapeId="54542" r:id="rId18" name="Option Button_15">
              <controlPr defaultSize="0" autoFill="0" autoLine="0" autoPict="0">
                <anchor moveWithCells="1">
                  <from>
                    <xdr:col>5</xdr:col>
                    <xdr:colOff>698500</xdr:colOff>
                    <xdr:row>62</xdr:row>
                    <xdr:rowOff>266700</xdr:rowOff>
                  </from>
                  <to>
                    <xdr:col>5</xdr:col>
                    <xdr:colOff>1460500</xdr:colOff>
                    <xdr:row>63</xdr:row>
                    <xdr:rowOff>234950</xdr:rowOff>
                  </to>
                </anchor>
              </controlPr>
            </control>
          </mc:Choice>
        </mc:AlternateContent>
        <mc:AlternateContent xmlns:mc="http://schemas.openxmlformats.org/markup-compatibility/2006">
          <mc:Choice Requires="x14">
            <control shapeId="54543" r:id="rId19" name="Option Button_16">
              <controlPr defaultSize="0" autoFill="0" autoLine="0" autoPict="0">
                <anchor moveWithCells="1">
                  <from>
                    <xdr:col>5</xdr:col>
                    <xdr:colOff>2089150</xdr:colOff>
                    <xdr:row>62</xdr:row>
                    <xdr:rowOff>266700</xdr:rowOff>
                  </from>
                  <to>
                    <xdr:col>7</xdr:col>
                    <xdr:colOff>177800</xdr:colOff>
                    <xdr:row>63</xdr:row>
                    <xdr:rowOff>254000</xdr:rowOff>
                  </to>
                </anchor>
              </controlPr>
            </control>
          </mc:Choice>
        </mc:AlternateContent>
        <mc:AlternateContent xmlns:mc="http://schemas.openxmlformats.org/markup-compatibility/2006">
          <mc:Choice Requires="x14">
            <control shapeId="54541" r:id="rId20" name="Group Box_8">
              <controlPr defaultSize="0" autoFill="0" autoPict="0">
                <anchor moveWithCells="1">
                  <from>
                    <xdr:col>5</xdr:col>
                    <xdr:colOff>450850</xdr:colOff>
                    <xdr:row>62</xdr:row>
                    <xdr:rowOff>107950</xdr:rowOff>
                  </from>
                  <to>
                    <xdr:col>8</xdr:col>
                    <xdr:colOff>228600</xdr:colOff>
                    <xdr:row>65</xdr:row>
                    <xdr:rowOff>152400</xdr:rowOff>
                  </to>
                </anchor>
              </controlPr>
            </control>
          </mc:Choice>
        </mc:AlternateContent>
        <mc:AlternateContent xmlns:mc="http://schemas.openxmlformats.org/markup-compatibility/2006">
          <mc:Choice Requires="x14">
            <control shapeId="54533" r:id="rId21" name="Option Button_09">
              <controlPr defaultSize="0" autoFill="0" autoLine="0" autoPict="0">
                <anchor moveWithCells="1">
                  <from>
                    <xdr:col>5</xdr:col>
                    <xdr:colOff>698500</xdr:colOff>
                    <xdr:row>10</xdr:row>
                    <xdr:rowOff>273050</xdr:rowOff>
                  </from>
                  <to>
                    <xdr:col>5</xdr:col>
                    <xdr:colOff>1454150</xdr:colOff>
                    <xdr:row>11</xdr:row>
                    <xdr:rowOff>254000</xdr:rowOff>
                  </to>
                </anchor>
              </controlPr>
            </control>
          </mc:Choice>
        </mc:AlternateContent>
        <mc:AlternateContent xmlns:mc="http://schemas.openxmlformats.org/markup-compatibility/2006">
          <mc:Choice Requires="x14">
            <control shapeId="54532" r:id="rId22" name="Group Box_5">
              <controlPr defaultSize="0" autoFill="0" autoPict="0">
                <anchor moveWithCells="1">
                  <from>
                    <xdr:col>5</xdr:col>
                    <xdr:colOff>425450</xdr:colOff>
                    <xdr:row>10</xdr:row>
                    <xdr:rowOff>107950</xdr:rowOff>
                  </from>
                  <to>
                    <xdr:col>8</xdr:col>
                    <xdr:colOff>203200</xdr:colOff>
                    <xdr:row>13</xdr:row>
                    <xdr:rowOff>152400</xdr:rowOff>
                  </to>
                </anchor>
              </controlPr>
            </control>
          </mc:Choice>
        </mc:AlternateContent>
        <mc:AlternateContent xmlns:mc="http://schemas.openxmlformats.org/markup-compatibility/2006">
          <mc:Choice Requires="x14">
            <control shapeId="188748" r:id="rId23" name="Option Button_10">
              <controlPr defaultSize="0" autoFill="0" autoLine="0" autoPict="0">
                <anchor moveWithCells="1">
                  <from>
                    <xdr:col>5</xdr:col>
                    <xdr:colOff>2089150</xdr:colOff>
                    <xdr:row>11</xdr:row>
                    <xdr:rowOff>0</xdr:rowOff>
                  </from>
                  <to>
                    <xdr:col>7</xdr:col>
                    <xdr:colOff>184150</xdr:colOff>
                    <xdr:row>11</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0FD499F-A89D-4E83-9E4E-833DE647702B}">
          <x14:formula1>
            <xm:f>OFFSET(対策リスト!$AS$2,0,0,31-COUNTBLANK(対策リスト!$AS$2:$AS$32),1)</xm:f>
          </x14:formula1>
          <xm:sqref>F246:F254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4B62-43BD-4C2A-A5B4-E4ED34C0C9DC}">
  <sheetPr codeName="Sheet8">
    <tabColor rgb="FF00B0F0"/>
    <pageSetUpPr fitToPage="1"/>
  </sheetPr>
  <dimension ref="A1:AA79"/>
  <sheetViews>
    <sheetView showGridLines="0" view="pageBreakPreview" topLeftCell="C1" zoomScaleNormal="70" zoomScaleSheetLayoutView="100" zoomScalePageLayoutView="85" workbookViewId="0">
      <pane ySplit="2" topLeftCell="A3" activePane="bottomLeft" state="frozen"/>
      <selection activeCell="N10" sqref="N10"/>
      <selection pane="bottomLeft" activeCell="C2" sqref="C2"/>
    </sheetView>
  </sheetViews>
  <sheetFormatPr defaultColWidth="8.90625" defaultRowHeight="17.5"/>
  <cols>
    <col min="1" max="1" width="4.90625" style="26" hidden="1" customWidth="1"/>
    <col min="2" max="2" width="5.08984375" style="27" hidden="1" customWidth="1"/>
    <col min="3" max="3" width="4.453125" style="26" customWidth="1"/>
    <col min="4" max="4" width="5.81640625" style="26" customWidth="1"/>
    <col min="5" max="5" width="9.54296875" style="26" customWidth="1"/>
    <col min="6" max="6" width="12.81640625" style="26" customWidth="1"/>
    <col min="7" max="14" width="9.54296875" style="26" customWidth="1"/>
    <col min="15" max="15" width="15" style="26" customWidth="1"/>
    <col min="16" max="16" width="21.08984375" style="26" hidden="1" customWidth="1"/>
    <col min="17" max="19" width="14.08984375" style="26" hidden="1" customWidth="1"/>
    <col min="20" max="20" width="15" style="26" hidden="1" customWidth="1"/>
    <col min="21" max="21" width="42.6328125" style="26" customWidth="1"/>
    <col min="22" max="22" width="13.54296875" style="26" customWidth="1"/>
    <col min="23" max="25" width="14.81640625" style="26" customWidth="1"/>
    <col min="26" max="27" width="13.453125" style="26" customWidth="1"/>
    <col min="28" max="16384" width="8.90625" style="24"/>
  </cols>
  <sheetData>
    <row r="1" spans="1:27" ht="25.5">
      <c r="A1" s="299"/>
      <c r="C1" s="300" t="s">
        <v>97</v>
      </c>
      <c r="D1" s="300"/>
      <c r="E1" s="300"/>
      <c r="F1" s="300"/>
      <c r="G1" s="300"/>
      <c r="H1" s="301"/>
      <c r="I1" s="302"/>
      <c r="J1" s="302"/>
      <c r="K1" s="302"/>
      <c r="L1" s="303" t="s">
        <v>4016</v>
      </c>
      <c r="M1" s="1035" t="str">
        <f>"（"&amp;T1&amp;"年度）"</f>
        <v>（0年度）</v>
      </c>
      <c r="N1" s="1035"/>
      <c r="P1" s="304"/>
      <c r="Q1" s="304"/>
      <c r="R1" s="304"/>
      <c r="S1" s="304"/>
      <c r="T1" s="304">
        <f>'入力シート（計画書）'!$K$7</f>
        <v>0</v>
      </c>
      <c r="U1" s="299"/>
      <c r="V1" s="299"/>
      <c r="W1" s="299"/>
      <c r="X1" s="299"/>
      <c r="Y1" s="299"/>
      <c r="Z1" s="299"/>
      <c r="AA1" s="299"/>
    </row>
    <row r="2" spans="1:27">
      <c r="G2" s="47"/>
      <c r="H2" s="47"/>
      <c r="I2" s="47"/>
      <c r="J2" s="47"/>
      <c r="K2" s="47"/>
      <c r="L2" s="47"/>
      <c r="M2" s="47"/>
      <c r="N2" s="47"/>
      <c r="O2" s="49"/>
      <c r="P2" s="49"/>
      <c r="Q2" s="49"/>
      <c r="R2" s="49"/>
      <c r="S2" s="49"/>
      <c r="T2" s="304">
        <f>'入力シート（計画書）'!$K$7</f>
        <v>0</v>
      </c>
    </row>
    <row r="3" spans="1:27" ht="23" thickBot="1">
      <c r="C3" s="60" t="s">
        <v>4500</v>
      </c>
      <c r="D3" s="60"/>
      <c r="E3" s="47"/>
      <c r="I3" s="47"/>
      <c r="J3" s="47"/>
      <c r="K3" s="47"/>
      <c r="L3" s="47"/>
      <c r="M3" s="47"/>
      <c r="N3" s="47"/>
      <c r="O3" s="55"/>
      <c r="P3" s="305"/>
      <c r="Q3" s="55"/>
      <c r="R3" s="55"/>
      <c r="S3" s="55"/>
      <c r="T3" s="55"/>
      <c r="U3" s="60" t="s">
        <v>4500</v>
      </c>
      <c r="X3" s="306"/>
      <c r="Y3" s="306"/>
    </row>
    <row r="4" spans="1:27" ht="19.399999999999999" customHeight="1">
      <c r="C4" s="1077" t="s">
        <v>4214</v>
      </c>
      <c r="D4" s="1078"/>
      <c r="E4" s="1078"/>
      <c r="F4" s="1078"/>
      <c r="G4" s="1078"/>
      <c r="H4" s="1078"/>
      <c r="I4" s="1079"/>
      <c r="J4" s="1079"/>
      <c r="K4" s="1036" t="s">
        <v>89</v>
      </c>
      <c r="L4" s="1038" t="s">
        <v>36</v>
      </c>
      <c r="M4" s="1040" t="s">
        <v>4168</v>
      </c>
      <c r="N4" s="1042" t="s">
        <v>4496</v>
      </c>
      <c r="O4" s="55"/>
      <c r="P4" s="60"/>
      <c r="Q4" s="60"/>
      <c r="R4" s="26">
        <f>IF(V4=0,0,1)</f>
        <v>0</v>
      </c>
      <c r="S4" s="60"/>
      <c r="T4" s="55"/>
      <c r="U4" s="307" t="s">
        <v>90</v>
      </c>
      <c r="V4" s="308">
        <f>SUM(M15,M22)</f>
        <v>0</v>
      </c>
      <c r="W4" s="309" t="s">
        <v>4025</v>
      </c>
    </row>
    <row r="5" spans="1:27" ht="19.399999999999999" customHeight="1">
      <c r="C5" s="1080"/>
      <c r="D5" s="1081"/>
      <c r="E5" s="1081"/>
      <c r="F5" s="1081"/>
      <c r="G5" s="1081"/>
      <c r="H5" s="1081"/>
      <c r="I5" s="1082"/>
      <c r="J5" s="1082"/>
      <c r="K5" s="1037"/>
      <c r="L5" s="1039"/>
      <c r="M5" s="1041"/>
      <c r="N5" s="1043"/>
      <c r="O5" s="55"/>
      <c r="P5" s="310" t="s">
        <v>4380</v>
      </c>
      <c r="Q5" s="310" t="s">
        <v>4381</v>
      </c>
      <c r="R5" s="310" t="s">
        <v>4122</v>
      </c>
      <c r="S5" s="310" t="s">
        <v>4177</v>
      </c>
      <c r="T5" s="55"/>
      <c r="U5" s="311" t="s">
        <v>91</v>
      </c>
      <c r="V5" s="312">
        <f>V4*0.0258</f>
        <v>0</v>
      </c>
      <c r="W5" s="313" t="s">
        <v>92</v>
      </c>
      <c r="X5" s="314"/>
    </row>
    <row r="6" spans="1:27" ht="19.399999999999999" customHeight="1" thickBot="1">
      <c r="C6" s="1084" t="s">
        <v>4408</v>
      </c>
      <c r="D6" s="888"/>
      <c r="E6" s="888"/>
      <c r="F6" s="888"/>
      <c r="G6" s="888"/>
      <c r="H6" s="888"/>
      <c r="I6" s="888"/>
      <c r="J6" s="888"/>
      <c r="K6" s="716" t="str">
        <f>IF('入力シート（計画書）'!M18="","",'入力シート（計画書）'!M18)</f>
        <v/>
      </c>
      <c r="L6" s="315" t="s">
        <v>4113</v>
      </c>
      <c r="M6" s="394" t="str">
        <f>IFERROR(IF(K6="","",$K6*R6),"----------")</f>
        <v/>
      </c>
      <c r="N6" s="387" t="str">
        <f>IFERROR(IF(K6="","",$M6*S6*44/12),"----------")</f>
        <v/>
      </c>
      <c r="O6" s="316"/>
      <c r="P6" s="317" t="s">
        <v>4178</v>
      </c>
      <c r="Q6" s="317" t="s">
        <v>4178</v>
      </c>
      <c r="R6" s="317">
        <f t="shared" ref="R6:R13" si="0">VLOOKUP($P6,係数2025,7,0)</f>
        <v>33.4</v>
      </c>
      <c r="S6" s="318">
        <f t="shared" ref="S6:S13" si="1">VLOOKUP($P6,係数2025,9,0)</f>
        <v>1.8700000000000001E-2</v>
      </c>
      <c r="T6" s="316"/>
      <c r="U6" s="319" t="s">
        <v>93</v>
      </c>
      <c r="V6" s="320">
        <f>ROUNDDOWN(SUM(N15,N22),0)</f>
        <v>0</v>
      </c>
      <c r="W6" s="321" t="s">
        <v>4499</v>
      </c>
    </row>
    <row r="7" spans="1:27" ht="19.399999999999999" customHeight="1">
      <c r="C7" s="1083" t="s">
        <v>40</v>
      </c>
      <c r="D7" s="891"/>
      <c r="E7" s="891"/>
      <c r="F7" s="891"/>
      <c r="G7" s="891"/>
      <c r="H7" s="891"/>
      <c r="I7" s="891"/>
      <c r="J7" s="891"/>
      <c r="K7" s="678" t="str">
        <f>IF('入力シート（計画書）'!M19="","",'入力シート（計画書）'!M19)</f>
        <v/>
      </c>
      <c r="L7" s="323" t="s">
        <v>4113</v>
      </c>
      <c r="M7" s="395" t="str">
        <f t="shared" ref="M7:M9" si="2">IFERROR(IF(K7="","",$K7*R7),"----------")</f>
        <v/>
      </c>
      <c r="N7" s="388" t="str">
        <f>IFERROR(IF(K7="","",$M7*S7*44/12),"----------")</f>
        <v/>
      </c>
      <c r="O7" s="316"/>
      <c r="P7" s="317" t="s">
        <v>40</v>
      </c>
      <c r="Q7" s="317" t="s">
        <v>40</v>
      </c>
      <c r="R7" s="317">
        <f t="shared" si="0"/>
        <v>38</v>
      </c>
      <c r="S7" s="318">
        <f t="shared" si="1"/>
        <v>1.8800000000000001E-2</v>
      </c>
      <c r="T7" s="316"/>
      <c r="X7" s="27"/>
      <c r="Y7" s="27"/>
      <c r="Z7" s="27"/>
      <c r="AA7" s="27"/>
    </row>
    <row r="8" spans="1:27" ht="19.399999999999999" customHeight="1" thickBot="1">
      <c r="C8" s="1083" t="s">
        <v>4409</v>
      </c>
      <c r="D8" s="891"/>
      <c r="E8" s="891"/>
      <c r="F8" s="891"/>
      <c r="G8" s="891"/>
      <c r="H8" s="891"/>
      <c r="I8" s="891"/>
      <c r="J8" s="891"/>
      <c r="K8" s="678" t="str">
        <f>IF('入力シート（計画書）'!M20="","",'入力シート（計画書）'!M20)</f>
        <v/>
      </c>
      <c r="L8" s="323" t="s">
        <v>4112</v>
      </c>
      <c r="M8" s="395" t="str">
        <f t="shared" si="2"/>
        <v/>
      </c>
      <c r="N8" s="388" t="str">
        <f t="shared" ref="N8:N9" si="3">IFERROR(IF(K8="","",$M8*S8*44/12),"----------")</f>
        <v/>
      </c>
      <c r="O8" s="316"/>
      <c r="P8" s="317" t="s">
        <v>4180</v>
      </c>
      <c r="Q8" s="317" t="s">
        <v>4180</v>
      </c>
      <c r="R8" s="317">
        <f t="shared" si="0"/>
        <v>50.1</v>
      </c>
      <c r="S8" s="318">
        <f t="shared" si="1"/>
        <v>1.6299999999999999E-2</v>
      </c>
      <c r="T8" s="316"/>
      <c r="U8" s="60" t="s">
        <v>4501</v>
      </c>
      <c r="X8" s="27"/>
      <c r="Y8" s="27"/>
      <c r="Z8" s="27"/>
      <c r="AA8" s="27"/>
    </row>
    <row r="9" spans="1:27" ht="19.399999999999999" customHeight="1" thickBot="1">
      <c r="C9" s="1083" t="s">
        <v>4410</v>
      </c>
      <c r="D9" s="891"/>
      <c r="E9" s="891"/>
      <c r="F9" s="891"/>
      <c r="G9" s="891"/>
      <c r="H9" s="891"/>
      <c r="I9" s="891"/>
      <c r="J9" s="891"/>
      <c r="K9" s="678" t="str">
        <f>IF('入力シート（計画書）'!M21="","",'入力シート（計画書）'!M21)</f>
        <v/>
      </c>
      <c r="L9" s="323" t="s">
        <v>4112</v>
      </c>
      <c r="M9" s="395" t="str">
        <f t="shared" si="2"/>
        <v/>
      </c>
      <c r="N9" s="388" t="str">
        <f t="shared" si="3"/>
        <v/>
      </c>
      <c r="O9" s="316"/>
      <c r="P9" s="317" t="s">
        <v>4182</v>
      </c>
      <c r="Q9" s="317" t="s">
        <v>4182</v>
      </c>
      <c r="R9" s="317">
        <f t="shared" si="0"/>
        <v>54.7</v>
      </c>
      <c r="S9" s="318">
        <f t="shared" si="1"/>
        <v>1.3899999999999999E-2</v>
      </c>
      <c r="T9" s="55" t="s">
        <v>4539</v>
      </c>
      <c r="U9" s="324" t="s">
        <v>93</v>
      </c>
      <c r="V9" s="325">
        <f>SUM(G36)</f>
        <v>0</v>
      </c>
      <c r="W9" s="326" t="s">
        <v>4499</v>
      </c>
      <c r="Y9" s="27"/>
      <c r="Z9" s="27"/>
      <c r="AA9" s="27"/>
    </row>
    <row r="10" spans="1:27" ht="19.399999999999999" customHeight="1">
      <c r="C10" s="1083" t="s">
        <v>4411</v>
      </c>
      <c r="D10" s="891"/>
      <c r="E10" s="891"/>
      <c r="F10" s="891"/>
      <c r="G10" s="891"/>
      <c r="H10" s="891"/>
      <c r="I10" s="891"/>
      <c r="J10" s="891"/>
      <c r="K10" s="678" t="str">
        <f>IF('入力シート（計画書）'!M22="","",'入力シート（計画書）'!M22)</f>
        <v/>
      </c>
      <c r="L10" s="323" t="s">
        <v>4412</v>
      </c>
      <c r="M10" s="395" t="str">
        <f t="shared" ref="M10:M12" si="4">IFERROR(IF(K10="","",$K10*R10),"----------")</f>
        <v/>
      </c>
      <c r="N10" s="388" t="str">
        <f>IFERROR(IF(K10="","",$M10*S10*T10*44/12),"----------")</f>
        <v/>
      </c>
      <c r="O10" s="316"/>
      <c r="P10" s="317" t="s">
        <v>4184</v>
      </c>
      <c r="Q10" s="317" t="s">
        <v>4184</v>
      </c>
      <c r="R10" s="317">
        <f t="shared" si="0"/>
        <v>45</v>
      </c>
      <c r="S10" s="318">
        <f t="shared" si="1"/>
        <v>1.4E-2</v>
      </c>
      <c r="T10" s="710">
        <v>0.90400000000000003</v>
      </c>
      <c r="Y10" s="27"/>
    </row>
    <row r="11" spans="1:27" ht="19.399999999999999" customHeight="1" thickBot="1">
      <c r="C11" s="1083" t="s">
        <v>4413</v>
      </c>
      <c r="D11" s="891"/>
      <c r="E11" s="891"/>
      <c r="F11" s="891"/>
      <c r="G11" s="891"/>
      <c r="H11" s="891"/>
      <c r="I11" s="891"/>
      <c r="J11" s="891"/>
      <c r="K11" s="678" t="str">
        <f>IF('入力シート（計画書）'!M23="","",'入力シート（計画書）'!M23)</f>
        <v/>
      </c>
      <c r="L11" s="327" t="s">
        <v>4112</v>
      </c>
      <c r="M11" s="395" t="str">
        <f t="shared" si="4"/>
        <v/>
      </c>
      <c r="N11" s="389"/>
      <c r="O11" s="316"/>
      <c r="P11" s="317" t="s">
        <v>4215</v>
      </c>
      <c r="Q11" s="317" t="s">
        <v>4215</v>
      </c>
      <c r="R11" s="317">
        <f t="shared" si="0"/>
        <v>142</v>
      </c>
      <c r="S11" s="318" t="str">
        <f t="shared" si="1"/>
        <v>ー</v>
      </c>
      <c r="T11" s="316"/>
      <c r="U11" s="60" t="s">
        <v>99</v>
      </c>
      <c r="Y11" s="27"/>
    </row>
    <row r="12" spans="1:27" ht="19.399999999999999" customHeight="1" thickBot="1">
      <c r="C12" s="1083" t="s">
        <v>4512</v>
      </c>
      <c r="D12" s="891"/>
      <c r="E12" s="891"/>
      <c r="F12" s="891"/>
      <c r="G12" s="891"/>
      <c r="H12" s="891"/>
      <c r="I12" s="891"/>
      <c r="J12" s="891"/>
      <c r="K12" s="678" t="str">
        <f>IF('入力シート（計画書）'!M24="","",'入力シート（計画書）'!M24)</f>
        <v/>
      </c>
      <c r="L12" s="327" t="s">
        <v>4113</v>
      </c>
      <c r="M12" s="395" t="str">
        <f t="shared" si="4"/>
        <v/>
      </c>
      <c r="N12" s="389"/>
      <c r="O12" s="316"/>
      <c r="P12" s="317" t="s">
        <v>4129</v>
      </c>
      <c r="Q12" s="317" t="s">
        <v>4129</v>
      </c>
      <c r="R12" s="317">
        <f t="shared" si="0"/>
        <v>23.4</v>
      </c>
      <c r="S12" s="318" t="str">
        <f t="shared" si="1"/>
        <v>ー</v>
      </c>
      <c r="T12" s="316"/>
      <c r="U12" s="324" t="s">
        <v>107</v>
      </c>
      <c r="V12" s="325">
        <f>SUM(G49)</f>
        <v>0</v>
      </c>
      <c r="W12" s="326" t="s">
        <v>4499</v>
      </c>
      <c r="Y12" s="27"/>
    </row>
    <row r="13" spans="1:27" ht="19.399999999999999" customHeight="1" thickBot="1">
      <c r="C13" s="1083" t="s">
        <v>4513</v>
      </c>
      <c r="D13" s="891"/>
      <c r="E13" s="891"/>
      <c r="F13" s="891"/>
      <c r="G13" s="891"/>
      <c r="H13" s="891"/>
      <c r="I13" s="891"/>
      <c r="J13" s="891"/>
      <c r="K13" s="678" t="str">
        <f>IF('入力シート（計画書）'!M25="","",'入力シート（計画書）'!M25)</f>
        <v/>
      </c>
      <c r="L13" s="327" t="s">
        <v>4113</v>
      </c>
      <c r="M13" s="395" t="str">
        <f>IFERROR(IF(K13="","",$K13*R13),"----------")</f>
        <v/>
      </c>
      <c r="N13" s="389"/>
      <c r="O13" s="316"/>
      <c r="P13" s="317" t="s">
        <v>4131</v>
      </c>
      <c r="Q13" s="317" t="s">
        <v>4131</v>
      </c>
      <c r="R13" s="317">
        <f t="shared" si="0"/>
        <v>35.6</v>
      </c>
      <c r="S13" s="318" t="str">
        <f t="shared" si="1"/>
        <v>ー</v>
      </c>
      <c r="T13" s="316"/>
    </row>
    <row r="14" spans="1:27" ht="19.399999999999999" customHeight="1" thickBot="1">
      <c r="C14" s="1085" t="s">
        <v>4229</v>
      </c>
      <c r="D14" s="1086"/>
      <c r="E14" s="1086"/>
      <c r="F14" s="1086"/>
      <c r="G14" s="1086"/>
      <c r="H14" s="1086"/>
      <c r="I14" s="1086"/>
      <c r="J14" s="1086"/>
      <c r="K14" s="678" t="str">
        <f>IF('入力シート（計画書）'!M26="","",'入力シート（計画書）'!M26)</f>
        <v/>
      </c>
      <c r="L14" s="323" t="str">
        <f>IF('入力シート（計画書）'!N26="","",'入力シート（計画書）'!N26)</f>
        <v/>
      </c>
      <c r="M14" s="395" t="str">
        <f>IF('入力シート（計画書）'!Q26="","",'入力シート（計画書）'!Q26)</f>
        <v/>
      </c>
      <c r="N14" s="388" t="str">
        <f>IF('入力シート（計画書）'!R26="","",'入力シート（計画書）'!R26)</f>
        <v/>
      </c>
      <c r="O14" s="316"/>
      <c r="P14" s="328"/>
      <c r="Q14" s="328"/>
      <c r="R14" s="328"/>
      <c r="S14" s="329"/>
      <c r="T14" s="316"/>
      <c r="U14" s="330" t="s">
        <v>108</v>
      </c>
      <c r="V14" s="331">
        <f>SUM(V6,V9,-V12)</f>
        <v>0</v>
      </c>
      <c r="W14" s="326" t="s">
        <v>4499</v>
      </c>
    </row>
    <row r="15" spans="1:27" ht="19.399999999999999" customHeight="1" thickTop="1" thickBot="1">
      <c r="C15" s="991" t="s">
        <v>65</v>
      </c>
      <c r="D15" s="992"/>
      <c r="E15" s="992"/>
      <c r="F15" s="992"/>
      <c r="G15" s="992"/>
      <c r="H15" s="992"/>
      <c r="I15" s="992"/>
      <c r="J15" s="992"/>
      <c r="K15" s="717" t="s">
        <v>66</v>
      </c>
      <c r="L15" s="332" t="s">
        <v>66</v>
      </c>
      <c r="M15" s="396">
        <f>SUM(M6:M14)</f>
        <v>0</v>
      </c>
      <c r="N15" s="390">
        <f>SUM(N6:N14)</f>
        <v>0</v>
      </c>
      <c r="O15" s="316"/>
      <c r="P15" s="23"/>
      <c r="Q15" s="23"/>
      <c r="R15" s="23"/>
      <c r="S15" s="23"/>
      <c r="T15" s="316"/>
    </row>
    <row r="16" spans="1:27" ht="19.399999999999999" customHeight="1" thickBot="1">
      <c r="C16" s="55"/>
      <c r="D16" s="55"/>
      <c r="E16" s="55"/>
      <c r="F16" s="55"/>
      <c r="G16" s="55"/>
      <c r="H16" s="55"/>
      <c r="I16" s="333"/>
      <c r="J16" s="333"/>
      <c r="K16" s="333"/>
      <c r="L16" s="334"/>
      <c r="M16" s="397"/>
      <c r="N16" s="391"/>
      <c r="O16" s="316"/>
      <c r="P16" s="23"/>
      <c r="Q16" s="23"/>
      <c r="R16" s="23"/>
      <c r="S16" s="23"/>
      <c r="T16" s="316"/>
      <c r="U16" s="60" t="s">
        <v>101</v>
      </c>
    </row>
    <row r="17" spans="1:27" ht="19.399999999999999" customHeight="1" thickBot="1">
      <c r="C17" s="60"/>
      <c r="D17" s="24"/>
      <c r="E17" s="24"/>
      <c r="F17" s="24"/>
      <c r="G17" s="24"/>
      <c r="H17" s="24"/>
      <c r="I17" s="24"/>
      <c r="J17" s="24"/>
      <c r="K17" s="24"/>
      <c r="L17" s="24"/>
      <c r="M17" s="402"/>
      <c r="N17" s="403"/>
      <c r="O17" s="316"/>
      <c r="P17" s="23"/>
      <c r="Q17" s="23"/>
      <c r="R17" s="23"/>
      <c r="S17" s="23"/>
      <c r="T17" s="316"/>
      <c r="U17" s="335" t="s">
        <v>3041</v>
      </c>
      <c r="V17" s="709">
        <f>IF(V14="","",IFERROR(ROUND(V14/G57,3-INT(LOG(V14/G57))),))</f>
        <v>0</v>
      </c>
      <c r="W17" s="1048" t="str">
        <f>"t-CO₂/"&amp;G56</f>
        <v>t-CO₂/</v>
      </c>
      <c r="X17" s="1049"/>
    </row>
    <row r="18" spans="1:27" ht="19.399999999999999" customHeight="1">
      <c r="C18" s="1077" t="s">
        <v>4216</v>
      </c>
      <c r="D18" s="1078"/>
      <c r="E18" s="1078"/>
      <c r="F18" s="1078"/>
      <c r="G18" s="1078"/>
      <c r="H18" s="1078"/>
      <c r="I18" s="1078"/>
      <c r="J18" s="1078"/>
      <c r="K18" s="1036" t="s">
        <v>89</v>
      </c>
      <c r="L18" s="1038" t="s">
        <v>36</v>
      </c>
      <c r="M18" s="1046" t="s">
        <v>4168</v>
      </c>
      <c r="N18" s="1054" t="s">
        <v>4496</v>
      </c>
      <c r="O18" s="316"/>
      <c r="P18" s="23"/>
      <c r="Q18" s="23"/>
      <c r="R18" s="23"/>
      <c r="S18" s="23"/>
      <c r="T18" s="316"/>
      <c r="Y18" s="27"/>
    </row>
    <row r="19" spans="1:27" ht="19.399999999999999" customHeight="1" thickBot="1">
      <c r="C19" s="1091"/>
      <c r="D19" s="1092"/>
      <c r="E19" s="1092"/>
      <c r="F19" s="1092"/>
      <c r="G19" s="1092"/>
      <c r="H19" s="1092"/>
      <c r="I19" s="1092"/>
      <c r="J19" s="1092"/>
      <c r="K19" s="1037"/>
      <c r="L19" s="1039"/>
      <c r="M19" s="1047"/>
      <c r="N19" s="1055"/>
      <c r="O19" s="316"/>
      <c r="P19" s="23"/>
      <c r="Q19" s="23"/>
      <c r="R19" s="23"/>
      <c r="S19" s="23"/>
      <c r="T19" s="316"/>
      <c r="U19" s="60" t="s">
        <v>4414</v>
      </c>
      <c r="X19" s="23"/>
      <c r="Y19" s="27"/>
    </row>
    <row r="20" spans="1:27" ht="19.399999999999999" customHeight="1" thickBot="1">
      <c r="C20" s="1089" t="s">
        <v>4217</v>
      </c>
      <c r="D20" s="1090"/>
      <c r="E20" s="1090"/>
      <c r="F20" s="1090"/>
      <c r="G20" s="1090"/>
      <c r="H20" s="1090"/>
      <c r="I20" s="1090"/>
      <c r="J20" s="1090"/>
      <c r="K20" s="690" t="str">
        <f>IF(COUNTBLANK(W28:W32)=5,"",W33)</f>
        <v/>
      </c>
      <c r="L20" s="336" t="s">
        <v>4170</v>
      </c>
      <c r="M20" s="398" t="str">
        <f>IFERROR(IF(K20="","",$K20*R32),"-------------")</f>
        <v/>
      </c>
      <c r="N20" s="388" t="str">
        <f>IF(COUNTBLANK(W28:W32)=5,"",Y33)</f>
        <v/>
      </c>
      <c r="O20" s="316"/>
      <c r="P20" s="23"/>
      <c r="Q20" s="23"/>
      <c r="R20" s="23"/>
      <c r="S20" s="23"/>
      <c r="U20" s="335" t="s">
        <v>4429</v>
      </c>
      <c r="V20" s="701">
        <f>IF(OR(F71=0,F71="",K71=0,K71=""),0,SUM(K63,K66,K69)/F71*100)</f>
        <v>0</v>
      </c>
      <c r="W20" s="326" t="s">
        <v>106</v>
      </c>
      <c r="X20" s="27"/>
      <c r="Y20" s="27"/>
    </row>
    <row r="21" spans="1:27" ht="19.399999999999999" customHeight="1" thickBot="1">
      <c r="C21" s="1087" t="s">
        <v>4218</v>
      </c>
      <c r="D21" s="1088"/>
      <c r="E21" s="1088"/>
      <c r="F21" s="1088"/>
      <c r="G21" s="1088"/>
      <c r="H21" s="1088"/>
      <c r="I21" s="1088"/>
      <c r="J21" s="1088"/>
      <c r="K21" s="691" t="str">
        <f>IF(COUNTBLANK(W38:W42)=5,"",W43)</f>
        <v/>
      </c>
      <c r="L21" s="339" t="s">
        <v>4170</v>
      </c>
      <c r="M21" s="399" t="str">
        <f>IFERROR(IF(K21="","",$K21*R37),"-------------")</f>
        <v/>
      </c>
      <c r="N21" s="392" t="str">
        <f>IF(K21="","",Y43)</f>
        <v/>
      </c>
      <c r="P21" s="23"/>
      <c r="Q21" s="23"/>
      <c r="R21" s="23"/>
      <c r="S21" s="23"/>
      <c r="X21" s="27"/>
      <c r="Y21" s="27"/>
    </row>
    <row r="22" spans="1:27" ht="19.399999999999999" customHeight="1" thickTop="1" thickBot="1">
      <c r="C22" s="991" t="s">
        <v>65</v>
      </c>
      <c r="D22" s="992"/>
      <c r="E22" s="992"/>
      <c r="F22" s="992"/>
      <c r="G22" s="992"/>
      <c r="H22" s="992"/>
      <c r="I22" s="992"/>
      <c r="J22" s="992"/>
      <c r="K22" s="718">
        <f>SUM(K20,K21)</f>
        <v>0</v>
      </c>
      <c r="L22" s="340" t="s">
        <v>4223</v>
      </c>
      <c r="M22" s="400">
        <f t="shared" ref="M22:N22" si="5">SUM(M20,M21)</f>
        <v>0</v>
      </c>
      <c r="N22" s="390">
        <f t="shared" si="5"/>
        <v>0</v>
      </c>
      <c r="P22" s="23"/>
      <c r="Q22" s="23"/>
      <c r="R22" s="23"/>
      <c r="S22" s="23"/>
      <c r="U22" s="23"/>
      <c r="V22" s="23"/>
      <c r="W22" s="23"/>
      <c r="X22" s="23"/>
      <c r="Y22" s="341"/>
    </row>
    <row r="23" spans="1:27">
      <c r="A23" s="26">
        <v>1</v>
      </c>
      <c r="C23" s="342"/>
      <c r="D23" s="342"/>
      <c r="E23" s="342"/>
      <c r="F23" s="342"/>
      <c r="G23" s="342"/>
      <c r="H23" s="342"/>
      <c r="I23" s="342"/>
      <c r="J23" s="342"/>
      <c r="K23" s="342"/>
      <c r="L23" s="342"/>
      <c r="M23" s="342"/>
      <c r="N23" s="342"/>
      <c r="P23" s="23"/>
      <c r="Q23" s="23"/>
      <c r="R23" s="23"/>
      <c r="S23" s="23"/>
      <c r="U23" s="1050" t="s">
        <v>4428</v>
      </c>
      <c r="V23" s="1051"/>
      <c r="W23" s="343" t="s">
        <v>74</v>
      </c>
      <c r="X23" s="343" t="s">
        <v>82</v>
      </c>
      <c r="Y23" s="341"/>
      <c r="AA23" s="10"/>
    </row>
    <row r="24" spans="1:27" ht="19.399999999999999" customHeight="1">
      <c r="C24" s="60"/>
      <c r="D24" s="59"/>
      <c r="E24" s="59"/>
      <c r="F24" s="59"/>
      <c r="G24" s="59"/>
      <c r="H24" s="59"/>
      <c r="I24" s="59"/>
      <c r="J24" s="59"/>
      <c r="K24" s="59"/>
      <c r="L24" s="59"/>
      <c r="M24" s="59"/>
      <c r="N24" s="59"/>
      <c r="P24" s="23"/>
      <c r="Q24" s="23"/>
      <c r="R24" s="23"/>
      <c r="S24" s="23"/>
      <c r="U24" s="1044" t="str">
        <f>IF('入力シート（計画書）'!G26="","",'入力シート（計画書）'!G26)</f>
        <v/>
      </c>
      <c r="V24" s="1045"/>
      <c r="W24" s="344" t="str">
        <f>IF('入力シート（計画書）'!O26="","",'入力シート（計画書）'!O26)</f>
        <v/>
      </c>
      <c r="X24" s="682" t="str">
        <f>IF('入力シート（計画書）'!P26="","",'入力シート（計画書）'!P26)</f>
        <v/>
      </c>
      <c r="AA24" s="10"/>
    </row>
    <row r="25" spans="1:27" ht="19.399999999999999" customHeight="1" thickBot="1">
      <c r="A25" s="26">
        <v>1</v>
      </c>
      <c r="C25" s="60" t="s">
        <v>4501</v>
      </c>
      <c r="D25" s="60"/>
      <c r="I25" s="59"/>
      <c r="J25" s="59"/>
      <c r="K25" s="59"/>
      <c r="M25" s="59"/>
      <c r="N25" s="305"/>
      <c r="P25" s="23"/>
      <c r="Q25" s="23"/>
      <c r="R25" s="23"/>
      <c r="S25" s="23"/>
      <c r="X25" s="27"/>
      <c r="Y25" s="341"/>
      <c r="Z25" s="10"/>
    </row>
    <row r="26" spans="1:27" ht="19.399999999999999" customHeight="1">
      <c r="A26" s="26">
        <v>1</v>
      </c>
      <c r="C26" s="999" t="s">
        <v>4220</v>
      </c>
      <c r="D26" s="1000"/>
      <c r="E26" s="1000"/>
      <c r="F26" s="1005"/>
      <c r="G26" s="1007" t="s">
        <v>4496</v>
      </c>
      <c r="H26" s="1008"/>
      <c r="I26" s="24"/>
      <c r="J26" s="24"/>
      <c r="K26" s="24"/>
      <c r="L26" s="24"/>
      <c r="M26" s="24"/>
      <c r="N26" s="24"/>
      <c r="P26" s="23"/>
      <c r="Q26" s="23"/>
      <c r="R26" s="23"/>
      <c r="S26" s="23"/>
      <c r="U26" s="1056" t="s">
        <v>4117</v>
      </c>
      <c r="V26" s="1057"/>
      <c r="W26" s="1052" t="s">
        <v>4228</v>
      </c>
      <c r="X26" s="1052" t="s">
        <v>4541</v>
      </c>
      <c r="Y26" s="1052" t="s">
        <v>4495</v>
      </c>
      <c r="Z26" s="10"/>
    </row>
    <row r="27" spans="1:27" ht="19.399999999999999" customHeight="1">
      <c r="C27" s="1018"/>
      <c r="D27" s="1019"/>
      <c r="E27" s="1019"/>
      <c r="F27" s="1020"/>
      <c r="G27" s="1022"/>
      <c r="H27" s="1023"/>
      <c r="I27" s="24"/>
      <c r="J27" s="24"/>
      <c r="K27" s="24"/>
      <c r="L27" s="24"/>
      <c r="M27" s="24"/>
      <c r="N27" s="24"/>
      <c r="P27" s="23"/>
      <c r="Q27" s="23"/>
      <c r="R27" s="23"/>
      <c r="S27" s="23"/>
      <c r="T27" s="316"/>
      <c r="U27" s="1058"/>
      <c r="V27" s="1059"/>
      <c r="W27" s="1053"/>
      <c r="X27" s="1053"/>
      <c r="Y27" s="1053"/>
      <c r="Z27" s="10"/>
      <c r="AA27" s="345"/>
    </row>
    <row r="28" spans="1:27" ht="19.399999999999999" customHeight="1" thickBot="1">
      <c r="C28" s="1002"/>
      <c r="D28" s="1021"/>
      <c r="E28" s="1021"/>
      <c r="F28" s="1006"/>
      <c r="G28" s="1009"/>
      <c r="H28" s="1010"/>
      <c r="I28" s="24"/>
      <c r="J28" s="24"/>
      <c r="K28" s="24"/>
      <c r="L28" s="24"/>
      <c r="M28" s="24"/>
      <c r="N28" s="24"/>
      <c r="O28" s="316"/>
      <c r="P28" s="23"/>
      <c r="Q28" s="23"/>
      <c r="R28" s="23"/>
      <c r="S28" s="23"/>
      <c r="T28" s="316"/>
      <c r="U28" s="1071" t="str">
        <f>'入力シート（計画書）'!F44&amp;""</f>
        <v/>
      </c>
      <c r="V28" s="1072"/>
      <c r="W28" s="687" t="str">
        <f>IF('入力シート（計画書）'!G44="","",'入力シート（計画書）'!G44)</f>
        <v/>
      </c>
      <c r="X28" s="683" t="str">
        <f>IF('入力シート（計画書）'!I44="","",'入力シート（計画書）'!I44)</f>
        <v/>
      </c>
      <c r="Y28" s="685" t="str">
        <f>IF(W28="","",X28*W28)</f>
        <v/>
      </c>
      <c r="Z28" s="346"/>
      <c r="AA28" s="345"/>
    </row>
    <row r="29" spans="1:27" ht="19.399999999999999" customHeight="1">
      <c r="A29" s="26">
        <v>1</v>
      </c>
      <c r="C29" s="347" t="s">
        <v>4498</v>
      </c>
      <c r="D29" s="347"/>
      <c r="E29" s="348"/>
      <c r="F29" s="348"/>
      <c r="G29" s="1028" t="str">
        <f>IF('入力シート（計画書）'!G68="","",'入力シート（計画書）'!G68)</f>
        <v/>
      </c>
      <c r="H29" s="1029"/>
      <c r="I29" s="24"/>
      <c r="J29" s="24"/>
      <c r="K29" s="24"/>
      <c r="L29" s="24"/>
      <c r="M29" s="24"/>
      <c r="N29" s="24"/>
      <c r="O29" s="316"/>
      <c r="P29" s="23"/>
      <c r="Q29" s="23"/>
      <c r="R29" s="23"/>
      <c r="S29" s="23"/>
      <c r="T29" s="27"/>
      <c r="U29" s="1071" t="str">
        <f>'入力シート（計画書）'!F45&amp;""</f>
        <v/>
      </c>
      <c r="V29" s="1072"/>
      <c r="W29" s="687" t="str">
        <f>IF('入力シート（計画書）'!G45="","",'入力シート（計画書）'!G45)</f>
        <v/>
      </c>
      <c r="X29" s="683" t="str">
        <f>IF('入力シート（計画書）'!I45="","",'入力シート（計画書）'!I45)</f>
        <v/>
      </c>
      <c r="Y29" s="685" t="str">
        <f>IF(W29="","",X29*W29)</f>
        <v/>
      </c>
      <c r="Z29" s="346"/>
      <c r="AA29" s="23"/>
    </row>
    <row r="30" spans="1:27" ht="19.399999999999999" customHeight="1">
      <c r="C30" s="63" t="s">
        <v>4171</v>
      </c>
      <c r="D30" s="63"/>
      <c r="E30" s="349"/>
      <c r="F30" s="349"/>
      <c r="G30" s="983" t="str">
        <f>IF('入力シート（計画書）'!G69="","",'入力シート（計画書）'!G69)</f>
        <v/>
      </c>
      <c r="H30" s="984"/>
      <c r="I30" s="24"/>
      <c r="J30" s="24"/>
      <c r="K30" s="24"/>
      <c r="L30" s="24"/>
      <c r="M30" s="24"/>
      <c r="N30" s="24"/>
      <c r="O30" s="27"/>
      <c r="P30" s="23"/>
      <c r="Q30" s="23"/>
      <c r="R30" s="23"/>
      <c r="S30" s="23"/>
      <c r="U30" s="1071" t="str">
        <f>'入力シート（計画書）'!F46&amp;""</f>
        <v/>
      </c>
      <c r="V30" s="1072"/>
      <c r="W30" s="687" t="str">
        <f>IF('入力シート（計画書）'!G46="","",'入力シート（計画書）'!G46)</f>
        <v/>
      </c>
      <c r="X30" s="683" t="str">
        <f>IF('入力シート（計画書）'!I46="","",'入力シート（計画書）'!I46)</f>
        <v/>
      </c>
      <c r="Y30" s="685" t="str">
        <f>IF(W30="","",X30*W30)</f>
        <v/>
      </c>
      <c r="Z30" s="50"/>
      <c r="AA30" s="23"/>
    </row>
    <row r="31" spans="1:27" ht="19.399999999999999" customHeight="1">
      <c r="C31" s="63" t="s">
        <v>4172</v>
      </c>
      <c r="D31" s="63"/>
      <c r="E31" s="349"/>
      <c r="F31" s="349"/>
      <c r="G31" s="983" t="str">
        <f>IF('入力シート（計画書）'!G70="","",'入力シート（計画書）'!G70)</f>
        <v/>
      </c>
      <c r="H31" s="984"/>
      <c r="I31" s="24"/>
      <c r="J31" s="24"/>
      <c r="K31" s="24"/>
      <c r="L31" s="24"/>
      <c r="M31" s="24"/>
      <c r="N31" s="24"/>
      <c r="P31" s="310" t="s">
        <v>4380</v>
      </c>
      <c r="Q31" s="310" t="s">
        <v>4381</v>
      </c>
      <c r="R31" s="310" t="s">
        <v>4122</v>
      </c>
      <c r="S31" s="310" t="s">
        <v>4177</v>
      </c>
      <c r="U31" s="1075" t="str">
        <f>'入力シート（計画書）'!F47&amp;""</f>
        <v/>
      </c>
      <c r="V31" s="1076"/>
      <c r="W31" s="687" t="str">
        <f>IF('入力シート（計画書）'!G47="","",'入力シート（計画書）'!G47)</f>
        <v/>
      </c>
      <c r="X31" s="683" t="str">
        <f>IF('入力シート（計画書）'!I47="","",'入力シート（計画書）'!I47)</f>
        <v/>
      </c>
      <c r="Y31" s="685" t="str">
        <f>IF(W31="","",X31*W31)</f>
        <v/>
      </c>
      <c r="Z31" s="50"/>
      <c r="AA31" s="23"/>
    </row>
    <row r="32" spans="1:27" ht="19.399999999999999" customHeight="1" thickBot="1">
      <c r="C32" s="63" t="s">
        <v>95</v>
      </c>
      <c r="D32" s="63"/>
      <c r="E32" s="349"/>
      <c r="F32" s="349"/>
      <c r="G32" s="983" t="str">
        <f>IF('入力シート（計画書）'!G71="","",'入力シート（計画書）'!G71)</f>
        <v/>
      </c>
      <c r="H32" s="984"/>
      <c r="I32" s="24"/>
      <c r="J32" s="24"/>
      <c r="K32" s="24"/>
      <c r="L32" s="24"/>
      <c r="M32" s="24"/>
      <c r="N32" s="24"/>
      <c r="P32" s="350" t="s">
        <v>4388</v>
      </c>
      <c r="Q32" s="350"/>
      <c r="R32" s="350">
        <f>VLOOKUP($P32,係数2025,7,0)</f>
        <v>8.64</v>
      </c>
      <c r="S32" s="350" t="str">
        <f>VLOOKUP($P32,係数2025,9,0)</f>
        <v>ー</v>
      </c>
      <c r="U32" s="1073" t="str">
        <f>'入力シート（計画書）'!F48&amp;""</f>
        <v/>
      </c>
      <c r="V32" s="1074"/>
      <c r="W32" s="687" t="str">
        <f>IF('入力シート（計画書）'!G48="","",'入力シート（計画書）'!G48)</f>
        <v/>
      </c>
      <c r="X32" s="683" t="str">
        <f>IF('入力シート（計画書）'!I48="","",'入力シート（計画書）'!I48)</f>
        <v/>
      </c>
      <c r="Y32" s="685" t="str">
        <f>IF(W32="","",X32*W32)</f>
        <v/>
      </c>
      <c r="Z32" s="50"/>
      <c r="AA32" s="23"/>
    </row>
    <row r="33" spans="1:27" ht="19.399999999999999" customHeight="1" thickTop="1">
      <c r="C33" s="63" t="s">
        <v>96</v>
      </c>
      <c r="D33" s="63"/>
      <c r="E33" s="349"/>
      <c r="F33" s="349"/>
      <c r="G33" s="983" t="str">
        <f>IF('入力シート（計画書）'!G72="","",'入力シート（計画書）'!G72)</f>
        <v/>
      </c>
      <c r="H33" s="984"/>
      <c r="I33" s="24"/>
      <c r="J33" s="24"/>
      <c r="K33" s="24"/>
      <c r="L33" s="24"/>
      <c r="M33" s="24"/>
      <c r="N33" s="24"/>
      <c r="P33" s="350" t="s">
        <v>4388</v>
      </c>
      <c r="Q33" s="350"/>
      <c r="R33" s="350">
        <f>VLOOKUP($P33,係数2025,7,0)</f>
        <v>8.64</v>
      </c>
      <c r="S33" s="350" t="str">
        <f>VLOOKUP($P33,係数2025,9,0)</f>
        <v>ー</v>
      </c>
      <c r="U33" s="1060" t="s">
        <v>81</v>
      </c>
      <c r="V33" s="1061"/>
      <c r="W33" s="688" t="str">
        <f>IF(COUNTBLANK(W28:W32)=5,"",SUM(W28:W32))</f>
        <v/>
      </c>
      <c r="X33" s="351"/>
      <c r="Y33" s="686" t="str">
        <f>IF(COUNTBLANK(U28:U32)=5,"",SUM(Y28:Y32))</f>
        <v/>
      </c>
      <c r="Z33" s="50"/>
      <c r="AA33" s="23"/>
    </row>
    <row r="34" spans="1:27" ht="19.399999999999999" customHeight="1">
      <c r="C34" s="63" t="s">
        <v>4173</v>
      </c>
      <c r="D34" s="63"/>
      <c r="E34" s="349"/>
      <c r="F34" s="349"/>
      <c r="G34" s="983" t="str">
        <f>IF('入力シート（計画書）'!G73="","",'入力シート（計画書）'!G73)</f>
        <v/>
      </c>
      <c r="H34" s="984"/>
      <c r="I34" s="24"/>
      <c r="J34" s="24"/>
      <c r="K34" s="24"/>
      <c r="L34" s="24"/>
      <c r="M34" s="24"/>
      <c r="N34" s="24"/>
      <c r="P34" s="350"/>
      <c r="Q34" s="350"/>
      <c r="R34" s="350"/>
      <c r="S34" s="350"/>
      <c r="U34" s="352"/>
      <c r="V34" s="50"/>
      <c r="W34" s="50"/>
      <c r="X34" s="353"/>
      <c r="Y34" s="50"/>
      <c r="Z34" s="50"/>
      <c r="AA34" s="23"/>
    </row>
    <row r="35" spans="1:27" ht="19.399999999999999" customHeight="1" thickBot="1">
      <c r="C35" s="337" t="s">
        <v>4174</v>
      </c>
      <c r="D35" s="337"/>
      <c r="E35" s="338"/>
      <c r="F35" s="338"/>
      <c r="G35" s="1016" t="str">
        <f>IF('入力シート（計画書）'!G74="","",'入力シート（計画書）'!G74)</f>
        <v/>
      </c>
      <c r="H35" s="1017"/>
      <c r="I35" s="24"/>
      <c r="J35" s="24"/>
      <c r="K35" s="24"/>
      <c r="L35" s="24"/>
      <c r="M35" s="24"/>
      <c r="N35" s="24"/>
      <c r="P35" s="350" t="s">
        <v>4378</v>
      </c>
      <c r="Q35" s="350"/>
      <c r="R35" s="350">
        <f>VLOOKUP($P35,係数2025,7,0)</f>
        <v>8.64</v>
      </c>
      <c r="S35" s="350" t="str">
        <f>VLOOKUP($P35,係数2025,9,0)</f>
        <v>ー</v>
      </c>
      <c r="U35" s="352"/>
      <c r="V35" s="50"/>
      <c r="W35" s="50"/>
      <c r="X35" s="27"/>
      <c r="Y35" s="27"/>
      <c r="Z35" s="354"/>
      <c r="AA35" s="23"/>
    </row>
    <row r="36" spans="1:27" ht="19.399999999999999" customHeight="1" thickTop="1" thickBot="1">
      <c r="C36" s="991" t="s">
        <v>98</v>
      </c>
      <c r="D36" s="992"/>
      <c r="E36" s="992"/>
      <c r="F36" s="993"/>
      <c r="G36" s="1014" t="str">
        <f>IF(COUNTBLANK(G29:G35)=7,"",SUM(G29:G35))</f>
        <v/>
      </c>
      <c r="H36" s="1015"/>
      <c r="I36" s="24"/>
      <c r="J36" s="24"/>
      <c r="K36" s="24"/>
      <c r="L36" s="24"/>
      <c r="M36" s="24"/>
      <c r="N36" s="24"/>
      <c r="P36" s="355" t="s">
        <v>4389</v>
      </c>
      <c r="Q36" s="355"/>
      <c r="R36" s="350" t="str">
        <f>VLOOKUP($P36,係数2025,7,0)</f>
        <v>ー</v>
      </c>
      <c r="S36" s="350" t="str">
        <f>VLOOKUP($P36,係数2025,9,0)</f>
        <v>ー</v>
      </c>
      <c r="U36" s="1067" t="s">
        <v>4382</v>
      </c>
      <c r="V36" s="1068"/>
      <c r="W36" s="1052" t="s">
        <v>3045</v>
      </c>
      <c r="X36" s="1052" t="s">
        <v>4541</v>
      </c>
      <c r="Y36" s="1052" t="s">
        <v>4495</v>
      </c>
      <c r="Z36" s="354"/>
      <c r="AA36" s="23"/>
    </row>
    <row r="37" spans="1:27" ht="19.399999999999999" customHeight="1">
      <c r="C37" s="55"/>
      <c r="D37" s="55"/>
      <c r="E37" s="55"/>
      <c r="F37" s="55"/>
      <c r="G37" s="67"/>
      <c r="H37" s="67"/>
      <c r="P37" s="355" t="s">
        <v>4379</v>
      </c>
      <c r="Q37" s="355"/>
      <c r="R37" s="350">
        <f>VLOOKUP($P37,係数2025,7,0)</f>
        <v>8.64</v>
      </c>
      <c r="S37" s="350" t="str">
        <f>VLOOKUP($P37,係数2025,9,0)</f>
        <v>ー</v>
      </c>
      <c r="U37" s="1069"/>
      <c r="V37" s="1070"/>
      <c r="W37" s="1053"/>
      <c r="X37" s="1053"/>
      <c r="Y37" s="1053"/>
      <c r="Z37" s="356"/>
      <c r="AA37" s="354"/>
    </row>
    <row r="38" spans="1:27" ht="19.399999999999999" customHeight="1">
      <c r="P38" s="350"/>
      <c r="Q38" s="350"/>
      <c r="R38" s="350"/>
      <c r="S38" s="350"/>
      <c r="U38" s="1064" t="str">
        <f>IF('入力シート（計画書）'!F55="","",'入力シート（計画書）'!F55)</f>
        <v/>
      </c>
      <c r="V38" s="1065"/>
      <c r="W38" s="687" t="str">
        <f>IF('入力シート（計画書）'!G55="","",'入力シート（計画書）'!G55)</f>
        <v/>
      </c>
      <c r="X38" s="684" t="str">
        <f>IF('入力シート（計画書）'!I55="","",'入力シート（計画書）'!I55)</f>
        <v/>
      </c>
      <c r="Y38" s="685" t="str">
        <f>IF(W38="","",W38*X38)</f>
        <v/>
      </c>
      <c r="Z38" s="23"/>
      <c r="AA38" s="356"/>
    </row>
    <row r="39" spans="1:27" ht="19.399999999999999" customHeight="1" thickBot="1">
      <c r="C39" s="60" t="s">
        <v>99</v>
      </c>
      <c r="D39" s="60"/>
      <c r="P39" s="357"/>
      <c r="Q39" s="357"/>
      <c r="R39" s="357"/>
      <c r="S39" s="357"/>
      <c r="U39" s="1064" t="str">
        <f>IF('入力シート（計画書）'!F56="","",'入力シート（計画書）'!F56)</f>
        <v/>
      </c>
      <c r="V39" s="1065"/>
      <c r="W39" s="687" t="str">
        <f>IF('入力シート（計画書）'!G56="","",'入力シート（計画書）'!G56)</f>
        <v/>
      </c>
      <c r="X39" s="683" t="str">
        <f>IF('入力シート（計画書）'!I56="","",'入力シート（計画書）'!I56)</f>
        <v/>
      </c>
      <c r="Y39" s="685" t="str">
        <f>IF(W39="","",W39*X39)</f>
        <v/>
      </c>
      <c r="Z39" s="23"/>
      <c r="AA39" s="23"/>
    </row>
    <row r="40" spans="1:27" ht="19.399999999999999" customHeight="1">
      <c r="C40" s="999" t="s">
        <v>4221</v>
      </c>
      <c r="D40" s="1000"/>
      <c r="E40" s="1000"/>
      <c r="F40" s="1005"/>
      <c r="G40" s="1007" t="s">
        <v>4534</v>
      </c>
      <c r="H40" s="1008"/>
      <c r="U40" s="1064" t="str">
        <f>IF('入力シート（計画書）'!F57="","",'入力シート（計画書）'!F57)</f>
        <v/>
      </c>
      <c r="V40" s="1065"/>
      <c r="W40" s="689" t="str">
        <f>IF('入力シート（計画書）'!G57="","",'入力シート（計画書）'!G57)</f>
        <v/>
      </c>
      <c r="X40" s="684" t="str">
        <f>IF('入力シート（計画書）'!I57="","",'入力シート（計画書）'!I57)</f>
        <v/>
      </c>
      <c r="Y40" s="685" t="str">
        <f>IF(W40="","",W40*X40)</f>
        <v/>
      </c>
      <c r="Z40" s="23"/>
      <c r="AA40" s="23"/>
    </row>
    <row r="41" spans="1:27" ht="19.399999999999999" customHeight="1" thickBot="1">
      <c r="C41" s="1002"/>
      <c r="D41" s="1003"/>
      <c r="E41" s="1003"/>
      <c r="F41" s="1006"/>
      <c r="G41" s="1009"/>
      <c r="H41" s="1010"/>
      <c r="U41" s="1064" t="str">
        <f>IF('入力シート（計画書）'!F58="","",'入力シート（計画書）'!F58)</f>
        <v/>
      </c>
      <c r="V41" s="1065"/>
      <c r="W41" s="689" t="str">
        <f>IF('入力シート（計画書）'!G58="","",'入力シート（計画書）'!G58)</f>
        <v/>
      </c>
      <c r="X41" s="683" t="str">
        <f>IF('入力シート（計画書）'!I58="","",'入力シート（計画書）'!I58)</f>
        <v/>
      </c>
      <c r="Y41" s="685" t="str">
        <f>IF(W41="","",W41*X41)</f>
        <v/>
      </c>
      <c r="Z41" s="23"/>
      <c r="AA41" s="23"/>
    </row>
    <row r="42" spans="1:27" ht="19.399999999999999" customHeight="1" thickBot="1">
      <c r="A42" s="59">
        <v>0</v>
      </c>
      <c r="C42" s="980" t="str">
        <f>IF('入力シート（計画書）'!E85="","",'入力シート（計画書）'!E85)</f>
        <v/>
      </c>
      <c r="D42" s="981"/>
      <c r="E42" s="981"/>
      <c r="F42" s="982"/>
      <c r="G42" s="1028" t="str">
        <f>IF('入力シート（計画書）'!G85="","",'入力シート（計画書）'!G85)</f>
        <v/>
      </c>
      <c r="H42" s="1029"/>
      <c r="U42" s="1062" t="str">
        <f>IF('入力シート（計画書）'!F59="","",'入力シート（計画書）'!F59)</f>
        <v/>
      </c>
      <c r="V42" s="1063"/>
      <c r="W42" s="692" t="str">
        <f>IF('入力シート（計画書）'!G59="","",'入力シート（計画書）'!G59)</f>
        <v/>
      </c>
      <c r="X42" s="693" t="str">
        <f>IF('入力シート（計画書）'!I59="","",'入力シート（計画書）'!I59)</f>
        <v/>
      </c>
      <c r="Y42" s="694" t="str">
        <f>IF(W42="","",W42*X42)</f>
        <v/>
      </c>
      <c r="Z42" s="23"/>
      <c r="AA42" s="23"/>
    </row>
    <row r="43" spans="1:27" ht="19.399999999999999" customHeight="1" thickTop="1">
      <c r="C43" s="977" t="str">
        <f>IF('入力シート（計画書）'!E86="","",'入力シート（計画書）'!E86)</f>
        <v/>
      </c>
      <c r="D43" s="978"/>
      <c r="E43" s="978"/>
      <c r="F43" s="979"/>
      <c r="G43" s="983" t="str">
        <f>IF('入力シート（計画書）'!G86="","",'入力シート（計画書）'!G86)</f>
        <v/>
      </c>
      <c r="H43" s="984"/>
      <c r="U43" s="1060" t="s">
        <v>81</v>
      </c>
      <c r="V43" s="1066"/>
      <c r="W43" s="688" t="str">
        <f>IF(COUNTBLANK(W38:W42)=5,"",SUM(W38:W42))</f>
        <v/>
      </c>
      <c r="X43" s="695"/>
      <c r="Y43" s="686" t="str">
        <f>IF(W43="","",SUM(Y38:Y42))</f>
        <v/>
      </c>
      <c r="Z43" s="23"/>
      <c r="AA43" s="23"/>
    </row>
    <row r="44" spans="1:27" ht="19.399999999999999" customHeight="1">
      <c r="C44" s="977" t="str">
        <f>IF('入力シート（計画書）'!E87="","",'入力シート（計画書）'!E87)</f>
        <v/>
      </c>
      <c r="D44" s="978"/>
      <c r="E44" s="978"/>
      <c r="F44" s="979"/>
      <c r="G44" s="983" t="str">
        <f>IF('入力シート（計画書）'!G87="","",'入力シート（計画書）'!G87)</f>
        <v/>
      </c>
      <c r="H44" s="984"/>
      <c r="U44" s="27"/>
      <c r="V44" s="27"/>
      <c r="W44" s="27"/>
      <c r="X44" s="27"/>
      <c r="Y44" s="356"/>
      <c r="Z44" s="23"/>
      <c r="AA44" s="23"/>
    </row>
    <row r="45" spans="1:27" ht="19.399999999999999" customHeight="1">
      <c r="C45" s="977" t="str">
        <f>IF('入力シート（計画書）'!E88="","",'入力シート（計画書）'!E88)</f>
        <v/>
      </c>
      <c r="D45" s="978"/>
      <c r="E45" s="978"/>
      <c r="F45" s="979"/>
      <c r="G45" s="983" t="str">
        <f>IF('入力シート（計画書）'!G88="","",'入力シート（計画書）'!G88)</f>
        <v/>
      </c>
      <c r="H45" s="984"/>
      <c r="U45" s="23"/>
      <c r="V45" s="23"/>
      <c r="W45" s="23"/>
      <c r="X45" s="23"/>
      <c r="Y45" s="23"/>
      <c r="Z45" s="23"/>
      <c r="AA45" s="23"/>
    </row>
    <row r="46" spans="1:27" ht="19.399999999999999" customHeight="1">
      <c r="C46" s="977" t="str">
        <f>IF('入力シート（計画書）'!E89="","",'入力シート（計画書）'!E89)</f>
        <v/>
      </c>
      <c r="D46" s="978"/>
      <c r="E46" s="978"/>
      <c r="F46" s="979"/>
      <c r="G46" s="983" t="str">
        <f>IF('入力シート（計画書）'!G89="","",'入力シート（計画書）'!G89)</f>
        <v/>
      </c>
      <c r="H46" s="984"/>
      <c r="U46" s="23"/>
      <c r="V46" s="23"/>
      <c r="W46" s="23"/>
      <c r="X46" s="23"/>
      <c r="Y46" s="23"/>
      <c r="Z46" s="23"/>
      <c r="AA46" s="23"/>
    </row>
    <row r="47" spans="1:27" ht="19.399999999999999" customHeight="1">
      <c r="A47" s="59"/>
      <c r="C47" s="977" t="str">
        <f>IF('入力シート（計画書）'!E90="","",'入力シート（計画書）'!E90)</f>
        <v/>
      </c>
      <c r="D47" s="978"/>
      <c r="E47" s="978"/>
      <c r="F47" s="979"/>
      <c r="G47" s="983" t="str">
        <f>IF('入力シート（計画書）'!G90="","",'入力シート（計画書）'!G90)</f>
        <v/>
      </c>
      <c r="H47" s="984"/>
      <c r="U47" s="23"/>
      <c r="V47" s="23"/>
      <c r="W47" s="23"/>
      <c r="X47" s="23"/>
      <c r="Y47" s="23"/>
      <c r="Z47" s="23"/>
      <c r="AA47" s="23"/>
    </row>
    <row r="48" spans="1:27" ht="19.399999999999999" customHeight="1" thickBot="1">
      <c r="A48" s="59"/>
      <c r="B48" s="59"/>
      <c r="C48" s="1011" t="str">
        <f>IF('入力シート（計画書）'!E91="","",'入力シート（計画書）'!E91)</f>
        <v/>
      </c>
      <c r="D48" s="1012"/>
      <c r="E48" s="1012"/>
      <c r="F48" s="1013"/>
      <c r="G48" s="1016" t="str">
        <f>IF('入力シート（計画書）'!G91="","",'入力シート（計画書）'!G91)</f>
        <v/>
      </c>
      <c r="H48" s="1017"/>
      <c r="U48" s="23"/>
      <c r="V48" s="23"/>
      <c r="W48" s="23"/>
      <c r="X48" s="23"/>
      <c r="Y48" s="23"/>
      <c r="Z48" s="23"/>
      <c r="AA48" s="23"/>
    </row>
    <row r="49" spans="2:27" ht="19.399999999999999" customHeight="1" thickTop="1" thickBot="1">
      <c r="B49" s="59"/>
      <c r="C49" s="991" t="s">
        <v>98</v>
      </c>
      <c r="D49" s="992"/>
      <c r="E49" s="992"/>
      <c r="F49" s="993"/>
      <c r="G49" s="1030" t="str">
        <f t="shared" ref="G49" si="6">IF(COUNTBLANK(G42:G48)=7,"",SUM(G42:G48))</f>
        <v/>
      </c>
      <c r="H49" s="1031"/>
      <c r="U49" s="23"/>
      <c r="V49" s="23"/>
      <c r="W49" s="23"/>
      <c r="X49" s="23"/>
      <c r="Y49" s="23"/>
      <c r="Z49" s="27"/>
      <c r="AA49" s="23"/>
    </row>
    <row r="50" spans="2:27" ht="19.399999999999999" customHeight="1">
      <c r="U50" s="23"/>
      <c r="V50" s="23"/>
      <c r="W50" s="23"/>
      <c r="X50" s="23"/>
      <c r="Y50" s="23"/>
      <c r="Z50" s="23"/>
      <c r="AA50" s="27"/>
    </row>
    <row r="51" spans="2:27" ht="19.399999999999999" customHeight="1">
      <c r="U51" s="23"/>
      <c r="V51" s="23"/>
      <c r="W51" s="23"/>
      <c r="X51" s="23"/>
      <c r="Y51" s="23"/>
      <c r="Z51" s="23"/>
      <c r="AA51" s="23"/>
    </row>
    <row r="52" spans="2:27" ht="19.399999999999999" customHeight="1" thickBot="1">
      <c r="C52" s="60" t="s">
        <v>101</v>
      </c>
      <c r="D52" s="60"/>
      <c r="U52" s="23"/>
      <c r="V52" s="23"/>
      <c r="W52" s="23"/>
      <c r="X52" s="23"/>
      <c r="Y52" s="23"/>
      <c r="Z52" s="23"/>
      <c r="AA52" s="23"/>
    </row>
    <row r="53" spans="2:27" ht="19.399999999999999" customHeight="1">
      <c r="C53" s="999" t="s">
        <v>100</v>
      </c>
      <c r="D53" s="1000"/>
      <c r="E53" s="1000"/>
      <c r="F53" s="1000"/>
      <c r="G53" s="1000"/>
      <c r="H53" s="1001"/>
      <c r="U53" s="23"/>
      <c r="V53" s="23"/>
      <c r="W53" s="23"/>
      <c r="X53" s="23"/>
      <c r="Y53" s="23"/>
      <c r="Z53" s="23"/>
      <c r="AA53" s="23"/>
    </row>
    <row r="54" spans="2:27" ht="19.399999999999999" customHeight="1" thickBot="1">
      <c r="C54" s="1002"/>
      <c r="D54" s="1003"/>
      <c r="E54" s="1003"/>
      <c r="F54" s="1003"/>
      <c r="G54" s="1003"/>
      <c r="H54" s="1004"/>
      <c r="U54" s="23"/>
      <c r="V54" s="23"/>
      <c r="W54" s="23"/>
      <c r="X54" s="23"/>
      <c r="Y54" s="23"/>
      <c r="Z54" s="23"/>
      <c r="AA54" s="23"/>
    </row>
    <row r="55" spans="2:27" ht="19.399999999999999" customHeight="1">
      <c r="C55" s="996" t="s">
        <v>67</v>
      </c>
      <c r="D55" s="997"/>
      <c r="E55" s="997"/>
      <c r="F55" s="998"/>
      <c r="G55" s="1026" t="str">
        <f>IF('入力シート（計画書）'!G96="","",'入力シート（計画書）'!G96)</f>
        <v/>
      </c>
      <c r="H55" s="1027"/>
      <c r="U55" s="23"/>
      <c r="V55" s="23"/>
      <c r="W55" s="23"/>
      <c r="X55" s="23"/>
      <c r="Y55" s="23"/>
      <c r="Z55" s="23"/>
      <c r="AA55" s="23"/>
    </row>
    <row r="56" spans="2:27" s="26" customFormat="1" ht="19.399999999999999" customHeight="1">
      <c r="B56" s="27"/>
      <c r="C56" s="994" t="s">
        <v>103</v>
      </c>
      <c r="D56" s="949"/>
      <c r="E56" s="949"/>
      <c r="F56" s="995"/>
      <c r="G56" s="945" t="str">
        <f>IF('入力シート（計画書）'!G97="","",'入力シート（計画書）'!G97)</f>
        <v/>
      </c>
      <c r="H56" s="947"/>
      <c r="U56" s="23"/>
      <c r="V56" s="23"/>
      <c r="W56" s="23"/>
      <c r="X56" s="23"/>
      <c r="Y56" s="23"/>
      <c r="Z56" s="23"/>
      <c r="AA56" s="23"/>
    </row>
    <row r="57" spans="2:27" s="26" customFormat="1" ht="19.399999999999999" customHeight="1" thickBot="1">
      <c r="B57" s="27"/>
      <c r="C57" s="1032" t="s">
        <v>102</v>
      </c>
      <c r="D57" s="1033"/>
      <c r="E57" s="1033"/>
      <c r="F57" s="1034"/>
      <c r="G57" s="1024" t="str">
        <f>IF('入力シート（計画書）'!G98="","",'入力シート（計画書）'!G98)</f>
        <v/>
      </c>
      <c r="H57" s="1025"/>
      <c r="I57" s="47"/>
      <c r="U57" s="27"/>
      <c r="V57" s="27"/>
      <c r="W57" s="27"/>
      <c r="X57" s="27"/>
      <c r="Y57" s="27"/>
      <c r="Z57" s="23"/>
      <c r="AA57" s="23"/>
    </row>
    <row r="58" spans="2:27" s="26" customFormat="1" ht="19.399999999999999" customHeight="1">
      <c r="B58" s="27"/>
      <c r="H58" s="47"/>
      <c r="U58" s="27"/>
      <c r="V58" s="27"/>
      <c r="W58" s="27"/>
      <c r="X58" s="27"/>
      <c r="Y58" s="27"/>
      <c r="Z58" s="23"/>
      <c r="AA58" s="23"/>
    </row>
    <row r="59" spans="2:27" s="26" customFormat="1" ht="19.399999999999999" customHeight="1">
      <c r="B59" s="27"/>
      <c r="U59" s="27"/>
      <c r="V59" s="27"/>
      <c r="W59" s="27"/>
      <c r="X59" s="27"/>
      <c r="Y59" s="27"/>
      <c r="Z59" s="23"/>
      <c r="AA59" s="23"/>
    </row>
    <row r="60" spans="2:27" s="26" customFormat="1" ht="19.399999999999999" customHeight="1" thickBot="1">
      <c r="B60" s="27"/>
      <c r="C60" s="60" t="s">
        <v>4415</v>
      </c>
      <c r="D60" s="358"/>
      <c r="E60" s="358"/>
      <c r="F60" s="358"/>
      <c r="G60" s="358"/>
      <c r="H60" s="358"/>
      <c r="Z60" s="23"/>
      <c r="AA60" s="23"/>
    </row>
    <row r="61" spans="2:27" s="26" customFormat="1" ht="19.399999999999999" customHeight="1">
      <c r="B61" s="27"/>
      <c r="C61" s="971" t="s">
        <v>4422</v>
      </c>
      <c r="D61" s="972"/>
      <c r="E61" s="972"/>
      <c r="F61" s="967" t="s">
        <v>4416</v>
      </c>
      <c r="G61" s="975" t="s">
        <v>4417</v>
      </c>
      <c r="H61" s="975"/>
      <c r="I61" s="975"/>
      <c r="J61" s="971"/>
      <c r="K61" s="967" t="s">
        <v>4418</v>
      </c>
      <c r="L61" s="10"/>
      <c r="Z61" s="27"/>
      <c r="AA61" s="23"/>
    </row>
    <row r="62" spans="2:27" s="26" customFormat="1" ht="19.399999999999999" customHeight="1" thickBot="1">
      <c r="B62" s="27"/>
      <c r="C62" s="973"/>
      <c r="D62" s="974"/>
      <c r="E62" s="974"/>
      <c r="F62" s="968"/>
      <c r="G62" s="976"/>
      <c r="H62" s="976"/>
      <c r="I62" s="976"/>
      <c r="J62" s="973"/>
      <c r="K62" s="968"/>
      <c r="L62" s="10"/>
      <c r="Z62" s="27"/>
      <c r="AA62" s="27"/>
    </row>
    <row r="63" spans="2:27" s="26" customFormat="1" ht="19.399999999999999" customHeight="1">
      <c r="B63" s="27"/>
      <c r="C63" s="989" t="s">
        <v>4423</v>
      </c>
      <c r="D63" s="990"/>
      <c r="E63" s="990"/>
      <c r="F63" s="970" t="str">
        <f>IF('入力シート（計画書）'!G113="","",'入力シート（計画書）'!G113)</f>
        <v/>
      </c>
      <c r="G63" s="359" t="s">
        <v>4419</v>
      </c>
      <c r="H63" s="360"/>
      <c r="I63" s="360"/>
      <c r="J63" s="361"/>
      <c r="K63" s="724" t="str">
        <f>IF('入力シート（計画書）'!N113="","",'入力シート（計画書）'!N113)</f>
        <v/>
      </c>
      <c r="Z63" s="27"/>
      <c r="AA63" s="27"/>
    </row>
    <row r="64" spans="2:27" s="26" customFormat="1" ht="19.399999999999999" customHeight="1">
      <c r="B64" s="27"/>
      <c r="C64" s="987"/>
      <c r="D64" s="988"/>
      <c r="E64" s="988"/>
      <c r="F64" s="969"/>
      <c r="G64" s="362" t="s">
        <v>4420</v>
      </c>
      <c r="H64" s="363"/>
      <c r="I64" s="363"/>
      <c r="J64" s="364"/>
      <c r="K64" s="725" t="str">
        <f>IF('入力シート（計画書）'!N114="","",'入力シート（計画書）'!N114)</f>
        <v/>
      </c>
      <c r="AA64" s="27"/>
    </row>
    <row r="65" spans="2:26" s="26" customFormat="1" ht="19.399999999999999" customHeight="1">
      <c r="B65" s="27"/>
      <c r="C65" s="987"/>
      <c r="D65" s="988"/>
      <c r="E65" s="988"/>
      <c r="F65" s="969"/>
      <c r="G65" s="365" t="s">
        <v>4421</v>
      </c>
      <c r="H65" s="366"/>
      <c r="I65" s="366"/>
      <c r="J65" s="367"/>
      <c r="K65" s="726" t="str">
        <f>IF('入力シート（計画書）'!N115="","",'入力シート（計画書）'!N115)</f>
        <v/>
      </c>
    </row>
    <row r="66" spans="2:26" s="26" customFormat="1" ht="19.399999999999999" customHeight="1">
      <c r="B66" s="27"/>
      <c r="C66" s="987" t="s">
        <v>4424</v>
      </c>
      <c r="D66" s="988"/>
      <c r="E66" s="988"/>
      <c r="F66" s="969" t="str">
        <f>IF('入力シート（計画書）'!G116="","",'入力シート（計画書）'!G116)</f>
        <v/>
      </c>
      <c r="G66" s="368" t="s">
        <v>4419</v>
      </c>
      <c r="H66" s="369"/>
      <c r="I66" s="369"/>
      <c r="J66" s="370"/>
      <c r="K66" s="727" t="str">
        <f>IF('入力シート（計画書）'!N116="","",'入力シート（計画書）'!N116)</f>
        <v/>
      </c>
    </row>
    <row r="67" spans="2:26" s="26" customFormat="1" ht="19.399999999999999" customHeight="1">
      <c r="B67" s="27"/>
      <c r="C67" s="987"/>
      <c r="D67" s="988"/>
      <c r="E67" s="988"/>
      <c r="F67" s="969"/>
      <c r="G67" s="362" t="s">
        <v>4420</v>
      </c>
      <c r="H67" s="363"/>
      <c r="I67" s="363"/>
      <c r="J67" s="364"/>
      <c r="K67" s="725" t="str">
        <f>IF('入力シート（計画書）'!N117="","",'入力シート（計画書）'!N117)</f>
        <v/>
      </c>
    </row>
    <row r="68" spans="2:26" s="26" customFormat="1" ht="19.399999999999999" customHeight="1">
      <c r="B68" s="27"/>
      <c r="C68" s="987"/>
      <c r="D68" s="988"/>
      <c r="E68" s="988"/>
      <c r="F68" s="969"/>
      <c r="G68" s="365" t="s">
        <v>4421</v>
      </c>
      <c r="H68" s="366"/>
      <c r="I68" s="366"/>
      <c r="J68" s="367"/>
      <c r="K68" s="726" t="str">
        <f>IF('入力シート（計画書）'!N118="","",'入力シート（計画書）'!N118)</f>
        <v/>
      </c>
      <c r="Z68" s="345"/>
    </row>
    <row r="69" spans="2:26" s="26" customFormat="1" ht="19.399999999999999" customHeight="1">
      <c r="B69" s="27"/>
      <c r="C69" s="987" t="s">
        <v>4425</v>
      </c>
      <c r="D69" s="988"/>
      <c r="E69" s="988"/>
      <c r="F69" s="969" t="str">
        <f>IF('入力シート（計画書）'!G119="","",'入力シート（計画書）'!G119)</f>
        <v/>
      </c>
      <c r="G69" s="368" t="s">
        <v>4419</v>
      </c>
      <c r="H69" s="369"/>
      <c r="I69" s="369"/>
      <c r="J69" s="370"/>
      <c r="K69" s="727" t="str">
        <f>IF('入力シート（計画書）'!N119="","",'入力シート（計画書）'!N119)</f>
        <v/>
      </c>
      <c r="Z69" s="345"/>
    </row>
    <row r="70" spans="2:26" s="26" customFormat="1" ht="18.649999999999999" customHeight="1" thickBot="1">
      <c r="B70" s="27"/>
      <c r="C70" s="987"/>
      <c r="D70" s="988"/>
      <c r="E70" s="988"/>
      <c r="F70" s="969"/>
      <c r="G70" s="365" t="s">
        <v>4420</v>
      </c>
      <c r="H70" s="366"/>
      <c r="I70" s="366"/>
      <c r="J70" s="367"/>
      <c r="K70" s="726" t="str">
        <f>IF('入力シート（計画書）'!N120="","",'入力シート（計画書）'!N120)</f>
        <v/>
      </c>
      <c r="T70" s="24"/>
      <c r="U70" s="24"/>
      <c r="V70" s="24"/>
      <c r="W70" s="24"/>
      <c r="Z70" s="24"/>
    </row>
    <row r="71" spans="2:26" s="26" customFormat="1" ht="18.5" thickTop="1" thickBot="1">
      <c r="B71" s="27"/>
      <c r="C71" s="985" t="s">
        <v>4426</v>
      </c>
      <c r="D71" s="986"/>
      <c r="E71" s="986"/>
      <c r="F71" s="723" t="str">
        <f>IF(COUNTBLANK(F63:F70)=8,"",SUM(F63,F66,F69))</f>
        <v/>
      </c>
      <c r="G71" s="371" t="s">
        <v>4427</v>
      </c>
      <c r="H71" s="372"/>
      <c r="I71" s="373"/>
      <c r="J71" s="374"/>
      <c r="K71" s="723" t="str">
        <f>IF(COUNTBLANK(K63:K70)=8,"",SUM(K63:K70))</f>
        <v/>
      </c>
      <c r="O71" s="24"/>
      <c r="T71" s="24"/>
      <c r="Z71" s="24"/>
    </row>
    <row r="72" spans="2:26">
      <c r="O72" s="24"/>
      <c r="T72" s="24"/>
      <c r="Z72" s="24"/>
    </row>
    <row r="73" spans="2:26" s="26" customFormat="1">
      <c r="B73" s="27"/>
      <c r="O73" s="24"/>
    </row>
    <row r="77" spans="2:26">
      <c r="P77" s="24"/>
      <c r="Q77" s="24"/>
      <c r="R77" s="24"/>
      <c r="S77" s="24"/>
    </row>
    <row r="78" spans="2:26">
      <c r="P78" s="24"/>
      <c r="Q78" s="24"/>
      <c r="R78" s="24"/>
      <c r="S78" s="24"/>
    </row>
    <row r="79" spans="2:26">
      <c r="P79" s="24"/>
      <c r="Q79" s="24"/>
      <c r="R79" s="24"/>
      <c r="S79" s="24"/>
    </row>
  </sheetData>
  <sheetProtection algorithmName="SHA-512" hashValue="oLPRV6SwyYBjSX8ZL8zv7BVNPiyGT4l3W1mQ2dqOBo8L8bIW9uxjZ7RAUVrRmUL6azlxJ8nlel4MN46zjde4mw==" saltValue="krispJ6BhvxCpXBbrBBDKA==" spinCount="100000" sheet="1" objects="1" scenarios="1" selectLockedCells="1"/>
  <mergeCells count="94">
    <mergeCell ref="C15:J15"/>
    <mergeCell ref="C14:J14"/>
    <mergeCell ref="C13:J13"/>
    <mergeCell ref="C22:J22"/>
    <mergeCell ref="C21:J21"/>
    <mergeCell ref="C20:J20"/>
    <mergeCell ref="C18:J19"/>
    <mergeCell ref="C4:J5"/>
    <mergeCell ref="C12:J12"/>
    <mergeCell ref="C11:J11"/>
    <mergeCell ref="C10:J10"/>
    <mergeCell ref="C9:J9"/>
    <mergeCell ref="C8:J8"/>
    <mergeCell ref="C7:J7"/>
    <mergeCell ref="C6:J6"/>
    <mergeCell ref="U42:V42"/>
    <mergeCell ref="U41:V41"/>
    <mergeCell ref="U43:V43"/>
    <mergeCell ref="U36:V37"/>
    <mergeCell ref="U28:V28"/>
    <mergeCell ref="U32:V32"/>
    <mergeCell ref="U31:V31"/>
    <mergeCell ref="U30:V30"/>
    <mergeCell ref="U29:V29"/>
    <mergeCell ref="U40:V40"/>
    <mergeCell ref="U39:V39"/>
    <mergeCell ref="U38:V38"/>
    <mergeCell ref="Y26:Y27"/>
    <mergeCell ref="X36:X37"/>
    <mergeCell ref="Y36:Y37"/>
    <mergeCell ref="W26:W27"/>
    <mergeCell ref="N18:N19"/>
    <mergeCell ref="X26:X27"/>
    <mergeCell ref="U26:V27"/>
    <mergeCell ref="U33:V33"/>
    <mergeCell ref="W36:W37"/>
    <mergeCell ref="K18:K19"/>
    <mergeCell ref="U24:V24"/>
    <mergeCell ref="L18:L19"/>
    <mergeCell ref="M18:M19"/>
    <mergeCell ref="W17:X17"/>
    <mergeCell ref="U23:V23"/>
    <mergeCell ref="M1:N1"/>
    <mergeCell ref="K4:K5"/>
    <mergeCell ref="L4:L5"/>
    <mergeCell ref="M4:M5"/>
    <mergeCell ref="N4:N5"/>
    <mergeCell ref="C26:F28"/>
    <mergeCell ref="G26:H28"/>
    <mergeCell ref="G57:H57"/>
    <mergeCell ref="G56:H56"/>
    <mergeCell ref="G55:H55"/>
    <mergeCell ref="G29:H29"/>
    <mergeCell ref="G49:H49"/>
    <mergeCell ref="G48:H48"/>
    <mergeCell ref="G34:H34"/>
    <mergeCell ref="G33:H33"/>
    <mergeCell ref="G46:H46"/>
    <mergeCell ref="G45:H45"/>
    <mergeCell ref="G44:H44"/>
    <mergeCell ref="G43:H43"/>
    <mergeCell ref="G42:H42"/>
    <mergeCell ref="C57:F57"/>
    <mergeCell ref="G32:H32"/>
    <mergeCell ref="G31:H31"/>
    <mergeCell ref="G30:H30"/>
    <mergeCell ref="C49:F49"/>
    <mergeCell ref="C56:F56"/>
    <mergeCell ref="C55:F55"/>
    <mergeCell ref="C53:H54"/>
    <mergeCell ref="C46:F46"/>
    <mergeCell ref="C45:F45"/>
    <mergeCell ref="C40:F41"/>
    <mergeCell ref="G40:H41"/>
    <mergeCell ref="C48:F48"/>
    <mergeCell ref="C47:F47"/>
    <mergeCell ref="C36:F36"/>
    <mergeCell ref="G36:H36"/>
    <mergeCell ref="G35:H35"/>
    <mergeCell ref="C44:F44"/>
    <mergeCell ref="C43:F43"/>
    <mergeCell ref="C42:F42"/>
    <mergeCell ref="G47:H47"/>
    <mergeCell ref="C71:E71"/>
    <mergeCell ref="C69:E70"/>
    <mergeCell ref="C66:E68"/>
    <mergeCell ref="C63:E65"/>
    <mergeCell ref="K61:K62"/>
    <mergeCell ref="F69:F70"/>
    <mergeCell ref="F66:F68"/>
    <mergeCell ref="F63:F65"/>
    <mergeCell ref="C61:E62"/>
    <mergeCell ref="F61:F62"/>
    <mergeCell ref="G61:J62"/>
  </mergeCells>
  <phoneticPr fontId="1"/>
  <conditionalFormatting sqref="G29:H35">
    <cfRule type="expression" dxfId="76" priority="2">
      <formula>G29&lt;&gt;""</formula>
    </cfRule>
  </conditionalFormatting>
  <conditionalFormatting sqref="G57:H57">
    <cfRule type="expression" dxfId="75" priority="1">
      <formula>MOD($G$57,1)&lt;&gt;0</formula>
    </cfRule>
  </conditionalFormatting>
  <dataValidations count="3">
    <dataValidation imeMode="halfAlpha" allowBlank="1" showInputMessage="1" showErrorMessage="1" sqref="W38:W42 W28:X32 G42:G48 G29:G35 X40 X38 I16:J16" xr:uid="{B8D9C6A1-C741-4A96-89A3-DB184DE205C3}"/>
    <dataValidation imeMode="hiragana" allowBlank="1" showInputMessage="1" showErrorMessage="1" sqref="C42:C48 G55:G57 U36 U28:U32 U24" xr:uid="{A932AA02-8C2F-4052-8F81-19E6493DE807}"/>
    <dataValidation type="list" allowBlank="1" showInputMessage="1" showErrorMessage="1" sqref="A42" xr:uid="{3E790CBD-2824-456F-87E5-C63321DC8510}">
      <formula1>"0,1"</formula1>
    </dataValidation>
  </dataValidations>
  <printOptions horizontalCentered="1"/>
  <pageMargins left="0.70866141732283472" right="0.55118110236220474" top="0.74803149606299213" bottom="0.74803149606299213" header="0.31496062992125984" footer="0.31496062992125984"/>
  <pageSetup paperSize="9" scale="40" orientation="portrait" r:id="rId1"/>
  <headerFooter>
    <oddHeader>&amp;L&amp;"メイリオ,レギュラー"様式第１号</oddHeader>
    <oddFooter>&amp;R&amp;"メイリオ,レギュラー"&amp;8（特定事業者（運送事業者）用</oddFooter>
  </headerFooter>
  <colBreaks count="1" manualBreakCount="1">
    <brk id="14" max="7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1">
    <tabColor rgb="FF00B0F0"/>
    <pageSetUpPr fitToPage="1"/>
  </sheetPr>
  <dimension ref="A3:AI32"/>
  <sheetViews>
    <sheetView showGridLines="0" view="pageBreakPreview" zoomScaleNormal="100" zoomScaleSheetLayoutView="100" workbookViewId="0">
      <pane ySplit="3" topLeftCell="A4" activePane="bottomLeft" state="frozen"/>
      <selection activeCell="B3" sqref="B3:P3"/>
      <selection pane="bottomLeft"/>
    </sheetView>
  </sheetViews>
  <sheetFormatPr defaultColWidth="9" defaultRowHeight="16"/>
  <cols>
    <col min="1" max="8" width="5.6328125" style="10" customWidth="1"/>
    <col min="9" max="9" width="0.90625" style="10" customWidth="1"/>
    <col min="10" max="25" width="5.6328125" style="10" customWidth="1"/>
    <col min="26" max="26" width="7.54296875" style="10" customWidth="1"/>
    <col min="27" max="35" width="5.6328125" style="10" hidden="1" customWidth="1"/>
    <col min="36" max="38" width="5.6328125" style="10" customWidth="1"/>
    <col min="39" max="16384" width="9" style="10"/>
  </cols>
  <sheetData>
    <row r="3" spans="1:33" ht="25.5" customHeight="1">
      <c r="B3" s="1114" t="s">
        <v>3997</v>
      </c>
      <c r="C3" s="1114"/>
      <c r="D3" s="1114"/>
      <c r="E3" s="1114"/>
      <c r="F3" s="1114"/>
      <c r="G3" s="1114"/>
      <c r="H3" s="1114"/>
      <c r="I3" s="1114"/>
      <c r="J3" s="1114"/>
      <c r="K3" s="1114"/>
      <c r="L3" s="1114"/>
      <c r="M3" s="1114"/>
      <c r="N3" s="1114"/>
      <c r="O3" s="1114"/>
      <c r="P3" s="1114"/>
    </row>
    <row r="5" spans="1:33">
      <c r="L5" s="404" t="str">
        <f>IF('入力シート（計画書）'!G3="","",'入力シート（計画書）'!G3)</f>
        <v/>
      </c>
      <c r="M5" s="378" t="s">
        <v>2</v>
      </c>
      <c r="N5" s="404" t="str">
        <f>IF('入力シート（計画書）'!I3="","",'入力シート（計画書）'!I3)</f>
        <v/>
      </c>
      <c r="O5" s="378" t="s">
        <v>1</v>
      </c>
      <c r="P5" s="404" t="str">
        <f>IF('入力シート（計画書）'!K3="","",'入力シート（計画書）'!K3)</f>
        <v/>
      </c>
      <c r="Q5" s="378" t="s">
        <v>0</v>
      </c>
      <c r="AA5" s="10">
        <f>'入力シート（計画書）'!G3</f>
        <v>0</v>
      </c>
      <c r="AB5" s="10" t="str">
        <f>'入力シート（計画書）'!H3</f>
        <v>年</v>
      </c>
      <c r="AC5" s="10">
        <f>'入力シート（計画書）'!I3</f>
        <v>0</v>
      </c>
      <c r="AD5" s="10" t="str">
        <f>'入力シート（計画書）'!J3</f>
        <v>月</v>
      </c>
      <c r="AE5" s="10">
        <f>'入力シート（計画書）'!K3</f>
        <v>0</v>
      </c>
      <c r="AF5" s="10" t="str">
        <f>'入力シート（計画書）'!L3</f>
        <v>日</v>
      </c>
      <c r="AG5" s="10">
        <f>COUNTIF(AA5:AF5,0)</f>
        <v>3</v>
      </c>
    </row>
    <row r="6" spans="1:33">
      <c r="A6" s="10" t="s">
        <v>3</v>
      </c>
      <c r="Q6" s="405" t="str">
        <f>IF(AG5&gt;0,"入力シート（計画書）の提出日に空欄があります。ご確認ください。","")</f>
        <v>入力シート（計画書）の提出日に空欄があります。ご確認ください。</v>
      </c>
    </row>
    <row r="8" spans="1:33" ht="27" customHeight="1">
      <c r="G8" s="1120" t="s">
        <v>4</v>
      </c>
      <c r="H8" s="1120"/>
      <c r="J8" s="1124" t="str">
        <f>IF('入力シート（事業者情報）'!E6="","",'入力シート（事業者情報）'!E6)</f>
        <v/>
      </c>
      <c r="K8" s="1124"/>
      <c r="L8" s="1124"/>
      <c r="M8" s="1124"/>
      <c r="N8" s="1124"/>
      <c r="O8" s="1124"/>
      <c r="P8" s="1124"/>
    </row>
    <row r="9" spans="1:33" ht="27" customHeight="1">
      <c r="G9" s="1120" t="s">
        <v>33</v>
      </c>
      <c r="H9" s="1120"/>
      <c r="J9" s="1124" t="str">
        <f>IF('入力シート（事業者情報）'!E5="","",'入力シート（事業者情報）'!E5)</f>
        <v/>
      </c>
      <c r="K9" s="1124"/>
      <c r="L9" s="1124"/>
      <c r="M9" s="1124"/>
      <c r="N9" s="1124"/>
      <c r="O9" s="1124"/>
      <c r="P9" s="1124"/>
    </row>
    <row r="10" spans="1:33" ht="27" customHeight="1">
      <c r="G10" s="1120" t="s">
        <v>34</v>
      </c>
      <c r="H10" s="1120"/>
      <c r="J10" s="1124" t="str">
        <f>IF('入力シート（事業者情報）'!E7="","",'入力シート（事業者情報）'!E7)</f>
        <v/>
      </c>
      <c r="K10" s="1124"/>
      <c r="L10" s="1124"/>
      <c r="M10" s="1124"/>
      <c r="N10" s="1124"/>
      <c r="O10" s="1124"/>
      <c r="P10" s="1124"/>
      <c r="Q10" s="408"/>
    </row>
    <row r="12" spans="1:33" ht="13.5" customHeight="1">
      <c r="A12" s="1123" t="s">
        <v>3979</v>
      </c>
      <c r="B12" s="1123"/>
      <c r="C12" s="1123"/>
      <c r="D12" s="1123"/>
      <c r="E12" s="1123"/>
      <c r="F12" s="1123"/>
      <c r="G12" s="1123"/>
      <c r="H12" s="1123"/>
      <c r="I12" s="1123"/>
      <c r="J12" s="1123"/>
      <c r="K12" s="1123"/>
      <c r="L12" s="1123"/>
      <c r="M12" s="1123"/>
      <c r="N12" s="1123"/>
      <c r="O12" s="1123"/>
      <c r="P12" s="1123"/>
      <c r="Q12" s="1123"/>
    </row>
    <row r="13" spans="1:33">
      <c r="A13" s="1123"/>
      <c r="B13" s="1123"/>
      <c r="C13" s="1123"/>
      <c r="D13" s="1123"/>
      <c r="E13" s="1123"/>
      <c r="F13" s="1123"/>
      <c r="G13" s="1123"/>
      <c r="H13" s="1123"/>
      <c r="I13" s="1123"/>
      <c r="J13" s="1123"/>
      <c r="K13" s="1123"/>
      <c r="L13" s="1123"/>
      <c r="M13" s="1123"/>
      <c r="N13" s="1123"/>
      <c r="O13" s="1123"/>
      <c r="P13" s="1123"/>
      <c r="Q13" s="1123"/>
    </row>
    <row r="15" spans="1:33" ht="27" customHeight="1">
      <c r="A15" s="1117" t="s">
        <v>5</v>
      </c>
      <c r="B15" s="1118"/>
      <c r="C15" s="1119"/>
      <c r="D15" s="1113" t="str">
        <f>IF(J9="","",J9)</f>
        <v/>
      </c>
      <c r="E15" s="1113"/>
      <c r="F15" s="1113"/>
      <c r="G15" s="1113"/>
      <c r="H15" s="1113"/>
      <c r="I15" s="1113"/>
      <c r="J15" s="1113"/>
      <c r="K15" s="1113"/>
      <c r="L15" s="1113"/>
      <c r="M15" s="1113"/>
      <c r="N15" s="1113"/>
      <c r="O15" s="1113"/>
      <c r="P15" s="1113"/>
      <c r="Q15" s="1113"/>
    </row>
    <row r="16" spans="1:33" ht="27" customHeight="1">
      <c r="A16" s="1117" t="s">
        <v>6</v>
      </c>
      <c r="B16" s="1118"/>
      <c r="C16" s="1119"/>
      <c r="D16" s="1113" t="str">
        <f>IF('入力シート（事業者情報）'!E12="","",'入力シート（事業者情報）'!E12)</f>
        <v/>
      </c>
      <c r="E16" s="1113"/>
      <c r="F16" s="1113"/>
      <c r="G16" s="1113"/>
      <c r="H16" s="1113"/>
      <c r="I16" s="1113"/>
      <c r="J16" s="1113"/>
      <c r="K16" s="1113"/>
      <c r="L16" s="1113"/>
      <c r="M16" s="1113"/>
      <c r="N16" s="1113"/>
      <c r="O16" s="1113"/>
      <c r="P16" s="1113"/>
      <c r="Q16" s="1113"/>
    </row>
    <row r="17" spans="1:26" ht="27" customHeight="1">
      <c r="A17" s="1117" t="s">
        <v>7</v>
      </c>
      <c r="B17" s="1118"/>
      <c r="C17" s="1119"/>
      <c r="D17" s="1113" t="str">
        <f>IF('入力シート（事業者情報）'!E14="","",'入力シート（事業者情報）'!E14)</f>
        <v/>
      </c>
      <c r="E17" s="1113"/>
      <c r="F17" s="1113"/>
      <c r="G17" s="1113"/>
      <c r="H17" s="1113"/>
      <c r="I17" s="1113"/>
      <c r="J17" s="1113"/>
      <c r="K17" s="1113"/>
      <c r="L17" s="1113"/>
      <c r="M17" s="1113"/>
      <c r="N17" s="1113"/>
      <c r="O17" s="1113"/>
      <c r="P17" s="1113"/>
      <c r="Q17" s="1113"/>
      <c r="U17" s="23"/>
      <c r="V17" s="23"/>
      <c r="W17" s="23"/>
      <c r="X17" s="23"/>
      <c r="Y17" s="23"/>
      <c r="Z17" s="23"/>
    </row>
    <row r="18" spans="1:26" ht="18.75" customHeight="1">
      <c r="A18" s="410"/>
      <c r="B18" s="410"/>
      <c r="C18" s="410"/>
      <c r="D18" s="409"/>
      <c r="E18" s="409"/>
      <c r="F18" s="409"/>
      <c r="G18" s="409"/>
      <c r="H18" s="409"/>
      <c r="I18" s="409"/>
      <c r="J18" s="409"/>
      <c r="K18" s="409"/>
      <c r="L18" s="409"/>
      <c r="M18" s="409"/>
      <c r="N18" s="409"/>
      <c r="O18" s="409"/>
      <c r="P18" s="409"/>
      <c r="U18" s="23"/>
      <c r="V18" s="23"/>
      <c r="W18" s="23"/>
      <c r="X18" s="23"/>
      <c r="Y18" s="23"/>
      <c r="Z18" s="23"/>
    </row>
    <row r="19" spans="1:26" ht="33" customHeight="1">
      <c r="A19" s="1125" t="s">
        <v>3046</v>
      </c>
      <c r="B19" s="1126"/>
      <c r="C19" s="1127"/>
      <c r="D19" s="89" t="str">
        <f>IF('入力シート（事業者情報）'!S9=TRUE,"〇","")</f>
        <v/>
      </c>
      <c r="E19" s="1113" t="s">
        <v>3984</v>
      </c>
      <c r="F19" s="1113"/>
      <c r="G19" s="1113"/>
      <c r="H19" s="1113"/>
      <c r="I19" s="1113"/>
      <c r="J19" s="1113"/>
      <c r="K19" s="1113"/>
      <c r="L19" s="1113"/>
      <c r="M19" s="1113"/>
      <c r="N19" s="1113"/>
      <c r="O19" s="1113"/>
      <c r="P19" s="1113"/>
      <c r="Q19" s="1113"/>
      <c r="U19" s="23"/>
      <c r="V19" s="23"/>
      <c r="W19" s="23"/>
      <c r="X19" s="23"/>
      <c r="Y19" s="23"/>
      <c r="Z19" s="23"/>
    </row>
    <row r="20" spans="1:26" ht="33" customHeight="1">
      <c r="A20" s="1128"/>
      <c r="B20" s="1129"/>
      <c r="C20" s="1130"/>
      <c r="D20" s="89" t="str">
        <f>IF('入力シート（事業者情報）'!S10=TRUE,"〇","")</f>
        <v/>
      </c>
      <c r="E20" s="1113" t="s">
        <v>4510</v>
      </c>
      <c r="F20" s="1113"/>
      <c r="G20" s="1113"/>
      <c r="H20" s="1113"/>
      <c r="I20" s="1113"/>
      <c r="J20" s="1113"/>
      <c r="K20" s="1113"/>
      <c r="L20" s="1113"/>
      <c r="M20" s="1113"/>
      <c r="N20" s="1113"/>
      <c r="O20" s="1113"/>
      <c r="P20" s="1113"/>
      <c r="Q20" s="1113"/>
      <c r="U20" s="23"/>
      <c r="V20" s="23"/>
      <c r="W20" s="23"/>
      <c r="X20" s="23"/>
      <c r="Y20" s="23"/>
      <c r="Z20" s="23"/>
    </row>
    <row r="21" spans="1:26" ht="33" customHeight="1">
      <c r="A21" s="1131"/>
      <c r="B21" s="1132"/>
      <c r="C21" s="1133"/>
      <c r="D21" s="89" t="str">
        <f>IF('入力シート（事業者情報）'!S11=TRUE,"〇","")</f>
        <v>〇</v>
      </c>
      <c r="E21" s="1113" t="s">
        <v>3985</v>
      </c>
      <c r="F21" s="1113"/>
      <c r="G21" s="1113"/>
      <c r="H21" s="1113"/>
      <c r="I21" s="1113"/>
      <c r="J21" s="1113"/>
      <c r="K21" s="1113"/>
      <c r="L21" s="1113"/>
      <c r="M21" s="1113"/>
      <c r="N21" s="1113"/>
      <c r="O21" s="1113"/>
      <c r="P21" s="1113"/>
      <c r="Q21" s="1113"/>
      <c r="U21" s="23"/>
      <c r="V21" s="23"/>
      <c r="W21" s="23"/>
      <c r="X21" s="23"/>
      <c r="Y21" s="23"/>
      <c r="Z21" s="23"/>
    </row>
    <row r="22" spans="1:26" ht="18.75" customHeight="1"/>
    <row r="23" spans="1:26" ht="27" customHeight="1">
      <c r="A23" s="1099" t="s">
        <v>8</v>
      </c>
      <c r="B23" s="1100"/>
      <c r="C23" s="1101"/>
      <c r="D23" s="1093" t="s">
        <v>11</v>
      </c>
      <c r="E23" s="1095"/>
      <c r="F23" s="1108" t="s">
        <v>12</v>
      </c>
      <c r="G23" s="1109"/>
      <c r="H23" s="1113" t="str">
        <f>IF('入力シート（事業者情報）'!E19="","",'入力シート（事業者情報）'!E19)</f>
        <v/>
      </c>
      <c r="I23" s="1113"/>
      <c r="J23" s="1113"/>
      <c r="K23" s="1113"/>
      <c r="L23" s="1113"/>
      <c r="M23" s="1113"/>
      <c r="N23" s="1113"/>
      <c r="O23" s="1113"/>
      <c r="P23" s="1113"/>
      <c r="Q23" s="1113"/>
    </row>
    <row r="24" spans="1:26" ht="27" customHeight="1">
      <c r="A24" s="1102"/>
      <c r="B24" s="1103"/>
      <c r="C24" s="1104"/>
      <c r="D24" s="1096"/>
      <c r="E24" s="1098"/>
      <c r="F24" s="1108" t="s">
        <v>13</v>
      </c>
      <c r="G24" s="1109"/>
      <c r="H24" s="1113" t="str">
        <f>IF('入力シート（事業者情報）'!E22="","",'入力シート（事業者情報）'!E22)</f>
        <v/>
      </c>
      <c r="I24" s="1113"/>
      <c r="J24" s="1113"/>
      <c r="K24" s="1113"/>
      <c r="L24" s="1113"/>
      <c r="M24" s="1113"/>
      <c r="N24" s="1113"/>
      <c r="O24" s="1113"/>
      <c r="P24" s="1113"/>
      <c r="Q24" s="1113"/>
    </row>
    <row r="25" spans="1:26" ht="27" customHeight="1">
      <c r="A25" s="1102"/>
      <c r="B25" s="1103"/>
      <c r="C25" s="1104"/>
      <c r="D25" s="1108" t="s">
        <v>3053</v>
      </c>
      <c r="E25" s="1110"/>
      <c r="F25" s="1110"/>
      <c r="G25" s="1109"/>
      <c r="H25" s="1113" t="str">
        <f>IF('入力シート（事業者情報）'!F20="","",'入力シート（事業者情報）'!F20 &amp; "-")  &amp; IF('入力シート（事業者情報）'!H20="","",'入力シート（事業者情報）'!H20)</f>
        <v/>
      </c>
      <c r="I25" s="1113"/>
      <c r="J25" s="1113"/>
      <c r="K25" s="1113"/>
      <c r="L25" s="1113"/>
      <c r="M25" s="1113"/>
      <c r="N25" s="1113"/>
      <c r="O25" s="1113"/>
      <c r="P25" s="1113"/>
      <c r="Q25" s="1113"/>
    </row>
    <row r="26" spans="1:26" ht="27" customHeight="1">
      <c r="A26" s="1102"/>
      <c r="B26" s="1103"/>
      <c r="C26" s="1104"/>
      <c r="D26" s="1108" t="s">
        <v>4002</v>
      </c>
      <c r="E26" s="1110"/>
      <c r="F26" s="1110"/>
      <c r="G26" s="1109"/>
      <c r="H26" s="1113" t="str">
        <f>IF('入力シート（事業者情報）'!E21="","",'入力シート（事業者情報）'!E21)</f>
        <v/>
      </c>
      <c r="I26" s="1113"/>
      <c r="J26" s="1113"/>
      <c r="K26" s="1113"/>
      <c r="L26" s="1113"/>
      <c r="M26" s="1113"/>
      <c r="N26" s="1113"/>
      <c r="O26" s="1113"/>
      <c r="P26" s="1113"/>
      <c r="Q26" s="1113"/>
    </row>
    <row r="27" spans="1:26" ht="27" customHeight="1">
      <c r="A27" s="1102"/>
      <c r="B27" s="1103"/>
      <c r="C27" s="1104"/>
      <c r="D27" s="1108" t="s">
        <v>9</v>
      </c>
      <c r="E27" s="1110"/>
      <c r="F27" s="1110"/>
      <c r="G27" s="1109"/>
      <c r="H27" s="1113" t="str">
        <f>IF('入力シート（事業者情報）'!E23="","",'入力シート（事業者情報）'!E23)</f>
        <v/>
      </c>
      <c r="I27" s="1113"/>
      <c r="J27" s="1113"/>
      <c r="K27" s="1113"/>
      <c r="L27" s="1113"/>
      <c r="M27" s="1113"/>
      <c r="N27" s="1113"/>
      <c r="O27" s="1113"/>
      <c r="P27" s="1113"/>
      <c r="Q27" s="1113"/>
    </row>
    <row r="28" spans="1:26" ht="27" customHeight="1">
      <c r="A28" s="1105"/>
      <c r="B28" s="1106"/>
      <c r="C28" s="1107"/>
      <c r="D28" s="1108" t="s">
        <v>10</v>
      </c>
      <c r="E28" s="1110"/>
      <c r="F28" s="1110"/>
      <c r="G28" s="1109"/>
      <c r="H28" s="1113" t="str">
        <f>IF('入力シート（事業者情報）'!E24="","",'入力シート（事業者情報）'!E24)</f>
        <v/>
      </c>
      <c r="I28" s="1113"/>
      <c r="J28" s="1113"/>
      <c r="K28" s="1113"/>
      <c r="L28" s="1113"/>
      <c r="M28" s="1113"/>
      <c r="N28" s="1113"/>
      <c r="O28" s="1113"/>
      <c r="P28" s="1113"/>
      <c r="Q28" s="1113"/>
    </row>
    <row r="29" spans="1:26" ht="8.25" customHeight="1"/>
    <row r="30" spans="1:26" ht="8.25" customHeight="1"/>
    <row r="31" spans="1:26" ht="55.5" customHeight="1">
      <c r="A31" s="1121" t="s">
        <v>14</v>
      </c>
      <c r="B31" s="1093"/>
      <c r="C31" s="1094"/>
      <c r="D31" s="1094"/>
      <c r="E31" s="1095"/>
      <c r="F31" s="1115" t="s">
        <v>15</v>
      </c>
      <c r="G31" s="1116"/>
      <c r="H31" s="1111"/>
      <c r="I31" s="1111"/>
      <c r="J31" s="1111"/>
      <c r="K31" s="1111"/>
      <c r="L31" s="1111"/>
      <c r="M31" s="1111"/>
      <c r="N31" s="1111"/>
      <c r="O31" s="1111"/>
      <c r="P31" s="1111"/>
      <c r="Q31" s="1111"/>
    </row>
    <row r="32" spans="1:26" ht="55.5" customHeight="1">
      <c r="A32" s="1122"/>
      <c r="B32" s="1096"/>
      <c r="C32" s="1097"/>
      <c r="D32" s="1097"/>
      <c r="E32" s="1098"/>
      <c r="F32" s="1108" t="s">
        <v>16</v>
      </c>
      <c r="G32" s="1109"/>
      <c r="H32" s="1112"/>
      <c r="I32" s="1112"/>
      <c r="J32" s="1112"/>
      <c r="K32" s="1112"/>
      <c r="L32" s="1112"/>
      <c r="M32" s="1112"/>
      <c r="N32" s="1112"/>
      <c r="O32" s="1112"/>
      <c r="P32" s="1112"/>
      <c r="Q32" s="1112"/>
    </row>
  </sheetData>
  <sheetProtection algorithmName="SHA-512" hashValue="w2h2FRkJ9IijYtnZ/L2OrsmuRXmuGra9rMDBTM9W27NYAu1hAb4Oc7SlmGBaV7tNwD372rTUJoLt8Lthk2TTzw==" saltValue="MwUe4EqtCXP1BF8AuGwzuQ==" spinCount="100000" sheet="1" objects="1" scenarios="1" selectLockedCells="1"/>
  <mergeCells count="38">
    <mergeCell ref="A16:C16"/>
    <mergeCell ref="A17:C17"/>
    <mergeCell ref="D17:Q17"/>
    <mergeCell ref="E19:Q19"/>
    <mergeCell ref="E20:Q20"/>
    <mergeCell ref="A19:C21"/>
    <mergeCell ref="D15:Q15"/>
    <mergeCell ref="D16:Q16"/>
    <mergeCell ref="J8:P8"/>
    <mergeCell ref="J9:P9"/>
    <mergeCell ref="J10:P10"/>
    <mergeCell ref="B3:P3"/>
    <mergeCell ref="H27:Q27"/>
    <mergeCell ref="F31:G31"/>
    <mergeCell ref="D28:G28"/>
    <mergeCell ref="F24:G24"/>
    <mergeCell ref="D23:E24"/>
    <mergeCell ref="D27:G27"/>
    <mergeCell ref="D26:G26"/>
    <mergeCell ref="F23:G23"/>
    <mergeCell ref="A15:C15"/>
    <mergeCell ref="G10:H10"/>
    <mergeCell ref="G8:H8"/>
    <mergeCell ref="G9:H9"/>
    <mergeCell ref="A31:A32"/>
    <mergeCell ref="E21:Q21"/>
    <mergeCell ref="A12:Q13"/>
    <mergeCell ref="B31:E32"/>
    <mergeCell ref="A23:C28"/>
    <mergeCell ref="F32:G32"/>
    <mergeCell ref="D25:G25"/>
    <mergeCell ref="H31:Q31"/>
    <mergeCell ref="H32:Q32"/>
    <mergeCell ref="H28:Q28"/>
    <mergeCell ref="H23:Q23"/>
    <mergeCell ref="H24:Q24"/>
    <mergeCell ref="H25:Q25"/>
    <mergeCell ref="H26:Q26"/>
  </mergeCells>
  <phoneticPr fontId="1"/>
  <printOptions horizontalCentered="1" verticalCentered="1"/>
  <pageMargins left="0.70866141732283472" right="0.55118110236220474" top="0.74803149606299213" bottom="0.74803149606299213" header="0.31496062992125984" footer="0.31496062992125984"/>
  <pageSetup paperSize="9" orientation="portrait" r:id="rId1"/>
  <headerFooter>
    <oddHeader>&amp;L&amp;"メイリオ,レギュラー"様式第３号</oddHeader>
    <oddFooter>&amp;R&amp;"メイリオ,レギュラー"&amp;8（特定事業者（運送事業者）用</oddFooter>
  </headerFooter>
  <rowBreaks count="1" manualBreakCount="1">
    <brk id="32"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1">
    <tabColor rgb="FF00B0F0"/>
  </sheetPr>
  <dimension ref="A3:AB48"/>
  <sheetViews>
    <sheetView showGridLines="0" view="pageBreakPreview" zoomScaleNormal="100" zoomScaleSheetLayoutView="100" workbookViewId="0">
      <pane ySplit="3" topLeftCell="A6" activePane="bottomLeft" state="frozen"/>
      <selection activeCell="AF17" sqref="AF17"/>
      <selection pane="bottomLeft" activeCell="AD8" sqref="AD8"/>
    </sheetView>
  </sheetViews>
  <sheetFormatPr defaultColWidth="8.90625" defaultRowHeight="17.5"/>
  <cols>
    <col min="1" max="1" width="18.08984375" style="24" customWidth="1"/>
    <col min="2" max="15" width="6.08984375" style="24" customWidth="1"/>
    <col min="16" max="16" width="9.81640625" style="24" customWidth="1"/>
    <col min="17" max="36" width="5.6328125" style="24" customWidth="1"/>
    <col min="37" max="16384" width="8.90625" style="24"/>
  </cols>
  <sheetData>
    <row r="3" spans="1:28" ht="20.25" customHeight="1">
      <c r="B3" s="253" t="str">
        <f>"事業者温室効果ガス削減計画書概要（第"&amp;NUMBERSTRING(基本設定シート!B5,3)&amp;"計画期間）"</f>
        <v>事業者温室効果ガス削減計画書概要（第三計画期間）</v>
      </c>
      <c r="C3" s="253"/>
      <c r="D3" s="253"/>
      <c r="E3" s="253"/>
      <c r="F3" s="253"/>
      <c r="G3" s="253"/>
      <c r="H3" s="253"/>
      <c r="I3" s="253"/>
      <c r="J3" s="253"/>
      <c r="K3" s="253"/>
      <c r="L3" s="253"/>
      <c r="M3" s="253"/>
      <c r="N3" s="253"/>
    </row>
    <row r="4" spans="1:28" s="10" customFormat="1" ht="16"/>
    <row r="5" spans="1:28" s="10" customFormat="1" ht="18" customHeight="1">
      <c r="A5" s="412" t="s">
        <v>71</v>
      </c>
    </row>
    <row r="6" spans="1:28" s="10" customFormat="1" ht="21.65" customHeight="1">
      <c r="A6" s="413" t="s">
        <v>5</v>
      </c>
      <c r="B6" s="1149" t="str">
        <f>IF('P2'!D15="","",'P2'!D15)</f>
        <v/>
      </c>
      <c r="C6" s="1149"/>
      <c r="D6" s="1149"/>
      <c r="E6" s="1149"/>
      <c r="F6" s="1149"/>
      <c r="G6" s="1149"/>
      <c r="H6" s="1149"/>
      <c r="I6" s="1149"/>
      <c r="J6" s="1149"/>
      <c r="K6" s="1149"/>
      <c r="L6" s="1149"/>
      <c r="M6" s="1149"/>
      <c r="N6" s="1149"/>
      <c r="O6" s="1149"/>
      <c r="P6" s="1149"/>
    </row>
    <row r="7" spans="1:28" s="10" customFormat="1" ht="21.65" customHeight="1">
      <c r="A7" s="413" t="s">
        <v>6</v>
      </c>
      <c r="B7" s="1149" t="str">
        <f>IF('P2'!D16="","",'P2'!D16)</f>
        <v/>
      </c>
      <c r="C7" s="1149"/>
      <c r="D7" s="1149"/>
      <c r="E7" s="1149"/>
      <c r="F7" s="1149"/>
      <c r="G7" s="1149"/>
      <c r="H7" s="1149"/>
      <c r="I7" s="1149"/>
      <c r="J7" s="1149"/>
      <c r="K7" s="1149"/>
      <c r="L7" s="1149"/>
      <c r="M7" s="1149"/>
      <c r="N7" s="1149"/>
      <c r="O7" s="1149"/>
      <c r="P7" s="1149"/>
    </row>
    <row r="8" spans="1:28" s="10" customFormat="1" ht="21.65" customHeight="1">
      <c r="A8" s="413" t="s">
        <v>7</v>
      </c>
      <c r="B8" s="1149" t="str">
        <f>IF('P2'!D17="","",'P2'!D17)</f>
        <v/>
      </c>
      <c r="C8" s="1149"/>
      <c r="D8" s="1149"/>
      <c r="E8" s="1149"/>
      <c r="F8" s="1149"/>
      <c r="G8" s="1149"/>
      <c r="H8" s="1149"/>
      <c r="I8" s="1149"/>
      <c r="J8" s="1149"/>
      <c r="K8" s="1149"/>
      <c r="L8" s="1149"/>
      <c r="M8" s="1149"/>
      <c r="N8" s="1149"/>
      <c r="O8" s="1149"/>
      <c r="P8" s="1149"/>
    </row>
    <row r="9" spans="1:28" s="10" customFormat="1" ht="21.65" customHeight="1">
      <c r="A9" s="414" t="s">
        <v>104</v>
      </c>
      <c r="B9" s="1147" t="str">
        <f>IF('入力シート（事業者情報）'!S15="","",'入力シート（事業者情報）'!S15)</f>
        <v/>
      </c>
      <c r="C9" s="1148"/>
      <c r="D9" s="1148"/>
      <c r="E9" s="1148"/>
      <c r="F9" s="1148"/>
      <c r="G9" s="1148"/>
      <c r="H9" s="1148"/>
      <c r="I9" s="1148"/>
      <c r="J9" s="1148"/>
      <c r="K9" s="1148"/>
      <c r="L9" s="1148"/>
      <c r="M9" s="1148"/>
      <c r="N9" s="1148"/>
      <c r="O9" s="1148"/>
      <c r="P9" s="1148"/>
    </row>
    <row r="10" spans="1:28" s="10" customFormat="1" ht="21.65" customHeight="1">
      <c r="A10" s="415" t="s">
        <v>3993</v>
      </c>
      <c r="B10" s="416" t="str">
        <f>IF('P2'!D19="","",'P2'!D19)</f>
        <v/>
      </c>
      <c r="C10" s="1147" t="s">
        <v>3992</v>
      </c>
      <c r="D10" s="1147"/>
      <c r="E10" s="1147"/>
      <c r="F10" s="1147"/>
      <c r="G10" s="1147"/>
      <c r="H10" s="1147"/>
      <c r="I10" s="1147"/>
      <c r="J10" s="1147"/>
      <c r="K10" s="1147"/>
      <c r="L10" s="1147"/>
      <c r="M10" s="1147"/>
      <c r="N10" s="1147"/>
      <c r="O10" s="1147"/>
      <c r="P10" s="1147"/>
    </row>
    <row r="11" spans="1:28" s="10" customFormat="1" ht="21.65" customHeight="1">
      <c r="A11" s="417"/>
      <c r="B11" s="418" t="str">
        <f>IF('P2'!D20="","",'P2'!D20)</f>
        <v/>
      </c>
      <c r="C11" s="1147" t="s">
        <v>3994</v>
      </c>
      <c r="D11" s="1147"/>
      <c r="E11" s="1147"/>
      <c r="F11" s="1147"/>
      <c r="G11" s="1147"/>
      <c r="H11" s="1147"/>
      <c r="I11" s="1147"/>
      <c r="J11" s="1147"/>
      <c r="K11" s="1147"/>
      <c r="L11" s="1147"/>
      <c r="M11" s="1147"/>
      <c r="N11" s="1147"/>
      <c r="O11" s="1147"/>
      <c r="P11" s="1147"/>
    </row>
    <row r="12" spans="1:28" s="10" customFormat="1" ht="21.65" customHeight="1">
      <c r="A12" s="419"/>
      <c r="B12" s="418" t="str">
        <f>IF('P2'!D21="","",'P2'!D21)</f>
        <v>〇</v>
      </c>
      <c r="C12" s="1147" t="s">
        <v>3995</v>
      </c>
      <c r="D12" s="1147"/>
      <c r="E12" s="1147"/>
      <c r="F12" s="1147"/>
      <c r="G12" s="1147"/>
      <c r="H12" s="1147"/>
      <c r="I12" s="1147"/>
      <c r="J12" s="1147"/>
      <c r="K12" s="1147"/>
      <c r="L12" s="1147"/>
      <c r="M12" s="1147"/>
      <c r="N12" s="1147"/>
      <c r="O12" s="1147"/>
      <c r="P12" s="1147"/>
    </row>
    <row r="13" spans="1:28" s="10" customFormat="1" ht="63" hidden="1" customHeight="1">
      <c r="A13" s="420"/>
      <c r="B13" s="23"/>
      <c r="C13" s="23"/>
      <c r="D13" s="23"/>
      <c r="E13" s="23"/>
      <c r="F13" s="23"/>
      <c r="G13" s="23"/>
      <c r="H13" s="23"/>
      <c r="I13" s="23"/>
      <c r="J13" s="23"/>
      <c r="K13" s="23"/>
      <c r="L13" s="23"/>
      <c r="M13" s="23"/>
      <c r="N13" s="23"/>
      <c r="O13" s="23"/>
      <c r="P13" s="23"/>
    </row>
    <row r="14" spans="1:28" s="10" customFormat="1" ht="18" customHeight="1">
      <c r="A14" s="410"/>
      <c r="B14" s="421"/>
      <c r="C14" s="421"/>
      <c r="D14" s="421"/>
      <c r="E14" s="421"/>
      <c r="F14" s="421"/>
      <c r="G14" s="421"/>
      <c r="H14" s="421"/>
      <c r="I14" s="421"/>
      <c r="J14" s="421"/>
      <c r="K14" s="421"/>
      <c r="L14" s="421"/>
    </row>
    <row r="15" spans="1:28" s="10" customFormat="1" ht="18" customHeight="1">
      <c r="A15" s="412" t="s">
        <v>3042</v>
      </c>
      <c r="P15" s="23"/>
      <c r="S15" s="422">
        <v>2</v>
      </c>
    </row>
    <row r="16" spans="1:28" s="10" customFormat="1" ht="36" customHeight="1">
      <c r="A16" s="1134" t="s">
        <v>4224</v>
      </c>
      <c r="B16" s="1140" t="s">
        <v>73</v>
      </c>
      <c r="C16" s="1141"/>
      <c r="D16" s="1154" t="str">
        <f>IF('入力シート（計画書）'!K7="","",'入力シート（計画書）'!K7)</f>
        <v/>
      </c>
      <c r="E16" s="1154"/>
      <c r="F16" s="766" t="s">
        <v>75</v>
      </c>
      <c r="G16" s="1150" t="s">
        <v>3981</v>
      </c>
      <c r="H16" s="1163"/>
      <c r="I16" s="1158" t="str">
        <f>IF('入力シート（計画書）'!N130="","",'入力シート（計画書）'!N130)</f>
        <v/>
      </c>
      <c r="J16" s="1159"/>
      <c r="K16" s="423" t="s">
        <v>4499</v>
      </c>
      <c r="L16" s="1150" t="s">
        <v>3983</v>
      </c>
      <c r="M16" s="1163"/>
      <c r="N16" s="1169" t="str">
        <f>IF('入力シート（計画書）'!Q130="","",'入力シート（計画書）'!Q130)</f>
        <v/>
      </c>
      <c r="O16" s="1170"/>
      <c r="P16" s="423"/>
      <c r="T16" s="23"/>
      <c r="U16" s="23"/>
      <c r="V16" s="23"/>
      <c r="W16" s="23"/>
      <c r="X16" s="23"/>
      <c r="Y16" s="23"/>
      <c r="Z16" s="23"/>
      <c r="AA16" s="23"/>
      <c r="AB16" s="23"/>
    </row>
    <row r="17" spans="1:28" s="10" customFormat="1" ht="36" customHeight="1">
      <c r="A17" s="1135"/>
      <c r="B17" s="1144"/>
      <c r="C17" s="1145"/>
      <c r="D17" s="1155"/>
      <c r="E17" s="1155"/>
      <c r="F17" s="769"/>
      <c r="G17" s="1160" t="s">
        <v>4429</v>
      </c>
      <c r="H17" s="1161"/>
      <c r="I17" s="1161"/>
      <c r="J17" s="1161"/>
      <c r="K17" s="1161"/>
      <c r="L17" s="1161"/>
      <c r="M17" s="1162"/>
      <c r="N17" s="1171" t="str">
        <f>IF('入力シート（計画書）'!N121="","",'P1'!V20)</f>
        <v/>
      </c>
      <c r="O17" s="1172"/>
      <c r="P17" s="424" t="s">
        <v>106</v>
      </c>
      <c r="T17" s="23"/>
      <c r="U17" s="23"/>
      <c r="V17" s="23"/>
      <c r="W17" s="23"/>
      <c r="X17" s="23"/>
      <c r="Y17" s="23"/>
      <c r="Z17" s="23"/>
      <c r="AA17" s="23"/>
      <c r="AB17" s="23"/>
    </row>
    <row r="18" spans="1:28" s="10" customFormat="1" ht="36" customHeight="1">
      <c r="A18" s="1135"/>
      <c r="B18" s="1140" t="s">
        <v>105</v>
      </c>
      <c r="C18" s="1141"/>
      <c r="D18" s="1154">
        <f>IF('入力シート（計画書）'!AB2="","",'入力シート（計画書）'!AB2)</f>
        <v>2028</v>
      </c>
      <c r="E18" s="1154"/>
      <c r="F18" s="766" t="s">
        <v>75</v>
      </c>
      <c r="G18" s="1150" t="s">
        <v>3982</v>
      </c>
      <c r="H18" s="1163"/>
      <c r="I18" s="1158" t="str">
        <f>IF('入力シート（計画書）'!N134="","",'入力シート（計画書）'!N134)</f>
        <v/>
      </c>
      <c r="J18" s="1159"/>
      <c r="K18" s="423" t="s">
        <v>4499</v>
      </c>
      <c r="L18" s="1150" t="s">
        <v>109</v>
      </c>
      <c r="M18" s="1163"/>
      <c r="N18" s="1169" t="str">
        <f>IF('入力シート（計画書）'!Q134="","",'入力シート（計画書）'!Q134)</f>
        <v/>
      </c>
      <c r="O18" s="1170"/>
      <c r="P18" s="423"/>
      <c r="T18" s="23"/>
      <c r="U18" s="23"/>
      <c r="V18" s="23"/>
      <c r="W18" s="23"/>
      <c r="X18" s="23"/>
      <c r="Y18" s="23"/>
      <c r="Z18" s="23"/>
      <c r="AA18" s="23"/>
      <c r="AB18" s="23"/>
    </row>
    <row r="19" spans="1:28" s="10" customFormat="1" ht="36" customHeight="1">
      <c r="A19" s="1135"/>
      <c r="B19" s="1142"/>
      <c r="C19" s="1143"/>
      <c r="D19" s="1124"/>
      <c r="E19" s="1124"/>
      <c r="F19" s="783"/>
      <c r="G19" s="1140" t="s">
        <v>3980</v>
      </c>
      <c r="H19" s="1164"/>
      <c r="I19" s="1156" t="str">
        <f>IF('入力シート（計画書）'!N135="","",'入力シート（計画書）'!N135)</f>
        <v/>
      </c>
      <c r="J19" s="1157"/>
      <c r="K19" s="423" t="s">
        <v>106</v>
      </c>
      <c r="L19" s="1140" t="s">
        <v>3980</v>
      </c>
      <c r="M19" s="1164"/>
      <c r="N19" s="1173" t="str">
        <f>IF('入力シート（計画書）'!Q135="","",'入力シート（計画書）'!Q135)</f>
        <v/>
      </c>
      <c r="O19" s="1174"/>
      <c r="P19" s="423" t="s">
        <v>106</v>
      </c>
      <c r="T19" s="23"/>
      <c r="U19" s="23"/>
      <c r="V19" s="23"/>
      <c r="W19" s="23"/>
      <c r="X19" s="23"/>
      <c r="Y19" s="23"/>
      <c r="Z19" s="23"/>
      <c r="AA19" s="23"/>
      <c r="AB19" s="23"/>
    </row>
    <row r="20" spans="1:28" s="10" customFormat="1" ht="36" customHeight="1">
      <c r="A20" s="1135"/>
      <c r="B20" s="1144"/>
      <c r="C20" s="1145"/>
      <c r="D20" s="1155"/>
      <c r="E20" s="1155"/>
      <c r="F20" s="769"/>
      <c r="G20" s="1160" t="s">
        <v>4533</v>
      </c>
      <c r="H20" s="1161"/>
      <c r="I20" s="1161"/>
      <c r="J20" s="1161"/>
      <c r="K20" s="1161"/>
      <c r="L20" s="1161"/>
      <c r="M20" s="1162"/>
      <c r="N20" s="1171" t="str">
        <f>IF('入力シート（計画書）'!Q136="","",'入力シート（計画書）'!Q136)</f>
        <v/>
      </c>
      <c r="O20" s="1172"/>
      <c r="P20" s="424" t="s">
        <v>106</v>
      </c>
      <c r="R20" s="421"/>
      <c r="T20" s="23"/>
      <c r="U20" s="23"/>
      <c r="V20" s="23"/>
      <c r="W20" s="23"/>
      <c r="X20" s="23"/>
      <c r="Y20" s="23"/>
      <c r="Z20" s="23"/>
      <c r="AA20" s="23"/>
      <c r="AB20" s="23"/>
    </row>
    <row r="21" spans="1:28" s="10" customFormat="1" ht="90" customHeight="1">
      <c r="A21" s="1136"/>
      <c r="B21" s="1165" t="s">
        <v>4234</v>
      </c>
      <c r="C21" s="1166"/>
      <c r="D21" s="1167" t="str">
        <f>IF('入力シート（計画書）'!G149="","",'入力シート（計画書）'!G149)</f>
        <v/>
      </c>
      <c r="E21" s="1167"/>
      <c r="F21" s="1167"/>
      <c r="G21" s="1167"/>
      <c r="H21" s="1167"/>
      <c r="I21" s="1167"/>
      <c r="J21" s="1167"/>
      <c r="K21" s="1167"/>
      <c r="L21" s="1167"/>
      <c r="M21" s="1167"/>
      <c r="N21" s="1167"/>
      <c r="O21" s="1167"/>
      <c r="P21" s="1168"/>
      <c r="T21" s="23"/>
      <c r="U21" s="23"/>
      <c r="V21" s="23"/>
      <c r="W21" s="23"/>
      <c r="X21" s="23"/>
      <c r="Y21" s="23"/>
      <c r="Z21" s="23"/>
      <c r="AA21" s="23"/>
      <c r="AB21" s="23"/>
    </row>
    <row r="22" spans="1:28" s="10" customFormat="1" ht="18" customHeight="1">
      <c r="A22" s="410"/>
    </row>
    <row r="23" spans="1:28" s="10" customFormat="1" ht="18" customHeight="1">
      <c r="A23" s="412" t="s">
        <v>3048</v>
      </c>
    </row>
    <row r="24" spans="1:28" s="10" customFormat="1" ht="36" customHeight="1">
      <c r="A24" s="1134" t="s">
        <v>4089</v>
      </c>
      <c r="B24" s="1150" t="s">
        <v>3050</v>
      </c>
      <c r="C24" s="1151"/>
      <c r="D24" s="1151"/>
      <c r="E24" s="1146" t="str">
        <f>IF('入力シート（計画書）'!AB170="","",'入力シート（計画書）'!AB170*100)</f>
        <v/>
      </c>
      <c r="F24" s="1146"/>
      <c r="G24" s="1146"/>
      <c r="H24" s="425" t="s">
        <v>106</v>
      </c>
      <c r="I24" s="1150" t="s">
        <v>3051</v>
      </c>
      <c r="J24" s="1151"/>
      <c r="K24" s="1151"/>
      <c r="L24" s="1146" t="str">
        <f>IF('入力シート（計画書）'!AB171="","",'入力シート（計画書）'!AB171*100)</f>
        <v/>
      </c>
      <c r="M24" s="1146"/>
      <c r="N24" s="1146"/>
      <c r="O24" s="426" t="s">
        <v>106</v>
      </c>
      <c r="P24" s="427"/>
      <c r="Q24" s="428"/>
    </row>
    <row r="25" spans="1:28" s="10" customFormat="1" ht="36" hidden="1" customHeight="1">
      <c r="A25" s="1136"/>
      <c r="B25" s="1152"/>
      <c r="C25" s="1153"/>
      <c r="D25" s="1153"/>
      <c r="E25" s="426"/>
      <c r="F25" s="426"/>
      <c r="G25" s="426"/>
      <c r="H25" s="425"/>
      <c r="I25" s="1152"/>
      <c r="J25" s="1153"/>
      <c r="K25" s="1153"/>
      <c r="L25" s="426"/>
      <c r="M25" s="426"/>
      <c r="N25" s="426"/>
      <c r="O25" s="426"/>
      <c r="P25" s="427"/>
    </row>
    <row r="26" spans="1:28" s="10" customFormat="1" ht="22.5" customHeight="1">
      <c r="A26" s="1134" t="s">
        <v>4090</v>
      </c>
      <c r="B26" s="429" t="s">
        <v>3049</v>
      </c>
      <c r="C26" s="430"/>
      <c r="D26" s="430"/>
      <c r="E26" s="430"/>
      <c r="F26" s="430"/>
      <c r="G26" s="430"/>
      <c r="H26" s="430"/>
      <c r="I26" s="430"/>
      <c r="J26" s="430"/>
      <c r="K26" s="430"/>
      <c r="L26" s="430"/>
      <c r="M26" s="431"/>
      <c r="N26" s="429" t="s">
        <v>3052</v>
      </c>
      <c r="O26" s="430"/>
      <c r="P26" s="431"/>
    </row>
    <row r="27" spans="1:28" s="10" customFormat="1" ht="22.5" customHeight="1">
      <c r="A27" s="1135"/>
      <c r="B27" s="1137" t="str">
        <f>IF('入力シート（計画書）'!F203="","",'入力シート（計画書）'!F203)</f>
        <v/>
      </c>
      <c r="C27" s="1138"/>
      <c r="D27" s="1138"/>
      <c r="E27" s="1138"/>
      <c r="F27" s="1138"/>
      <c r="G27" s="1138"/>
      <c r="H27" s="1138"/>
      <c r="I27" s="1138"/>
      <c r="J27" s="1138"/>
      <c r="K27" s="1138"/>
      <c r="L27" s="1138"/>
      <c r="M27" s="1139"/>
      <c r="N27" s="801" t="str">
        <f>IF('P3'!B27="","",IF('入力シート（計画書）'!N203="実施済",'入力シート（計画書）'!N203,'入力シート（計画書）'!O203))</f>
        <v/>
      </c>
      <c r="O27" s="926"/>
      <c r="P27" s="802"/>
    </row>
    <row r="28" spans="1:28" s="10" customFormat="1" ht="22.5" customHeight="1">
      <c r="A28" s="1135"/>
      <c r="B28" s="1137" t="str">
        <f>IF('入力シート（計画書）'!F204="","",'入力シート（計画書）'!F204)</f>
        <v/>
      </c>
      <c r="C28" s="1138"/>
      <c r="D28" s="1138"/>
      <c r="E28" s="1138"/>
      <c r="F28" s="1138"/>
      <c r="G28" s="1138"/>
      <c r="H28" s="1138"/>
      <c r="I28" s="1138"/>
      <c r="J28" s="1138"/>
      <c r="K28" s="1138"/>
      <c r="L28" s="1138"/>
      <c r="M28" s="1139"/>
      <c r="N28" s="801" t="str">
        <f>IF('P3'!B28="","",IF('入力シート（計画書）'!N204="実施済",'入力シート（計画書）'!N204,'入力シート（計画書）'!O204))</f>
        <v/>
      </c>
      <c r="O28" s="926"/>
      <c r="P28" s="802"/>
    </row>
    <row r="29" spans="1:28" s="10" customFormat="1" ht="22.5" customHeight="1">
      <c r="A29" s="1135"/>
      <c r="B29" s="1137" t="str">
        <f>IF('入力シート（計画書）'!F205="","",'入力シート（計画書）'!F205)</f>
        <v/>
      </c>
      <c r="C29" s="1138"/>
      <c r="D29" s="1138"/>
      <c r="E29" s="1138"/>
      <c r="F29" s="1138"/>
      <c r="G29" s="1138"/>
      <c r="H29" s="1138"/>
      <c r="I29" s="1138"/>
      <c r="J29" s="1138"/>
      <c r="K29" s="1138"/>
      <c r="L29" s="1138"/>
      <c r="M29" s="1139"/>
      <c r="N29" s="801" t="str">
        <f>IF('P3'!B29="","",IF('入力シート（計画書）'!N205="実施済",'入力シート（計画書）'!N205,'入力シート（計画書）'!O205))</f>
        <v/>
      </c>
      <c r="O29" s="926"/>
      <c r="P29" s="802"/>
    </row>
    <row r="30" spans="1:28" s="10" customFormat="1" ht="22.5" customHeight="1">
      <c r="A30" s="1135"/>
      <c r="B30" s="1137" t="str">
        <f>IF('入力シート（計画書）'!F206="","",'入力シート（計画書）'!F206)</f>
        <v/>
      </c>
      <c r="C30" s="1138"/>
      <c r="D30" s="1138"/>
      <c r="E30" s="1138"/>
      <c r="F30" s="1138"/>
      <c r="G30" s="1138"/>
      <c r="H30" s="1138"/>
      <c r="I30" s="1138"/>
      <c r="J30" s="1138"/>
      <c r="K30" s="1138"/>
      <c r="L30" s="1138"/>
      <c r="M30" s="1139"/>
      <c r="N30" s="801" t="str">
        <f>IF('P3'!B30="","",IF('入力シート（計画書）'!N206="実施済",'入力シート（計画書）'!N206,'入力シート（計画書）'!O206))</f>
        <v/>
      </c>
      <c r="O30" s="926"/>
      <c r="P30" s="802"/>
    </row>
    <row r="31" spans="1:28" s="10" customFormat="1" ht="22.5" customHeight="1">
      <c r="A31" s="1135"/>
      <c r="B31" s="1137" t="str">
        <f>IF('入力シート（計画書）'!F207="","",'入力シート（計画書）'!F207)</f>
        <v/>
      </c>
      <c r="C31" s="1138"/>
      <c r="D31" s="1138"/>
      <c r="E31" s="1138"/>
      <c r="F31" s="1138"/>
      <c r="G31" s="1138"/>
      <c r="H31" s="1138"/>
      <c r="I31" s="1138"/>
      <c r="J31" s="1138"/>
      <c r="K31" s="1138"/>
      <c r="L31" s="1138"/>
      <c r="M31" s="1139"/>
      <c r="N31" s="801" t="str">
        <f>IF('P3'!B31="","",IF('入力シート（計画書）'!N207="実施済",'入力シート（計画書）'!N207,'入力シート（計画書）'!O207))</f>
        <v/>
      </c>
      <c r="O31" s="926"/>
      <c r="P31" s="802"/>
    </row>
    <row r="32" spans="1:28" s="10" customFormat="1" ht="22.5" customHeight="1">
      <c r="A32" s="1135"/>
      <c r="B32" s="1137" t="str">
        <f>IF('入力シート（計画書）'!F208="","",'入力シート（計画書）'!F208)</f>
        <v/>
      </c>
      <c r="C32" s="1138"/>
      <c r="D32" s="1138"/>
      <c r="E32" s="1138"/>
      <c r="F32" s="1138"/>
      <c r="G32" s="1138"/>
      <c r="H32" s="1138"/>
      <c r="I32" s="1138"/>
      <c r="J32" s="1138"/>
      <c r="K32" s="1138"/>
      <c r="L32" s="1138"/>
      <c r="M32" s="1139"/>
      <c r="N32" s="801" t="str">
        <f>IF('P3'!B32="","",IF('入力シート（計画書）'!N208="実施済",'入力シート（計画書）'!N208,'入力シート（計画書）'!O208))</f>
        <v/>
      </c>
      <c r="O32" s="926"/>
      <c r="P32" s="802"/>
    </row>
    <row r="33" spans="1:16" s="10" customFormat="1" ht="22.5" customHeight="1">
      <c r="A33" s="1135"/>
      <c r="B33" s="1137" t="str">
        <f>IF('入力シート（計画書）'!F209="","",'入力シート（計画書）'!F209)</f>
        <v/>
      </c>
      <c r="C33" s="1138"/>
      <c r="D33" s="1138"/>
      <c r="E33" s="1138"/>
      <c r="F33" s="1138"/>
      <c r="G33" s="1138"/>
      <c r="H33" s="1138"/>
      <c r="I33" s="1138"/>
      <c r="J33" s="1138"/>
      <c r="K33" s="1138"/>
      <c r="L33" s="1138"/>
      <c r="M33" s="1139"/>
      <c r="N33" s="801" t="str">
        <f>IF('P3'!B33="","",IF('入力シート（計画書）'!N209="実施済",'入力シート（計画書）'!N209,'入力シート（計画書）'!O209))</f>
        <v/>
      </c>
      <c r="O33" s="926"/>
      <c r="P33" s="802"/>
    </row>
    <row r="34" spans="1:16" s="10" customFormat="1" ht="22.5" customHeight="1">
      <c r="A34" s="1135"/>
      <c r="B34" s="1137" t="str">
        <f>IF('入力シート（計画書）'!F210="","",'入力シート（計画書）'!F210)</f>
        <v/>
      </c>
      <c r="C34" s="1138"/>
      <c r="D34" s="1138"/>
      <c r="E34" s="1138"/>
      <c r="F34" s="1138"/>
      <c r="G34" s="1138"/>
      <c r="H34" s="1138"/>
      <c r="I34" s="1138"/>
      <c r="J34" s="1138"/>
      <c r="K34" s="1138"/>
      <c r="L34" s="1138"/>
      <c r="M34" s="1139"/>
      <c r="N34" s="801" t="str">
        <f>IF('P3'!B34="","",IF('入力シート（計画書）'!N210="実施済",'入力シート（計画書）'!N210,'入力シート（計画書）'!O210))</f>
        <v/>
      </c>
      <c r="O34" s="926"/>
      <c r="P34" s="802"/>
    </row>
    <row r="35" spans="1:16" s="10" customFormat="1" ht="22.5" customHeight="1">
      <c r="A35" s="1136"/>
      <c r="B35" s="1137" t="str">
        <f>IF('入力シート（計画書）'!F211="","",'入力シート（計画書）'!F211)</f>
        <v/>
      </c>
      <c r="C35" s="1138"/>
      <c r="D35" s="1138"/>
      <c r="E35" s="1138"/>
      <c r="F35" s="1138"/>
      <c r="G35" s="1138"/>
      <c r="H35" s="1138"/>
      <c r="I35" s="1138"/>
      <c r="J35" s="1138"/>
      <c r="K35" s="1138"/>
      <c r="L35" s="1138"/>
      <c r="M35" s="1139"/>
      <c r="N35" s="801" t="str">
        <f>IF('P3'!B35="","",IF('入力シート（計画書）'!N211="実施済",'入力シート（計画書）'!N211,'入力シート（計画書）'!O211))</f>
        <v/>
      </c>
      <c r="O35" s="926"/>
      <c r="P35" s="802"/>
    </row>
    <row r="36" spans="1:16" s="10" customFormat="1" ht="22.5" hidden="1" customHeight="1">
      <c r="A36" s="28"/>
      <c r="B36" s="28"/>
      <c r="C36" s="28"/>
      <c r="D36" s="28"/>
      <c r="E36" s="28"/>
      <c r="F36" s="28"/>
      <c r="G36" s="28"/>
      <c r="H36" s="28"/>
      <c r="I36" s="28"/>
      <c r="J36" s="28"/>
      <c r="K36" s="28"/>
      <c r="L36" s="28"/>
      <c r="M36" s="28"/>
      <c r="N36" s="28"/>
      <c r="O36" s="28"/>
      <c r="P36" s="28"/>
    </row>
    <row r="37" spans="1:16" s="10" customFormat="1" ht="61.4" customHeight="1">
      <c r="A37" s="1134" t="s">
        <v>3996</v>
      </c>
      <c r="B37" s="429" t="s">
        <v>3049</v>
      </c>
      <c r="C37" s="430"/>
      <c r="D37" s="430"/>
      <c r="E37" s="430"/>
      <c r="F37" s="431"/>
      <c r="G37" s="429" t="s">
        <v>4092</v>
      </c>
      <c r="H37" s="430"/>
      <c r="I37" s="430"/>
      <c r="J37" s="430"/>
      <c r="K37" s="430"/>
      <c r="L37" s="430"/>
      <c r="M37" s="431"/>
      <c r="N37" s="432" t="s">
        <v>3052</v>
      </c>
      <c r="O37" s="432"/>
      <c r="P37" s="432"/>
    </row>
    <row r="38" spans="1:16" s="10" customFormat="1" ht="61.4" customHeight="1">
      <c r="A38" s="1135"/>
      <c r="B38" s="1137" t="str">
        <f>IF('入力シート（計画書）'!F223="","",'入力シート（計画書）'!F223)</f>
        <v/>
      </c>
      <c r="C38" s="1138"/>
      <c r="D38" s="1138"/>
      <c r="E38" s="1138"/>
      <c r="F38" s="1139"/>
      <c r="G38" s="1137" t="str">
        <f>IF('入力シート（計画書）'!G223="","",'入力シート（計画書）'!G223)</f>
        <v/>
      </c>
      <c r="H38" s="1138"/>
      <c r="I38" s="1138"/>
      <c r="J38" s="1138"/>
      <c r="K38" s="1138"/>
      <c r="L38" s="1138"/>
      <c r="M38" s="1139"/>
      <c r="N38" s="801" t="str">
        <f>IF(B38="","",IF('入力シート（計画書）'!N223="実施済",'入力シート（計画書）'!N223,'入力シート（計画書）'!O223))</f>
        <v/>
      </c>
      <c r="O38" s="926"/>
      <c r="P38" s="802"/>
    </row>
    <row r="39" spans="1:16" s="10" customFormat="1" ht="61.4" customHeight="1">
      <c r="A39" s="1135"/>
      <c r="B39" s="1137" t="str">
        <f>IF('入力シート（計画書）'!F224="","",'入力シート（計画書）'!F224)</f>
        <v/>
      </c>
      <c r="C39" s="1138"/>
      <c r="D39" s="1138"/>
      <c r="E39" s="1138"/>
      <c r="F39" s="1139"/>
      <c r="G39" s="1137" t="str">
        <f>IF('入力シート（計画書）'!G224="","",'入力シート（計画書）'!G224)</f>
        <v/>
      </c>
      <c r="H39" s="1138"/>
      <c r="I39" s="1138"/>
      <c r="J39" s="1138"/>
      <c r="K39" s="1138"/>
      <c r="L39" s="1138"/>
      <c r="M39" s="1139"/>
      <c r="N39" s="801" t="str">
        <f>IF(B39="","",IF('入力シート（計画書）'!N224="実施済",'入力シート（計画書）'!N224,'入力シート（計画書）'!O224))</f>
        <v/>
      </c>
      <c r="O39" s="926"/>
      <c r="P39" s="802"/>
    </row>
    <row r="40" spans="1:16" s="10" customFormat="1" ht="61.4" customHeight="1">
      <c r="A40" s="1135"/>
      <c r="B40" s="1137" t="str">
        <f>IF('入力シート（計画書）'!F225="","",'入力シート（計画書）'!F225)</f>
        <v/>
      </c>
      <c r="C40" s="1138"/>
      <c r="D40" s="1138"/>
      <c r="E40" s="1138"/>
      <c r="F40" s="1139"/>
      <c r="G40" s="1137" t="str">
        <f>IF('入力シート（計画書）'!G225="","",'入力シート（計画書）'!G225)</f>
        <v/>
      </c>
      <c r="H40" s="1138"/>
      <c r="I40" s="1138"/>
      <c r="J40" s="1138"/>
      <c r="K40" s="1138"/>
      <c r="L40" s="1138"/>
      <c r="M40" s="1139"/>
      <c r="N40" s="801" t="str">
        <f>IF(B40="","",IF('入力シート（計画書）'!N225="実施済",'入力シート（計画書）'!N225,'入力シート（計画書）'!O225))</f>
        <v/>
      </c>
      <c r="O40" s="926"/>
      <c r="P40" s="802"/>
    </row>
    <row r="41" spans="1:16" s="10" customFormat="1" ht="61.4" customHeight="1">
      <c r="A41" s="1135"/>
      <c r="B41" s="1137" t="str">
        <f>IF('入力シート（計画書）'!F226="","",'入力シート（計画書）'!F226)</f>
        <v/>
      </c>
      <c r="C41" s="1138"/>
      <c r="D41" s="1138"/>
      <c r="E41" s="1138"/>
      <c r="F41" s="1139"/>
      <c r="G41" s="1137" t="str">
        <f>IF('入力シート（計画書）'!G226="","",'入力シート（計画書）'!G226)</f>
        <v/>
      </c>
      <c r="H41" s="1138"/>
      <c r="I41" s="1138"/>
      <c r="J41" s="1138"/>
      <c r="K41" s="1138"/>
      <c r="L41" s="1138"/>
      <c r="M41" s="1139"/>
      <c r="N41" s="801" t="str">
        <f>IF(B41="","",IF('入力シート（計画書）'!N226="実施済",'入力シート（計画書）'!N226,'入力シート（計画書）'!O226))</f>
        <v/>
      </c>
      <c r="O41" s="926"/>
      <c r="P41" s="802"/>
    </row>
    <row r="42" spans="1:16" s="10" customFormat="1" ht="61.4" customHeight="1">
      <c r="A42" s="1135"/>
      <c r="B42" s="1137" t="str">
        <f>IF('入力シート（計画書）'!F227="","",'入力シート（計画書）'!F227)</f>
        <v/>
      </c>
      <c r="C42" s="1138"/>
      <c r="D42" s="1138"/>
      <c r="E42" s="1138"/>
      <c r="F42" s="1139"/>
      <c r="G42" s="1137" t="str">
        <f>IF('入力シート（計画書）'!G227="","",'入力シート（計画書）'!G227)</f>
        <v/>
      </c>
      <c r="H42" s="1138"/>
      <c r="I42" s="1138"/>
      <c r="J42" s="1138"/>
      <c r="K42" s="1138"/>
      <c r="L42" s="1138"/>
      <c r="M42" s="1139"/>
      <c r="N42" s="801" t="str">
        <f>IF(B42="","",IF('入力シート（計画書）'!N227="実施済",'入力シート（計画書）'!N227,'入力シート（計画書）'!O227))</f>
        <v/>
      </c>
      <c r="O42" s="926"/>
      <c r="P42" s="802"/>
    </row>
    <row r="43" spans="1:16" s="10" customFormat="1" ht="61.4" customHeight="1">
      <c r="A43" s="1135"/>
      <c r="B43" s="1137" t="str">
        <f>IF('入力シート（計画書）'!F228="","",'入力シート（計画書）'!F228)</f>
        <v/>
      </c>
      <c r="C43" s="1138"/>
      <c r="D43" s="1138"/>
      <c r="E43" s="1138"/>
      <c r="F43" s="1139"/>
      <c r="G43" s="1137" t="str">
        <f>IF('入力シート（計画書）'!G228="","",'入力シート（計画書）'!G228)</f>
        <v/>
      </c>
      <c r="H43" s="1138"/>
      <c r="I43" s="1138"/>
      <c r="J43" s="1138"/>
      <c r="K43" s="1138"/>
      <c r="L43" s="1138"/>
      <c r="M43" s="1139"/>
      <c r="N43" s="801" t="str">
        <f>IF(B43="","",IF('入力シート（計画書）'!N228="実施済",'入力シート（計画書）'!N228,'入力シート（計画書）'!O228))</f>
        <v/>
      </c>
      <c r="O43" s="926"/>
      <c r="P43" s="802"/>
    </row>
    <row r="44" spans="1:16" s="10" customFormat="1" ht="61.4" customHeight="1">
      <c r="A44" s="1135"/>
      <c r="B44" s="1137" t="str">
        <f>IF('入力シート（計画書）'!F229="","",'入力シート（計画書）'!F229)</f>
        <v/>
      </c>
      <c r="C44" s="1138"/>
      <c r="D44" s="1138"/>
      <c r="E44" s="1138"/>
      <c r="F44" s="1139"/>
      <c r="G44" s="1137" t="str">
        <f>IF('入力シート（計画書）'!G229="","",'入力シート（計画書）'!G229)</f>
        <v/>
      </c>
      <c r="H44" s="1138"/>
      <c r="I44" s="1138"/>
      <c r="J44" s="1138"/>
      <c r="K44" s="1138"/>
      <c r="L44" s="1138"/>
      <c r="M44" s="1139"/>
      <c r="N44" s="801" t="str">
        <f>IF(B44="","",IF('入力シート（計画書）'!N229="実施済",'入力シート（計画書）'!N229,'入力シート（計画書）'!O229))</f>
        <v/>
      </c>
      <c r="O44" s="926"/>
      <c r="P44" s="802"/>
    </row>
    <row r="45" spans="1:16" s="10" customFormat="1" ht="61.4" customHeight="1">
      <c r="A45" s="1135"/>
      <c r="B45" s="1137" t="str">
        <f>IF('入力シート（計画書）'!F230="","",'入力シート（計画書）'!F230)</f>
        <v/>
      </c>
      <c r="C45" s="1138"/>
      <c r="D45" s="1138"/>
      <c r="E45" s="1138"/>
      <c r="F45" s="1139"/>
      <c r="G45" s="1137" t="str">
        <f>IF('入力シート（計画書）'!G230="","",'入力シート（計画書）'!G230)</f>
        <v/>
      </c>
      <c r="H45" s="1138"/>
      <c r="I45" s="1138"/>
      <c r="J45" s="1138"/>
      <c r="K45" s="1138"/>
      <c r="L45" s="1138"/>
      <c r="M45" s="1139"/>
      <c r="N45" s="801" t="str">
        <f>IF(B45="","",IF('入力シート（計画書）'!N230="実施済",'入力シート（計画書）'!N230,'入力シート（計画書）'!O230))</f>
        <v/>
      </c>
      <c r="O45" s="926"/>
      <c r="P45" s="802"/>
    </row>
    <row r="46" spans="1:16" s="10" customFormat="1" ht="61.4" customHeight="1">
      <c r="A46" s="1135"/>
      <c r="B46" s="1137" t="str">
        <f>IF('入力シート（計画書）'!F231="","",'入力シート（計画書）'!F231)</f>
        <v/>
      </c>
      <c r="C46" s="1138"/>
      <c r="D46" s="1138"/>
      <c r="E46" s="1138"/>
      <c r="F46" s="1139"/>
      <c r="G46" s="1137" t="str">
        <f>IF('入力シート（計画書）'!G231="","",'入力シート（計画書）'!G231)</f>
        <v/>
      </c>
      <c r="H46" s="1138"/>
      <c r="I46" s="1138"/>
      <c r="J46" s="1138"/>
      <c r="K46" s="1138"/>
      <c r="L46" s="1138"/>
      <c r="M46" s="1139"/>
      <c r="N46" s="801" t="str">
        <f>IF(B46="","",IF('入力シート（計画書）'!N231="実施済",'入力シート（計画書）'!N231,'入力シート（計画書）'!O231))</f>
        <v/>
      </c>
      <c r="O46" s="926"/>
      <c r="P46" s="802"/>
    </row>
    <row r="47" spans="1:16" s="10" customFormat="1" ht="61.4" customHeight="1">
      <c r="A47" s="1136"/>
      <c r="B47" s="1137" t="str">
        <f>IF('入力シート（計画書）'!F232="","",'入力シート（計画書）'!F232)</f>
        <v/>
      </c>
      <c r="C47" s="1138"/>
      <c r="D47" s="1138"/>
      <c r="E47" s="1138"/>
      <c r="F47" s="1139"/>
      <c r="G47" s="1137" t="str">
        <f>IF('入力シート（計画書）'!G232="","",'入力シート（計画書）'!G232)</f>
        <v/>
      </c>
      <c r="H47" s="1138"/>
      <c r="I47" s="1138"/>
      <c r="J47" s="1138"/>
      <c r="K47" s="1138"/>
      <c r="L47" s="1138"/>
      <c r="M47" s="1139"/>
      <c r="N47" s="801" t="str">
        <f>IF(B47="","",IF('入力シート（計画書）'!N232="実施済",'入力シート（計画書）'!N232,'入力シート（計画書）'!O232))</f>
        <v/>
      </c>
      <c r="O47" s="926"/>
      <c r="P47" s="802"/>
    </row>
    <row r="48" spans="1:16" ht="15" customHeight="1"/>
  </sheetData>
  <sheetProtection algorithmName="SHA-512" hashValue="wraXaek1cJjuV7R+70P2GcG7R/E2TrvXuf05yqfN6l3uzS0PI89V1l9PGDhvCoAJBJ4eMIEa5a8QqdzsXYFNAg==" saltValue="o/5xxBtgPz+h5uPcliOLWg==" spinCount="100000" sheet="1" objects="1" scenarios="1" selectLockedCells="1"/>
  <mergeCells count="87">
    <mergeCell ref="B16:C17"/>
    <mergeCell ref="F16:F17"/>
    <mergeCell ref="D16:E17"/>
    <mergeCell ref="B21:C21"/>
    <mergeCell ref="D21:P21"/>
    <mergeCell ref="N16:O16"/>
    <mergeCell ref="N20:O20"/>
    <mergeCell ref="N17:O17"/>
    <mergeCell ref="N19:O19"/>
    <mergeCell ref="N18:O18"/>
    <mergeCell ref="L18:M18"/>
    <mergeCell ref="A24:A25"/>
    <mergeCell ref="I24:K25"/>
    <mergeCell ref="B24:D25"/>
    <mergeCell ref="D18:E20"/>
    <mergeCell ref="E24:G24"/>
    <mergeCell ref="A16:A21"/>
    <mergeCell ref="I19:J19"/>
    <mergeCell ref="I18:J18"/>
    <mergeCell ref="I16:J16"/>
    <mergeCell ref="G20:M20"/>
    <mergeCell ref="G17:M17"/>
    <mergeCell ref="L16:M16"/>
    <mergeCell ref="G16:H16"/>
    <mergeCell ref="L19:M19"/>
    <mergeCell ref="G19:H19"/>
    <mergeCell ref="G18:H18"/>
    <mergeCell ref="B9:P9"/>
    <mergeCell ref="B8:P8"/>
    <mergeCell ref="B7:P7"/>
    <mergeCell ref="B6:P6"/>
    <mergeCell ref="C12:P12"/>
    <mergeCell ref="C11:P11"/>
    <mergeCell ref="C10:P10"/>
    <mergeCell ref="A37:A47"/>
    <mergeCell ref="B18:C20"/>
    <mergeCell ref="B28:M28"/>
    <mergeCell ref="B27:M27"/>
    <mergeCell ref="B29:M29"/>
    <mergeCell ref="B30:M30"/>
    <mergeCell ref="B31:M31"/>
    <mergeCell ref="B32:M32"/>
    <mergeCell ref="B33:M33"/>
    <mergeCell ref="B34:M34"/>
    <mergeCell ref="B35:M35"/>
    <mergeCell ref="G38:M38"/>
    <mergeCell ref="B38:F38"/>
    <mergeCell ref="B46:F46"/>
    <mergeCell ref="F18:F20"/>
    <mergeCell ref="L24:N24"/>
    <mergeCell ref="N32:P32"/>
    <mergeCell ref="N33:P33"/>
    <mergeCell ref="N34:P34"/>
    <mergeCell ref="N35:P35"/>
    <mergeCell ref="N27:P27"/>
    <mergeCell ref="N28:P28"/>
    <mergeCell ref="N29:P29"/>
    <mergeCell ref="N30:P30"/>
    <mergeCell ref="N31:P31"/>
    <mergeCell ref="N40:P40"/>
    <mergeCell ref="B41:F41"/>
    <mergeCell ref="G41:M41"/>
    <mergeCell ref="N41:P41"/>
    <mergeCell ref="B42:F42"/>
    <mergeCell ref="G42:M42"/>
    <mergeCell ref="N42:P42"/>
    <mergeCell ref="G46:M46"/>
    <mergeCell ref="N46:P46"/>
    <mergeCell ref="B47:F47"/>
    <mergeCell ref="G47:M47"/>
    <mergeCell ref="N47:P47"/>
    <mergeCell ref="A26:A35"/>
    <mergeCell ref="B44:F44"/>
    <mergeCell ref="G44:M44"/>
    <mergeCell ref="N44:P44"/>
    <mergeCell ref="B45:F45"/>
    <mergeCell ref="G45:M45"/>
    <mergeCell ref="N45:P45"/>
    <mergeCell ref="N38:P38"/>
    <mergeCell ref="B39:F39"/>
    <mergeCell ref="G39:M39"/>
    <mergeCell ref="N39:P39"/>
    <mergeCell ref="B43:F43"/>
    <mergeCell ref="G43:M43"/>
    <mergeCell ref="N43:P43"/>
    <mergeCell ref="B40:F40"/>
    <mergeCell ref="G40:M40"/>
  </mergeCells>
  <phoneticPr fontId="1"/>
  <printOptions horizontalCentered="1"/>
  <pageMargins left="0.70866141732283472" right="0.55118110236220474" top="0.74803149606299213" bottom="0.74803149606299213" header="0.31496062992125984" footer="0.31496062992125984"/>
  <pageSetup paperSize="9" scale="80" fitToHeight="2" orientation="portrait" r:id="rId1"/>
  <headerFooter>
    <oddHeader>&amp;L&amp;"メイリオ,レギュラー"様式第１号別紙１</oddHeader>
    <oddFooter>&amp;R&amp;"メイリオ,レギュラー"&amp;8（特定事業者（運送事業者）用</oddFooter>
  </headerFooter>
  <rowBreaks count="1" manualBreakCount="1">
    <brk id="36"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51</vt:i4>
      </vt:variant>
    </vt:vector>
  </HeadingPairs>
  <TitlesOfParts>
    <vt:vector size="72" baseType="lpstr">
      <vt:lpstr>メニュー</vt:lpstr>
      <vt:lpstr>入力シート（事業者情報）</vt:lpstr>
      <vt:lpstr>入力シート（計画書）</vt:lpstr>
      <vt:lpstr>入力シート（第１年度報告書）</vt:lpstr>
      <vt:lpstr>入力シート（第２年度報告書）</vt:lpstr>
      <vt:lpstr>入力シート（第３年度報告書）</vt:lpstr>
      <vt:lpstr>P1</vt:lpstr>
      <vt:lpstr>P2</vt:lpstr>
      <vt:lpstr>P3</vt:lpstr>
      <vt:lpstr>R1-1</vt:lpstr>
      <vt:lpstr>R1-2</vt:lpstr>
      <vt:lpstr>R1-3</vt:lpstr>
      <vt:lpstr>R2</vt:lpstr>
      <vt:lpstr>R3</vt:lpstr>
      <vt:lpstr>委任状</vt:lpstr>
      <vt:lpstr>評価点まとめ</vt:lpstr>
      <vt:lpstr>基本設定シート</vt:lpstr>
      <vt:lpstr>入力シートのタイトルメッセージ</vt:lpstr>
      <vt:lpstr>対策リスト</vt:lpstr>
      <vt:lpstr>係数</vt:lpstr>
      <vt:lpstr>産業分類</vt:lpstr>
      <vt:lpstr>'P1'!Print_Area</vt:lpstr>
      <vt:lpstr>'P2'!Print_Area</vt:lpstr>
      <vt:lpstr>'P3'!Print_Area</vt:lpstr>
      <vt:lpstr>'R1-1'!Print_Area</vt:lpstr>
      <vt:lpstr>'R1-2'!Print_Area</vt:lpstr>
      <vt:lpstr>'R1-3'!Print_Area</vt:lpstr>
      <vt:lpstr>'R2'!Print_Area</vt:lpstr>
      <vt:lpstr>'R3'!Print_Area</vt:lpstr>
      <vt:lpstr>メニュー!Print_Area</vt:lpstr>
      <vt:lpstr>委任状!Print_Area</vt:lpstr>
      <vt:lpstr>'入力シート（計画書）'!Print_Area</vt:lpstr>
      <vt:lpstr>'入力シート（事業者情報）'!Print_Area</vt:lpstr>
      <vt:lpstr>'入力シート（第１年度報告書）'!Print_Area</vt:lpstr>
      <vt:lpstr>'入力シート（第２年度報告書）'!Print_Area</vt:lpstr>
      <vt:lpstr>'入力シート（第３年度報告書）'!Print_Area</vt:lpstr>
      <vt:lpstr>評価点まとめ!Print_Area</vt:lpstr>
      <vt:lpstr>その他対策</vt:lpstr>
      <vt:lpstr>基準年リスト</vt:lpstr>
      <vt:lpstr>基本対策</vt:lpstr>
      <vt:lpstr>係数2022</vt:lpstr>
      <vt:lpstr>係数2025</vt:lpstr>
      <vt:lpstr>罫線0_0a</vt:lpstr>
      <vt:lpstr>罫線0_0b</vt:lpstr>
      <vt:lpstr>罫線0_1a</vt:lpstr>
      <vt:lpstr>罫線0_1b</vt:lpstr>
      <vt:lpstr>罫線1_0a</vt:lpstr>
      <vt:lpstr>罫線1_0b</vt:lpstr>
      <vt:lpstr>罫線1_1a</vt:lpstr>
      <vt:lpstr>罫線1_1b</vt:lpstr>
      <vt:lpstr>罫線2_0a</vt:lpstr>
      <vt:lpstr>罫線2_0b</vt:lpstr>
      <vt:lpstr>罫線2_1a</vt:lpstr>
      <vt:lpstr>罫線2_1b</vt:lpstr>
      <vt:lpstr>罫線3_0a</vt:lpstr>
      <vt:lpstr>罫線3_0b</vt:lpstr>
      <vt:lpstr>罫線3_1a</vt:lpstr>
      <vt:lpstr>罫線3_1b</vt:lpstr>
      <vt:lpstr>検索ツール画像A</vt:lpstr>
      <vt:lpstr>検索ツール画像B</vt:lpstr>
      <vt:lpstr>細分類</vt:lpstr>
      <vt:lpstr>取組年度リスト</vt:lpstr>
      <vt:lpstr>取組年度リスト1</vt:lpstr>
      <vt:lpstr>取組年度リスト2</vt:lpstr>
      <vt:lpstr>取組年度リスト3</vt:lpstr>
      <vt:lpstr>小分類</vt:lpstr>
      <vt:lpstr>選択対策</vt:lpstr>
      <vt:lpstr>中分類</vt:lpstr>
      <vt:lpstr>電気の使用量等_1_2_1</vt:lpstr>
      <vt:lpstr>日付リスト</vt:lpstr>
      <vt:lpstr>入力欄_計画書②</vt:lpstr>
      <vt:lpstr>年リスト</vt:lpstr>
    </vt:vector>
  </TitlesOfParts>
  <Company>仙台市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仙台市</dc:creator>
  <cp:lastModifiedBy>三幣 素子</cp:lastModifiedBy>
  <cp:lastPrinted>2026-03-22T01:37:43Z</cp:lastPrinted>
  <dcterms:created xsi:type="dcterms:W3CDTF">2018-03-15T09:01:59Z</dcterms:created>
  <dcterms:modified xsi:type="dcterms:W3CDTF">2026-03-27T05:54:02Z</dcterms:modified>
</cp:coreProperties>
</file>